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PBDESA 2025-PAJAK BARU\Realisasi ABPDesa 2025 ACC @ - Copy\"/>
    </mc:Choice>
  </mc:AlternateContent>
  <xr:revisionPtr revIDLastSave="0" documentId="13_ncr:1_{5EBB9A62-C30A-4C5E-AAD2-A3926B3AD068}" xr6:coauthVersionLast="47" xr6:coauthVersionMax="47" xr10:uidLastSave="{00000000-0000-0000-0000-000000000000}"/>
  <bookViews>
    <workbookView xWindow="-120" yWindow="-120" windowWidth="20730" windowHeight="11040" tabRatio="756" activeTab="1" xr2:uid="{00000000-000D-0000-FFFF-FFFF00000000}"/>
  </bookViews>
  <sheets>
    <sheet name="REN" sheetId="38" r:id="rId1"/>
    <sheet name="UMUM" sheetId="18" r:id="rId2"/>
    <sheet name="KESRA" sheetId="20" r:id="rId3"/>
    <sheet name="PEMER" sheetId="34" r:id="rId4"/>
    <sheet name="YAN" sheetId="36" r:id="rId5"/>
    <sheet name="REKAP" sheetId="3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X" localSheetId="3">#REF!</definedName>
    <definedName name="\X" localSheetId="0">#REF!</definedName>
    <definedName name="\X" localSheetId="4">#REF!</definedName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>#REF!</definedName>
    <definedName name="____________LLL02">#REF!</definedName>
    <definedName name="____________LLL03">#REF!</definedName>
    <definedName name="____________LLL04">#REF!</definedName>
    <definedName name="____________LLL05">#REF!</definedName>
    <definedName name="____________LLL06">#REF!</definedName>
    <definedName name="____________LLL07">#REF!</definedName>
    <definedName name="____________LLL08">#REF!</definedName>
    <definedName name="____________LLL09">#REF!</definedName>
    <definedName name="____________LLL10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>#REF!</definedName>
    <definedName name="____________MMM02">#REF!</definedName>
    <definedName name="____________MMM03">#REF!</definedName>
    <definedName name="____________MMM04">#REF!</definedName>
    <definedName name="____________MMM05">#REF!</definedName>
    <definedName name="____________MMM06">#REF!</definedName>
    <definedName name="____________MMM07">#REF!</definedName>
    <definedName name="____________MMM08">#REF!</definedName>
    <definedName name="____________MMM09">#REF!</definedName>
    <definedName name="____________MMM10">#REF!</definedName>
    <definedName name="____________MMM11">#REF!</definedName>
    <definedName name="____________MMM12">#REF!</definedName>
    <definedName name="____________MMM13">#REF!</definedName>
    <definedName name="____________MMM14">#REF!</definedName>
    <definedName name="____________MMM15">#REF!</definedName>
    <definedName name="____________MMM16">#REF!</definedName>
    <definedName name="____________MMM17">#REF!</definedName>
    <definedName name="____________MMM18">#REF!</definedName>
    <definedName name="____________MMM19">#REF!</definedName>
    <definedName name="____________MMM20">#REF!</definedName>
    <definedName name="____________MMM21">#REF!</definedName>
    <definedName name="____________MMM22">#REF!</definedName>
    <definedName name="____________MMM23">#REF!</definedName>
    <definedName name="____________MMM24">#REF!</definedName>
    <definedName name="____________MMM25">#REF!</definedName>
    <definedName name="____________MMM26">#REF!</definedName>
    <definedName name="____________MMM27">#REF!</definedName>
    <definedName name="____________MMM28">#REF!</definedName>
    <definedName name="____________MMM29">#REF!</definedName>
    <definedName name="____________MMM30">#REF!</definedName>
    <definedName name="____________MMM31">#REF!</definedName>
    <definedName name="____________MMM32">#REF!</definedName>
    <definedName name="____________MMM33">#REF!</definedName>
    <definedName name="____________MMM34">#REF!</definedName>
    <definedName name="____________MMM35">#REF!</definedName>
    <definedName name="____________MMM36">#REF!</definedName>
    <definedName name="____________MMM37">#REF!</definedName>
    <definedName name="____________MMM38">#REF!</definedName>
    <definedName name="____________MMM39">#REF!</definedName>
    <definedName name="____________MMM40">#REF!</definedName>
    <definedName name="____________MMM41">#REF!</definedName>
    <definedName name="____________MMM411">#REF!</definedName>
    <definedName name="____________MMM42">#REF!</definedName>
    <definedName name="____________MMM43">#REF!</definedName>
    <definedName name="____________MMM44">#REF!</definedName>
    <definedName name="____________MMM45">#REF!</definedName>
    <definedName name="____________MMM46">#REF!</definedName>
    <definedName name="____________MMM47">#REF!</definedName>
    <definedName name="____________MMM48">#REF!</definedName>
    <definedName name="____________MMM49">#REF!</definedName>
    <definedName name="____________MMM50">#REF!</definedName>
    <definedName name="____________MMM51">#REF!</definedName>
    <definedName name="____________MMM52">#REF!</definedName>
    <definedName name="____________MMM53">#REF!</definedName>
    <definedName name="____________MMM54">#REF!</definedName>
    <definedName name="___________LLL01">#REF!</definedName>
    <definedName name="___________LLL02">#REF!</definedName>
    <definedName name="___________LLL03">#REF!</definedName>
    <definedName name="___________LLL04">#REF!</definedName>
    <definedName name="___________LLL05">#REF!</definedName>
    <definedName name="___________LLL06">#REF!</definedName>
    <definedName name="___________LLL07">#REF!</definedName>
    <definedName name="___________LLL08">#REF!</definedName>
    <definedName name="___________LLL09">#REF!</definedName>
    <definedName name="___________LLL10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>#REF!</definedName>
    <definedName name="___________MMM02">#REF!</definedName>
    <definedName name="___________MMM03">#REF!</definedName>
    <definedName name="___________MMM04">#REF!</definedName>
    <definedName name="___________MMM05">#REF!</definedName>
    <definedName name="___________MMM06">#REF!</definedName>
    <definedName name="___________MMM07">#REF!</definedName>
    <definedName name="___________MMM08">#REF!</definedName>
    <definedName name="___________MMM09">#REF!</definedName>
    <definedName name="___________MMM10">#REF!</definedName>
    <definedName name="___________MMM11">#REF!</definedName>
    <definedName name="___________MMM12">#REF!</definedName>
    <definedName name="___________MMM13">#REF!</definedName>
    <definedName name="___________MMM14">#REF!</definedName>
    <definedName name="___________MMM15">#REF!</definedName>
    <definedName name="___________MMM16">#REF!</definedName>
    <definedName name="___________MMM17">#REF!</definedName>
    <definedName name="___________MMM18">#REF!</definedName>
    <definedName name="___________MMM19">#REF!</definedName>
    <definedName name="___________MMM20">#REF!</definedName>
    <definedName name="___________MMM21">#REF!</definedName>
    <definedName name="___________MMM22">#REF!</definedName>
    <definedName name="___________MMM23">#REF!</definedName>
    <definedName name="___________MMM24">#REF!</definedName>
    <definedName name="___________MMM25">#REF!</definedName>
    <definedName name="___________MMM26">#REF!</definedName>
    <definedName name="___________MMM27">#REF!</definedName>
    <definedName name="___________MMM28">#REF!</definedName>
    <definedName name="___________MMM29">#REF!</definedName>
    <definedName name="___________MMM30">#REF!</definedName>
    <definedName name="___________MMM31">#REF!</definedName>
    <definedName name="___________MMM32">#REF!</definedName>
    <definedName name="___________MMM33">#REF!</definedName>
    <definedName name="___________MMM34">#REF!</definedName>
    <definedName name="___________MMM35">#REF!</definedName>
    <definedName name="___________MMM36">#REF!</definedName>
    <definedName name="___________MMM37">#REF!</definedName>
    <definedName name="___________MMM38">#REF!</definedName>
    <definedName name="___________MMM39">#REF!</definedName>
    <definedName name="___________MMM40">#REF!</definedName>
    <definedName name="___________MMM41">#REF!</definedName>
    <definedName name="___________MMM411">#REF!</definedName>
    <definedName name="___________MMM42">#REF!</definedName>
    <definedName name="___________MMM43">#REF!</definedName>
    <definedName name="___________MMM44">#REF!</definedName>
    <definedName name="___________MMM45">#REF!</definedName>
    <definedName name="___________MMM46">#REF!</definedName>
    <definedName name="___________MMM47">#REF!</definedName>
    <definedName name="___________MMM48">#REF!</definedName>
    <definedName name="___________MMM49">#REF!</definedName>
    <definedName name="___________MMM50">#REF!</definedName>
    <definedName name="___________MMM51">#REF!</definedName>
    <definedName name="___________MMM52">#REF!</definedName>
    <definedName name="___________MMM53">#REF!</definedName>
    <definedName name="___________MMM54">#REF!</definedName>
    <definedName name="__________LLL01">#REF!</definedName>
    <definedName name="__________LLL02">#REF!</definedName>
    <definedName name="__________LLL03">#REF!</definedName>
    <definedName name="__________LLL04">#REF!</definedName>
    <definedName name="__________LLL05">#REF!</definedName>
    <definedName name="__________LLL06">#REF!</definedName>
    <definedName name="__________LLL07">#REF!</definedName>
    <definedName name="__________LLL08">#REF!</definedName>
    <definedName name="__________LLL09">#REF!</definedName>
    <definedName name="__________LLL10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>#REF!</definedName>
    <definedName name="__________MMM02">#REF!</definedName>
    <definedName name="__________MMM03">#REF!</definedName>
    <definedName name="__________MMM04">#REF!</definedName>
    <definedName name="__________MMM05">#REF!</definedName>
    <definedName name="__________MMM06">#REF!</definedName>
    <definedName name="__________MMM07">#REF!</definedName>
    <definedName name="__________MMM08">#REF!</definedName>
    <definedName name="__________MMM09">#REF!</definedName>
    <definedName name="__________MMM10">#REF!</definedName>
    <definedName name="__________MMM11">#REF!</definedName>
    <definedName name="__________MMM12">#REF!</definedName>
    <definedName name="__________MMM13">#REF!</definedName>
    <definedName name="__________MMM14">#REF!</definedName>
    <definedName name="__________MMM15">#REF!</definedName>
    <definedName name="__________MMM16">#REF!</definedName>
    <definedName name="__________MMM17">#REF!</definedName>
    <definedName name="__________MMM18">#REF!</definedName>
    <definedName name="__________MMM19">#REF!</definedName>
    <definedName name="__________MMM20">#REF!</definedName>
    <definedName name="__________MMM21">#REF!</definedName>
    <definedName name="__________MMM22">#REF!</definedName>
    <definedName name="__________MMM23">#REF!</definedName>
    <definedName name="__________MMM24">#REF!</definedName>
    <definedName name="__________MMM25">#REF!</definedName>
    <definedName name="__________MMM26">#REF!</definedName>
    <definedName name="__________MMM27">#REF!</definedName>
    <definedName name="__________MMM28">#REF!</definedName>
    <definedName name="__________MMM29">#REF!</definedName>
    <definedName name="__________MMM30">#REF!</definedName>
    <definedName name="__________MMM31">#REF!</definedName>
    <definedName name="__________MMM32">#REF!</definedName>
    <definedName name="__________MMM33">#REF!</definedName>
    <definedName name="__________MMM34">#REF!</definedName>
    <definedName name="__________MMM35">#REF!</definedName>
    <definedName name="__________MMM36">#REF!</definedName>
    <definedName name="__________MMM37">#REF!</definedName>
    <definedName name="__________MMM38">#REF!</definedName>
    <definedName name="__________MMM39">#REF!</definedName>
    <definedName name="__________MMM40">#REF!</definedName>
    <definedName name="__________MMM41">#REF!</definedName>
    <definedName name="__________MMM411">#REF!</definedName>
    <definedName name="__________MMM42">#REF!</definedName>
    <definedName name="__________MMM43">#REF!</definedName>
    <definedName name="__________MMM44">#REF!</definedName>
    <definedName name="__________MMM45">#REF!</definedName>
    <definedName name="__________MMM46">#REF!</definedName>
    <definedName name="__________MMM47">#REF!</definedName>
    <definedName name="__________MMM48">#REF!</definedName>
    <definedName name="__________MMM49">#REF!</definedName>
    <definedName name="__________MMM50">#REF!</definedName>
    <definedName name="__________MMM51">#REF!</definedName>
    <definedName name="__________MMM52">#REF!</definedName>
    <definedName name="__________MMM53">#REF!</definedName>
    <definedName name="__________MMM54">#REF!</definedName>
    <definedName name="_________LLL01">#REF!</definedName>
    <definedName name="_________LLL02">#REF!</definedName>
    <definedName name="_________LLL03">#REF!</definedName>
    <definedName name="_________LLL04">#REF!</definedName>
    <definedName name="_________LLL05">#REF!</definedName>
    <definedName name="_________LLL06">#REF!</definedName>
    <definedName name="_________LLL07">#REF!</definedName>
    <definedName name="_________LLL08">#REF!</definedName>
    <definedName name="_________LLL09">#REF!</definedName>
    <definedName name="_________LLL10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>'[4]AN. ALAT'!#REF!</definedName>
    <definedName name="_________MDE10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>'[4]AN. ALAT'!#REF!</definedName>
    <definedName name="_________ME10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>#REF!</definedName>
    <definedName name="_________MMM02">#REF!</definedName>
    <definedName name="_________MMM03">#REF!</definedName>
    <definedName name="_________MMM04">#REF!</definedName>
    <definedName name="_________MMM05">#REF!</definedName>
    <definedName name="_________MMM06">#REF!</definedName>
    <definedName name="_________MMM07">#REF!</definedName>
    <definedName name="_________MMM08">#REF!</definedName>
    <definedName name="_________MMM09">#REF!</definedName>
    <definedName name="_________MMM10">#REF!</definedName>
    <definedName name="_________MMM11">#REF!</definedName>
    <definedName name="_________MMM12">#REF!</definedName>
    <definedName name="_________MMM13">#REF!</definedName>
    <definedName name="_________MMM14">#REF!</definedName>
    <definedName name="_________MMM15">#REF!</definedName>
    <definedName name="_________MMM16">#REF!</definedName>
    <definedName name="_________MMM17">#REF!</definedName>
    <definedName name="_________MMM18">#REF!</definedName>
    <definedName name="_________MMM19">#REF!</definedName>
    <definedName name="_________MMM20">#REF!</definedName>
    <definedName name="_________MMM21">#REF!</definedName>
    <definedName name="_________MMM22">#REF!</definedName>
    <definedName name="_________MMM23">#REF!</definedName>
    <definedName name="_________MMM24">#REF!</definedName>
    <definedName name="_________MMM25">#REF!</definedName>
    <definedName name="_________MMM26">#REF!</definedName>
    <definedName name="_________MMM27">#REF!</definedName>
    <definedName name="_________MMM28">#REF!</definedName>
    <definedName name="_________MMM29">#REF!</definedName>
    <definedName name="_________MMM30">#REF!</definedName>
    <definedName name="_________MMM31">#REF!</definedName>
    <definedName name="_________MMM32">#REF!</definedName>
    <definedName name="_________MMM33">#REF!</definedName>
    <definedName name="_________MMM34">#REF!</definedName>
    <definedName name="_________MMM35">#REF!</definedName>
    <definedName name="_________MMM36">#REF!</definedName>
    <definedName name="_________MMM37">#REF!</definedName>
    <definedName name="_________MMM38">#REF!</definedName>
    <definedName name="_________MMM39">#REF!</definedName>
    <definedName name="_________MMM40">#REF!</definedName>
    <definedName name="_________MMM41">#REF!</definedName>
    <definedName name="_________MMM411">#REF!</definedName>
    <definedName name="_________MMM42">#REF!</definedName>
    <definedName name="_________MMM43">#REF!</definedName>
    <definedName name="_________MMM44">#REF!</definedName>
    <definedName name="_________MMM45">#REF!</definedName>
    <definedName name="_________MMM46">#REF!</definedName>
    <definedName name="_________MMM47">#REF!</definedName>
    <definedName name="_________MMM48">#REF!</definedName>
    <definedName name="_________MMM49">#REF!</definedName>
    <definedName name="_________MMM50">#REF!</definedName>
    <definedName name="_________MMM51">#REF!</definedName>
    <definedName name="_________MMM52">#REF!</definedName>
    <definedName name="_________MMM53">#REF!</definedName>
    <definedName name="_________MMM54">#REF!</definedName>
    <definedName name="________LLL01">#REF!</definedName>
    <definedName name="________LLL02">#REF!</definedName>
    <definedName name="________LLL03">#REF!</definedName>
    <definedName name="________LLL04">#REF!</definedName>
    <definedName name="________LLL05">#REF!</definedName>
    <definedName name="________LLL06">#REF!</definedName>
    <definedName name="________LLL07">#REF!</definedName>
    <definedName name="________LLL08">#REF!</definedName>
    <definedName name="________LLL09">#REF!</definedName>
    <definedName name="________LLL10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>#REF!</definedName>
    <definedName name="________MMM02">#REF!</definedName>
    <definedName name="________MMM03">#REF!</definedName>
    <definedName name="________MMM04">#REF!</definedName>
    <definedName name="________MMM05">#REF!</definedName>
    <definedName name="________MMM06">#REF!</definedName>
    <definedName name="________MMM07">#REF!</definedName>
    <definedName name="________MMM08">#REF!</definedName>
    <definedName name="________MMM09">#REF!</definedName>
    <definedName name="________MMM10">#REF!</definedName>
    <definedName name="________MMM11">#REF!</definedName>
    <definedName name="________MMM12">#REF!</definedName>
    <definedName name="________MMM13">#REF!</definedName>
    <definedName name="________MMM14">#REF!</definedName>
    <definedName name="________MMM15">#REF!</definedName>
    <definedName name="________MMM16">#REF!</definedName>
    <definedName name="________MMM17">#REF!</definedName>
    <definedName name="________MMM18">#REF!</definedName>
    <definedName name="________MMM19">#REF!</definedName>
    <definedName name="________MMM20">#REF!</definedName>
    <definedName name="________MMM21">#REF!</definedName>
    <definedName name="________MMM22">#REF!</definedName>
    <definedName name="________MMM23">#REF!</definedName>
    <definedName name="________MMM24">#REF!</definedName>
    <definedName name="________MMM25">#REF!</definedName>
    <definedName name="________MMM26">#REF!</definedName>
    <definedName name="________MMM27">#REF!</definedName>
    <definedName name="________MMM28">#REF!</definedName>
    <definedName name="________MMM29">#REF!</definedName>
    <definedName name="________MMM30">#REF!</definedName>
    <definedName name="________MMM31">#REF!</definedName>
    <definedName name="________MMM32">#REF!</definedName>
    <definedName name="________MMM33">#REF!</definedName>
    <definedName name="________MMM34">#REF!</definedName>
    <definedName name="________MMM35">#REF!</definedName>
    <definedName name="________MMM36">#REF!</definedName>
    <definedName name="________MMM37">#REF!</definedName>
    <definedName name="________MMM38">#REF!</definedName>
    <definedName name="________MMM39">#REF!</definedName>
    <definedName name="________MMM40">#REF!</definedName>
    <definedName name="________MMM41">#REF!</definedName>
    <definedName name="________MMM411">#REF!</definedName>
    <definedName name="________MMM42">#REF!</definedName>
    <definedName name="________MMM43">#REF!</definedName>
    <definedName name="________MMM44">#REF!</definedName>
    <definedName name="________MMM45">#REF!</definedName>
    <definedName name="________MMM46">#REF!</definedName>
    <definedName name="________MMM47">#REF!</definedName>
    <definedName name="________MMM48">#REF!</definedName>
    <definedName name="________MMM49">#REF!</definedName>
    <definedName name="________MMM50">#REF!</definedName>
    <definedName name="________MMM51">#REF!</definedName>
    <definedName name="________MMM52">#REF!</definedName>
    <definedName name="________MMM53">#REF!</definedName>
    <definedName name="________MMM54">#REF!</definedName>
    <definedName name="________xlnm.Print_Area">"#ref!"</definedName>
    <definedName name="_______LLL01">#REF!</definedName>
    <definedName name="_______LLL02">#REF!</definedName>
    <definedName name="_______LLL03">#REF!</definedName>
    <definedName name="_______LLL04">#REF!</definedName>
    <definedName name="_______LLL05">#REF!</definedName>
    <definedName name="_______LLL06">#REF!</definedName>
    <definedName name="_______LLL07">#REF!</definedName>
    <definedName name="_______LLL08">#REF!</definedName>
    <definedName name="_______LLL09">#REF!</definedName>
    <definedName name="_______LLL10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>'[4]AN. ALAT'!#REF!</definedName>
    <definedName name="_______MDE10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>'[4]AN. ALAT'!#REF!</definedName>
    <definedName name="_______ME10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>#REF!</definedName>
    <definedName name="_______MMM02">#REF!</definedName>
    <definedName name="_______MMM03">#REF!</definedName>
    <definedName name="_______MMM04">#REF!</definedName>
    <definedName name="_______MMM05">#REF!</definedName>
    <definedName name="_______MMM06">#REF!</definedName>
    <definedName name="_______MMM07">#REF!</definedName>
    <definedName name="_______MMM08">#REF!</definedName>
    <definedName name="_______MMM09">#REF!</definedName>
    <definedName name="_______MMM10">#REF!</definedName>
    <definedName name="_______MMM11">#REF!</definedName>
    <definedName name="_______MMM12">#REF!</definedName>
    <definedName name="_______MMM13">#REF!</definedName>
    <definedName name="_______MMM14">#REF!</definedName>
    <definedName name="_______MMM15">#REF!</definedName>
    <definedName name="_______MMM16">#REF!</definedName>
    <definedName name="_______MMM17">#REF!</definedName>
    <definedName name="_______MMM18">#REF!</definedName>
    <definedName name="_______MMM19">#REF!</definedName>
    <definedName name="_______MMM20">#REF!</definedName>
    <definedName name="_______MMM21">#REF!</definedName>
    <definedName name="_______MMM22">#REF!</definedName>
    <definedName name="_______MMM23">#REF!</definedName>
    <definedName name="_______MMM24">#REF!</definedName>
    <definedName name="_______MMM25">#REF!</definedName>
    <definedName name="_______MMM26">#REF!</definedName>
    <definedName name="_______MMM27">#REF!</definedName>
    <definedName name="_______MMM28">#REF!</definedName>
    <definedName name="_______MMM29">#REF!</definedName>
    <definedName name="_______MMM30">#REF!</definedName>
    <definedName name="_______MMM31">#REF!</definedName>
    <definedName name="_______MMM32">#REF!</definedName>
    <definedName name="_______MMM33">#REF!</definedName>
    <definedName name="_______MMM34">#REF!</definedName>
    <definedName name="_______MMM35">#REF!</definedName>
    <definedName name="_______MMM36">#REF!</definedName>
    <definedName name="_______MMM37">#REF!</definedName>
    <definedName name="_______MMM38">#REF!</definedName>
    <definedName name="_______MMM39">#REF!</definedName>
    <definedName name="_______MMM40">#REF!</definedName>
    <definedName name="_______MMM41">#REF!</definedName>
    <definedName name="_______MMM411">#REF!</definedName>
    <definedName name="_______MMM42">#REF!</definedName>
    <definedName name="_______MMM43">#REF!</definedName>
    <definedName name="_______MMM44">#REF!</definedName>
    <definedName name="_______MMM45">#REF!</definedName>
    <definedName name="_______MMM46">#REF!</definedName>
    <definedName name="_______MMM47">#REF!</definedName>
    <definedName name="_______MMM48">#REF!</definedName>
    <definedName name="_______MMM49">#REF!</definedName>
    <definedName name="_______MMM50">#REF!</definedName>
    <definedName name="_______MMM51">#REF!</definedName>
    <definedName name="_______MMM52">#REF!</definedName>
    <definedName name="_______MMM53">#REF!</definedName>
    <definedName name="_______MMM54">#REF!</definedName>
    <definedName name="______HAL2">[4]Mobilisasi!#REF!</definedName>
    <definedName name="______LLL01">#REF!</definedName>
    <definedName name="______LLL02">#REF!</definedName>
    <definedName name="______LLL03">#REF!</definedName>
    <definedName name="______LLL04">#REF!</definedName>
    <definedName name="______LLL05">#REF!</definedName>
    <definedName name="______LLL06">#REF!</definedName>
    <definedName name="______LLL07">#REF!</definedName>
    <definedName name="______LLL08">#REF!</definedName>
    <definedName name="______LLL09">#REF!</definedName>
    <definedName name="______LLL10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>#REF!</definedName>
    <definedName name="______MMM02">#REF!</definedName>
    <definedName name="______MMM03">#REF!</definedName>
    <definedName name="______MMM04">#REF!</definedName>
    <definedName name="______MMM05">#REF!</definedName>
    <definedName name="______MMM06">#REF!</definedName>
    <definedName name="______MMM07">#REF!</definedName>
    <definedName name="______MMM08">#REF!</definedName>
    <definedName name="______MMM09">#REF!</definedName>
    <definedName name="______MMM10">#REF!</definedName>
    <definedName name="______MMM11">#REF!</definedName>
    <definedName name="______MMM12">#REF!</definedName>
    <definedName name="______MMM13">#REF!</definedName>
    <definedName name="______MMM14">#REF!</definedName>
    <definedName name="______MMM15">#REF!</definedName>
    <definedName name="______MMM16">#REF!</definedName>
    <definedName name="______MMM17">#REF!</definedName>
    <definedName name="______MMM18">#REF!</definedName>
    <definedName name="______MMM19">#REF!</definedName>
    <definedName name="______MMM20">#REF!</definedName>
    <definedName name="______MMM21">#REF!</definedName>
    <definedName name="______MMM22">#REF!</definedName>
    <definedName name="______MMM23">#REF!</definedName>
    <definedName name="______MMM24">#REF!</definedName>
    <definedName name="______MMM25">#REF!</definedName>
    <definedName name="______MMM26">#REF!</definedName>
    <definedName name="______MMM27">#REF!</definedName>
    <definedName name="______MMM28">#REF!</definedName>
    <definedName name="______MMM29">#REF!</definedName>
    <definedName name="______MMM30">#REF!</definedName>
    <definedName name="______MMM31">#REF!</definedName>
    <definedName name="______MMM32">#REF!</definedName>
    <definedName name="______MMM33">#REF!</definedName>
    <definedName name="______MMM34">#REF!</definedName>
    <definedName name="______MMM35">#REF!</definedName>
    <definedName name="______MMM36">#REF!</definedName>
    <definedName name="______MMM37">#REF!</definedName>
    <definedName name="______MMM38">#REF!</definedName>
    <definedName name="______MMM39">#REF!</definedName>
    <definedName name="______MMM40">#REF!</definedName>
    <definedName name="______MMM41">#REF!</definedName>
    <definedName name="______MMM411">#REF!</definedName>
    <definedName name="______MMM42">#REF!</definedName>
    <definedName name="______MMM43">#REF!</definedName>
    <definedName name="______MMM44">#REF!</definedName>
    <definedName name="______MMM45">#REF!</definedName>
    <definedName name="______MMM46">#REF!</definedName>
    <definedName name="______MMM47">#REF!</definedName>
    <definedName name="______MMM48">#REF!</definedName>
    <definedName name="______MMM49">#REF!</definedName>
    <definedName name="______MMM50">#REF!</definedName>
    <definedName name="______MMM51">#REF!</definedName>
    <definedName name="______MMM52">#REF!</definedName>
    <definedName name="______MMM53">#REF!</definedName>
    <definedName name="______MMM54">#REF!</definedName>
    <definedName name="______xlnm.Print_Area">"#ref!"</definedName>
    <definedName name="_____LLL01">#REF!</definedName>
    <definedName name="_____LLL02">#REF!</definedName>
    <definedName name="_____LLL03">#REF!</definedName>
    <definedName name="_____LLL04">#REF!</definedName>
    <definedName name="_____LLL05">#REF!</definedName>
    <definedName name="_____LLL06">#REF!</definedName>
    <definedName name="_____LLL07">#REF!</definedName>
    <definedName name="_____LLL08">#REF!</definedName>
    <definedName name="_____LLL09">#REF!</definedName>
    <definedName name="_____LLL10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>#REF!</definedName>
    <definedName name="_____MMM02">#REF!</definedName>
    <definedName name="_____MMM03">#REF!</definedName>
    <definedName name="_____MMM04">#REF!</definedName>
    <definedName name="_____MMM05">#REF!</definedName>
    <definedName name="_____MMM06">#REF!</definedName>
    <definedName name="_____MMM07">#REF!</definedName>
    <definedName name="_____MMM08">#REF!</definedName>
    <definedName name="_____MMM09">#REF!</definedName>
    <definedName name="_____MMM10">#REF!</definedName>
    <definedName name="_____MMM11">#REF!</definedName>
    <definedName name="_____MMM12">#REF!</definedName>
    <definedName name="_____MMM13">#REF!</definedName>
    <definedName name="_____MMM14">#REF!</definedName>
    <definedName name="_____MMM15">#REF!</definedName>
    <definedName name="_____MMM16">#REF!</definedName>
    <definedName name="_____MMM17">#REF!</definedName>
    <definedName name="_____MMM18">#REF!</definedName>
    <definedName name="_____MMM19">#REF!</definedName>
    <definedName name="_____MMM20">#REF!</definedName>
    <definedName name="_____MMM21">#REF!</definedName>
    <definedName name="_____MMM22">#REF!</definedName>
    <definedName name="_____MMM23">#REF!</definedName>
    <definedName name="_____MMM24">#REF!</definedName>
    <definedName name="_____MMM25">#REF!</definedName>
    <definedName name="_____MMM26">#REF!</definedName>
    <definedName name="_____MMM27">#REF!</definedName>
    <definedName name="_____MMM28">#REF!</definedName>
    <definedName name="_____MMM29">#REF!</definedName>
    <definedName name="_____MMM30">#REF!</definedName>
    <definedName name="_____MMM31">#REF!</definedName>
    <definedName name="_____MMM32">#REF!</definedName>
    <definedName name="_____MMM33">#REF!</definedName>
    <definedName name="_____MMM34">#REF!</definedName>
    <definedName name="_____MMM35">#REF!</definedName>
    <definedName name="_____MMM36">#REF!</definedName>
    <definedName name="_____MMM37">#REF!</definedName>
    <definedName name="_____MMM38">#REF!</definedName>
    <definedName name="_____MMM39">#REF!</definedName>
    <definedName name="_____MMM40">#REF!</definedName>
    <definedName name="_____MMM41">#REF!</definedName>
    <definedName name="_____MMM411">#REF!</definedName>
    <definedName name="_____MMM42">#REF!</definedName>
    <definedName name="_____MMM43">#REF!</definedName>
    <definedName name="_____MMM44">#REF!</definedName>
    <definedName name="_____MMM45">#REF!</definedName>
    <definedName name="_____MMM46">#REF!</definedName>
    <definedName name="_____MMM47">#REF!</definedName>
    <definedName name="_____MMM48">#REF!</definedName>
    <definedName name="_____MMM49">#REF!</definedName>
    <definedName name="_____MMM50">#REF!</definedName>
    <definedName name="_____MMM51">#REF!</definedName>
    <definedName name="_____MMM52">#REF!</definedName>
    <definedName name="_____MMM53">#REF!</definedName>
    <definedName name="_____MMM54">#REF!</definedName>
    <definedName name="_____xlnm.Print_Area">"#ref!"</definedName>
    <definedName name="____DIV4" hidden="1">[6]Div2!$I$12:$I$20</definedName>
    <definedName name="____DIV5" hidden="1">[6]Div2!$H$12:$H$20</definedName>
    <definedName name="____HAL2">[4]Mobilisasi!#REF!</definedName>
    <definedName name="____LLL01">#REF!</definedName>
    <definedName name="____LLL02">#REF!</definedName>
    <definedName name="____LLL03">#REF!</definedName>
    <definedName name="____LLL04">#REF!</definedName>
    <definedName name="____LLL05">#REF!</definedName>
    <definedName name="____LLL06">#REF!</definedName>
    <definedName name="____LLL07">#REF!</definedName>
    <definedName name="____LLL08">#REF!</definedName>
    <definedName name="____LLL09">#REF!</definedName>
    <definedName name="____LLL10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>#REF!</definedName>
    <definedName name="____MMM02">#REF!</definedName>
    <definedName name="____MMM03">#REF!</definedName>
    <definedName name="____MMM04">#REF!</definedName>
    <definedName name="____MMM05">#REF!</definedName>
    <definedName name="____MMM06">#REF!</definedName>
    <definedName name="____MMM07">#REF!</definedName>
    <definedName name="____MMM08">#REF!</definedName>
    <definedName name="____MMM09">#REF!</definedName>
    <definedName name="____MMM10">#REF!</definedName>
    <definedName name="____MMM11">#REF!</definedName>
    <definedName name="____MMM12">#REF!</definedName>
    <definedName name="____MMM13">#REF!</definedName>
    <definedName name="____MMM14">#REF!</definedName>
    <definedName name="____MMM15">#REF!</definedName>
    <definedName name="____MMM16">#REF!</definedName>
    <definedName name="____MMM17">#REF!</definedName>
    <definedName name="____MMM18">#REF!</definedName>
    <definedName name="____MMM19">#REF!</definedName>
    <definedName name="____MMM20">#REF!</definedName>
    <definedName name="____MMM21">#REF!</definedName>
    <definedName name="____MMM22">#REF!</definedName>
    <definedName name="____MMM23">#REF!</definedName>
    <definedName name="____MMM24">#REF!</definedName>
    <definedName name="____MMM25">#REF!</definedName>
    <definedName name="____MMM26">#REF!</definedName>
    <definedName name="____MMM27">#REF!</definedName>
    <definedName name="____MMM28">#REF!</definedName>
    <definedName name="____MMM29">#REF!</definedName>
    <definedName name="____MMM30">#REF!</definedName>
    <definedName name="____MMM31">#REF!</definedName>
    <definedName name="____MMM32">#REF!</definedName>
    <definedName name="____MMM33">#REF!</definedName>
    <definedName name="____MMM34">#REF!</definedName>
    <definedName name="____MMM35">#REF!</definedName>
    <definedName name="____MMM36">#REF!</definedName>
    <definedName name="____MMM37">#REF!</definedName>
    <definedName name="____MMM38">#REF!</definedName>
    <definedName name="____MMM39">#REF!</definedName>
    <definedName name="____MMM40">#REF!</definedName>
    <definedName name="____MMM41">#REF!</definedName>
    <definedName name="____MMM411">#REF!</definedName>
    <definedName name="____MMM42">#REF!</definedName>
    <definedName name="____MMM43">#REF!</definedName>
    <definedName name="____MMM44">#REF!</definedName>
    <definedName name="____MMM45">#REF!</definedName>
    <definedName name="____MMM46">#REF!</definedName>
    <definedName name="____MMM47">#REF!</definedName>
    <definedName name="____MMM48">#REF!</definedName>
    <definedName name="____MMM49">#REF!</definedName>
    <definedName name="____MMM50">#REF!</definedName>
    <definedName name="____MMM51">#REF!</definedName>
    <definedName name="____MMM52">#REF!</definedName>
    <definedName name="____MMM53">#REF!</definedName>
    <definedName name="____MMM54">#REF!</definedName>
    <definedName name="____xlnm.Print_Area">"#ref!"</definedName>
    <definedName name="____xlnm_Print_Area">"#ref!"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>'[10]Kuantitas &amp; Harga'!#REF!</definedName>
    <definedName name="__DIV11">'[10]Kuantitas &amp; Harga'!#REF!</definedName>
    <definedName name="__div2">'[10]Rekap Biaya'!#REF!</definedName>
    <definedName name="__DIV3">[9]RAB!$J$85</definedName>
    <definedName name="__DIV4">'[10]Kuantitas &amp; Harga'!#REF!</definedName>
    <definedName name="__DIV5">'[10]Kuantitas &amp; Harga'!#REF!</definedName>
    <definedName name="__DIV6">'[10]Kuantitas &amp; Harga'!#REF!</definedName>
    <definedName name="__DIV7">'[10]Kuantitas &amp; Harga'!#REF!</definedName>
    <definedName name="__DIV8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>#REF!</definedName>
    <definedName name="__HAL2">'[10]Kuantitas &amp; Harga'!#REF!</definedName>
    <definedName name="__HAL3">'[10]Kuantitas &amp; Harga'!#REF!</definedName>
    <definedName name="__HAL4">'[10]Kuantitas &amp; Harga'!#REF!</definedName>
    <definedName name="__HAL5">'[10]Kuantitas &amp; Harga'!#REF!</definedName>
    <definedName name="__HAL6">'[10]Kuantitas &amp; Harga'!#REF!</definedName>
    <definedName name="__HAL7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>SUM("a1"*"c1")</definedName>
    <definedName name="__shared_13_1_0">SUM("a1"*"c1")</definedName>
    <definedName name="__shared_15_0_0">SUM("a1"*"c1")</definedName>
    <definedName name="__shared_15_1_0">SUM("a1"*"c1")</definedName>
    <definedName name="__shared_15_2_0">SUM("a1"*"c1")</definedName>
    <definedName name="__shared_15_3_0">SUM("a1"*"c1")</definedName>
    <definedName name="__shared_15_4_0">SUM("a1"*"c1")</definedName>
    <definedName name="__shared_15_5_0">SUM("a1"*"c1")</definedName>
    <definedName name="__shared_17_0_0">SUM("a1"*"c1")</definedName>
    <definedName name="__shared_17_1_0">SUM("a1"*"c1")</definedName>
    <definedName name="__shared_17_10_0">SUM("a1"*"c1")</definedName>
    <definedName name="__shared_17_11_0">SUM("a1"*"c1")</definedName>
    <definedName name="__shared_17_12_0">SUM("a1"*"c1")</definedName>
    <definedName name="__shared_17_13_0">SUM("a1"*"c1")</definedName>
    <definedName name="__shared_17_2_0">SUM("a1"*"c1")</definedName>
    <definedName name="__shared_17_3_0">SUM("a1"*"c1")</definedName>
    <definedName name="__shared_17_4_0">SUM("a1"*"c1")</definedName>
    <definedName name="__shared_17_5_0">SUM("a1"*"c1")</definedName>
    <definedName name="__shared_17_6_0">SUM("a1"*"c1")</definedName>
    <definedName name="__shared_17_7_0">SUM("a1"*"c1")</definedName>
    <definedName name="__shared_17_8_0">SUM("a1"*"c1")</definedName>
    <definedName name="__shared_17_9_0">SUM("a1"*"c1")</definedName>
    <definedName name="__shared_19_0_0">SUM("a1"*"c1")</definedName>
    <definedName name="__shared_19_1_0">SUM("a1"*"c1")</definedName>
    <definedName name="__shared_19_2_0">SUM("a1"*"c1")</definedName>
    <definedName name="__shared_21_0_0">SUM("a1"*"c1")</definedName>
    <definedName name="__shared_21_1_0">SUM("a1"*"c1")</definedName>
    <definedName name="__shared_21_2_0">SUM("a1"*"c1")</definedName>
    <definedName name="__shared_22_0_0">SUM("a1"*"c1")</definedName>
    <definedName name="__shared_22_1_0">SUM("a1"*"c1")</definedName>
    <definedName name="__shared_22_10_0">SUM("a1"*"c1")</definedName>
    <definedName name="__shared_22_11_0">SUM("a1"*"c1")</definedName>
    <definedName name="__shared_22_2_0">SUM("a1"*"c1")</definedName>
    <definedName name="__shared_22_3_0">SUM("a1"*"c1")</definedName>
    <definedName name="__shared_22_4_0">SUM("a1"*"c1")</definedName>
    <definedName name="__shared_22_5_0">SUM("a1"*"c1")</definedName>
    <definedName name="__shared_22_6_0">SUM("a1"*"c1")</definedName>
    <definedName name="__shared_22_7_0">SUM("a1"*"c1")</definedName>
    <definedName name="__shared_22_8_0">SUM("a1"*"c1")</definedName>
    <definedName name="__shared_22_9_0">SUM("a1"*"c1")</definedName>
    <definedName name="__shared_24_0_0">SUM("a1"*"c1")</definedName>
    <definedName name="__shared_24_1_0">SUM("a1"*"c1")</definedName>
    <definedName name="__shared_24_10_0">SUM("a1"*"c1")</definedName>
    <definedName name="__shared_24_11_0">SUM("a1"*"c1")</definedName>
    <definedName name="__shared_24_2_0">SUM("a1"*"c1")</definedName>
    <definedName name="__shared_24_3_0">SUM("a1"*"c1")</definedName>
    <definedName name="__shared_24_4_0">SUM("a1"*"c1")</definedName>
    <definedName name="__shared_24_5_0">SUM("a1"*"c1")</definedName>
    <definedName name="__shared_24_6_0">SUM("a1"*"c1")</definedName>
    <definedName name="__shared_24_7_0">SUM("a1"*"c1")</definedName>
    <definedName name="__shared_24_8_0">SUM("a1"*"c1")</definedName>
    <definedName name="__shared_24_9_0">SUM("a1"*"c1")</definedName>
    <definedName name="__shared_26_0_0">SUM("a1"*"c1")</definedName>
    <definedName name="__shared_26_1_0">SUM("a1"*"c1")</definedName>
    <definedName name="__shared_26_10_0">SUM("a1"*"c1")</definedName>
    <definedName name="__shared_26_11_0">SUM("a1"*"c1")</definedName>
    <definedName name="__shared_26_12_0">SUM("a1"*"c1")</definedName>
    <definedName name="__shared_26_13_0">SUM("a1"*"c1")</definedName>
    <definedName name="__shared_26_2_0">SUM("a1"*"c1")</definedName>
    <definedName name="__shared_26_3_0">SUM("a1"*"c1")</definedName>
    <definedName name="__shared_26_4_0">SUM("a1"*"c1")</definedName>
    <definedName name="__shared_26_5_0">SUM("a1"*"c1")</definedName>
    <definedName name="__shared_26_6_0">SUM("a1"*"c1")</definedName>
    <definedName name="__shared_26_7_0">SUM("a1"*"c1")</definedName>
    <definedName name="__shared_26_8_0">SUM("a1"*"c1")</definedName>
    <definedName name="__shared_26_9_0">SUM("a1"*"c1")</definedName>
    <definedName name="__shared_28_0_0">SUM("a1"*"c1")</definedName>
    <definedName name="__shared_28_1_0">SUM("a1"*"c1")</definedName>
    <definedName name="__shared_28_10_0">SUM("a1"*"c1")</definedName>
    <definedName name="__shared_28_11_0">SUM("a1"*"c1")</definedName>
    <definedName name="__shared_28_12_0">SUM("a1"*"c1")</definedName>
    <definedName name="__shared_28_2_0">SUM("a1"*"c1")</definedName>
    <definedName name="__shared_28_3_0">SUM("a1"*"c1")</definedName>
    <definedName name="__shared_28_4_0">SUM("a1"*"c1")</definedName>
    <definedName name="__shared_28_5_0">SUM("a1"*"c1")</definedName>
    <definedName name="__shared_28_6_0">SUM("a1"*"c1")</definedName>
    <definedName name="__shared_28_7_0">SUM("a1"*"c1")</definedName>
    <definedName name="__shared_28_8_0">SUM("a1"*"c1")</definedName>
    <definedName name="__shared_28_9_0">SUM("a1"*"c1")</definedName>
    <definedName name="__shared_30_0_0">SUM("a1"*"c1")</definedName>
    <definedName name="__shared_30_1_0">SUM("a1"*"c1")</definedName>
    <definedName name="__shared_30_10_0">SUM("a1"*"c1")</definedName>
    <definedName name="__shared_30_2_0">SUM("a1"*"c1")</definedName>
    <definedName name="__shared_30_3_0">SUM("a1"*"c1")</definedName>
    <definedName name="__shared_30_4_0">SUM("a1"*"c1")</definedName>
    <definedName name="__shared_30_5_0">SUM("a1"*"c1")</definedName>
    <definedName name="__shared_30_6_0">SUM("a1"*"c1")</definedName>
    <definedName name="__shared_30_7_0">SUM("a1"*"c1")</definedName>
    <definedName name="__shared_30_8_0">SUM("a1"*"c1")</definedName>
    <definedName name="__shared_30_9_0">SUM("a1"*"c1")</definedName>
    <definedName name="__shared_32_0_0">SUM("a1"*"c1")</definedName>
    <definedName name="__shared_32_1_0">SUM("a1"*"c1")</definedName>
    <definedName name="__shared_32_10_0">SUM("a1"*"c1")</definedName>
    <definedName name="__shared_32_2_0">SUM("a1"*"c1")</definedName>
    <definedName name="__shared_32_3_0">SUM("a1"*"c1")</definedName>
    <definedName name="__shared_32_4_0">SUM("a1"*"c1")</definedName>
    <definedName name="__shared_32_5_0">SUM("a1"*"c1")</definedName>
    <definedName name="__shared_32_6_0">SUM("a1"*"c1")</definedName>
    <definedName name="__shared_32_7_0">SUM("a1"*"c1")</definedName>
    <definedName name="__shared_32_8_0">SUM("a1"*"c1")</definedName>
    <definedName name="__shared_32_9_0">SUM("a1"*"c1")</definedName>
    <definedName name="__shared_34_0_0">SUM("a1"*"c1")</definedName>
    <definedName name="__shared_34_1_0">SUM("a1"*"c1")</definedName>
    <definedName name="__shared_34_2_0">SUM("a1"*"c1")</definedName>
    <definedName name="__shared_34_3_0">SUM("a1"*"c1")</definedName>
    <definedName name="__shared_34_4_0">SUM("a1"*"c1")</definedName>
    <definedName name="__shared_34_5_0">SUM("a1"*"c1")</definedName>
    <definedName name="__shared_34_6_0">SUM("a1"*"c1")</definedName>
    <definedName name="__shared_34_7_0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>SUM("a1"*"g1")</definedName>
    <definedName name="__shared_40_6_0">"a1"*"g1"</definedName>
    <definedName name="__shared_40_60_0">"a1"</definedName>
    <definedName name="__shared_40_61_0">SUM("a1"*"g1")</definedName>
    <definedName name="__shared_40_62_0">"a1"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>SUM("a1"*"g1")</definedName>
    <definedName name="__shared_41_56_0">"a1"</definedName>
    <definedName name="__shared_41_57_0">SUM("a1"*"g1")</definedName>
    <definedName name="__shared_41_58_0">"a1"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>SUM("a1"*"c1")</definedName>
    <definedName name="__shared_42_1_0">SUM("a1"*"c1")</definedName>
    <definedName name="__shared_42_2_0">SUM("a1"*"c1")</definedName>
    <definedName name="__shared_42_3_0">SUM("a1"*"c1")</definedName>
    <definedName name="__shared_42_4_0">SUM("a1"*"c1")</definedName>
    <definedName name="__shared_42_5_0">SUM("a1"*"c1")</definedName>
    <definedName name="__shared_42_6_0">SUM("a1"*"c1")</definedName>
    <definedName name="__shared_42_7_0">SUM("a1"*"c1")</definedName>
    <definedName name="__shared_42_8_0">SUM("a1"*"c1")</definedName>
    <definedName name="__shared_44_0_0">SUM("a1"*"c1")</definedName>
    <definedName name="__shared_44_1_0">SUM("a1"*"c1")</definedName>
    <definedName name="__shared_44_2_0">SUM("a1"*"c1")</definedName>
    <definedName name="__shared_44_3_0">SUM("a1"*"c1")</definedName>
    <definedName name="__shared_44_4_0">SUM("a1"*"c1")</definedName>
    <definedName name="__shared_44_5_0">SUM("a1"*"c1")</definedName>
    <definedName name="__shared_44_6_0">SUM("a1"*"c1")</definedName>
    <definedName name="__shared_44_7_0">SUM("a1"*"c1")</definedName>
    <definedName name="__shared_44_8_0">SUM("a1"*"c1")</definedName>
    <definedName name="__shared_45_0_0">SUM("a1"*"c1")</definedName>
    <definedName name="__shared_45_1_0">SUM("a1"*"c1")</definedName>
    <definedName name="__shared_45_2_0">SUM("a1"*"c1")</definedName>
    <definedName name="__shared_45_3_0">SUM("a1"*"c1")</definedName>
    <definedName name="__shared_45_4_0">SUM("a1"*"c1")</definedName>
    <definedName name="__shared_45_5_0">SUM("a1"*"c1")</definedName>
    <definedName name="__shared_45_6_0">SUM("a1"*"c1")</definedName>
    <definedName name="__shared_45_7_0">SUM("a1"*"c1")</definedName>
    <definedName name="__shared_47_0_0">SUM("a1"*"c1")</definedName>
    <definedName name="__shared_47_1_0">SUM("a1"*"c1")</definedName>
    <definedName name="__shared_47_10_0">SUM("a1"*"c1")</definedName>
    <definedName name="__shared_47_11_0">SUM("a1"*"c1")</definedName>
    <definedName name="__shared_47_12_0">SUM("a1"*"c1")</definedName>
    <definedName name="__shared_47_13_0">SUM("a1"*"c1")</definedName>
    <definedName name="__shared_47_14_0">SUM("a1"*"c1")</definedName>
    <definedName name="__shared_47_15_0">SUM("a1"*"c1")</definedName>
    <definedName name="__shared_47_16_0">SUM("a1"*"c1")</definedName>
    <definedName name="__shared_47_17_0">SUM("a1"*"c1")</definedName>
    <definedName name="__shared_47_18_0">SUM("a1"*"c1")</definedName>
    <definedName name="__shared_47_19_0">SUM("a1"*"c1")</definedName>
    <definedName name="__shared_47_2_0">SUM("a1"*"c1")</definedName>
    <definedName name="__shared_47_20_0">SUM("a1"*"c1")</definedName>
    <definedName name="__shared_47_21_0">SUM("a1"*"c1")</definedName>
    <definedName name="__shared_47_22_0">SUM("a1"*"c1")</definedName>
    <definedName name="__shared_47_23_0">SUM("a1"*"c1")</definedName>
    <definedName name="__shared_47_24_0">SUM("a1"*"c1")</definedName>
    <definedName name="__shared_47_25_0">SUM("a1"*"c1")</definedName>
    <definedName name="__shared_47_26_0">SUM("a1"*"c1")</definedName>
    <definedName name="__shared_47_27_0">SUM("a1"*"c1")</definedName>
    <definedName name="__shared_47_3_0">SUM("a1"*"c1")</definedName>
    <definedName name="__shared_47_4_0">SUM("a1"*"c1")</definedName>
    <definedName name="__shared_47_5_0">SUM("a1"*"c1")</definedName>
    <definedName name="__shared_47_6_0">SUM("a1"*"c1")</definedName>
    <definedName name="__shared_47_7_0">SUM("a1"*"c1")</definedName>
    <definedName name="__shared_47_8_0">SUM("a1"*"c1")</definedName>
    <definedName name="__shared_47_9_0">SUM("a1"*"c1")</definedName>
    <definedName name="__shared_49_0_0">"c1"*"a1"</definedName>
    <definedName name="__shared_49_1_0">SUM("a1"*"c1")</definedName>
    <definedName name="__shared_49_10_0">SUM("a1"*"c1")</definedName>
    <definedName name="__shared_49_11_0">SUM("a1"*"c1")</definedName>
    <definedName name="__shared_49_12_0">SUM("a1"*"c1")</definedName>
    <definedName name="__shared_49_13_0">"c1"*"a1"</definedName>
    <definedName name="__shared_49_14_0">"c1"*"a1"</definedName>
    <definedName name="__shared_49_15_0">SUM("a1"*"c1")</definedName>
    <definedName name="__shared_49_16_0">SUM("a1"*"c1")</definedName>
    <definedName name="__shared_49_17_0">SUM("a1"*"c1")</definedName>
    <definedName name="__shared_49_18_0">SUM("a1"*"c1")</definedName>
    <definedName name="__shared_49_19_0">SUM("a1"*"c1")</definedName>
    <definedName name="__shared_49_2_0">"c1"*"a1"</definedName>
    <definedName name="__shared_49_20_0">SUM("a1"*"c1")</definedName>
    <definedName name="__shared_49_21_0">SUM("a1"*"c1")</definedName>
    <definedName name="__shared_49_22_0">SUM("a1"*"c1")</definedName>
    <definedName name="__shared_49_23_0">SUM("a1"*"c1")</definedName>
    <definedName name="__shared_49_24_0">SUM("a1"*"c1")</definedName>
    <definedName name="__shared_49_25_0">"c1"*"a1"</definedName>
    <definedName name="__shared_49_26_0">"c1"*"a1"</definedName>
    <definedName name="__shared_49_27_0">SUM("a1"*"c1")</definedName>
    <definedName name="__shared_49_3_0">SUM("a1"*"c1")</definedName>
    <definedName name="__shared_49_4_0">SUM("a1"*"c1")</definedName>
    <definedName name="__shared_49_5_0">SUM("a1"*"c1")</definedName>
    <definedName name="__shared_49_6_0">SUM("a1"*"c1")</definedName>
    <definedName name="__shared_49_7_0">SUM("a1"*"c1")</definedName>
    <definedName name="__shared_49_8_0">SUM("a1"*"c1")</definedName>
    <definedName name="__shared_49_9_0">SUM("a1"*"c1")</definedName>
    <definedName name="__shared_51_0_0">"c1"*"a1"</definedName>
    <definedName name="__shared_51_1_0">"c1"*"a1"</definedName>
    <definedName name="__shared_51_2_0">SUM("a1"*"c1")</definedName>
    <definedName name="__shared_51_3_0">"c1"*"a1"</definedName>
    <definedName name="__shared_51_4_0">"c1"*"a1"</definedName>
    <definedName name="__shared_51_5_0">SUM("a1"*"c1")</definedName>
    <definedName name="__shared_51_6_0">SUM("a1"*"c1")</definedName>
    <definedName name="__shared_51_7_0">SUM("a1"*"c1")</definedName>
    <definedName name="__shared_53_0_0">SUM("a1"*"c1")</definedName>
    <definedName name="__shared_53_1_0">SUM("a1"*"c1")</definedName>
    <definedName name="__shared_53_2_0">SUM("a1"*"c1")</definedName>
    <definedName name="__shared_53_3_0">SUM("a1"*"c1")</definedName>
    <definedName name="__shared_53_4_0">SUM("a1"*"c1")</definedName>
    <definedName name="__shared_53_5_0">SUM("a1"*"c1")</definedName>
    <definedName name="__shared_53_6_0">SUM("a1"*"c1")</definedName>
    <definedName name="__shared_53_7_0">SUM("a1"*"c1")</definedName>
    <definedName name="__shared_53_8_0">SUM("a1"*"c1")</definedName>
    <definedName name="__shared_55_0_0">SUM("a1"*"c1")</definedName>
    <definedName name="__shared_55_1_0">SUM("a1"*"c1")</definedName>
    <definedName name="__shared_57_0_0">SUM("a1"*"c1")</definedName>
    <definedName name="__shared_57_1_0">SUM("a1"*"c1")</definedName>
    <definedName name="__shared_57_10_0">SUM("a1"*"c1")</definedName>
    <definedName name="__shared_57_11_0">SUM("a1"*"c1")</definedName>
    <definedName name="__shared_57_12_0">SUM("a1"*"c1")</definedName>
    <definedName name="__shared_57_2_0">SUM("a1"*"c1")</definedName>
    <definedName name="__shared_57_3_0">SUM("a1"*"c1")</definedName>
    <definedName name="__shared_57_4_0">SUM("a1"*"c1")</definedName>
    <definedName name="__shared_57_5_0">SUM("a1"*"c1")</definedName>
    <definedName name="__shared_57_6_0">SUM("a1"*"c1")</definedName>
    <definedName name="__shared_57_7_0">SUM("a1"*"c1")</definedName>
    <definedName name="__shared_57_8_0">SUM("a1"*"c1")</definedName>
    <definedName name="__shared_57_9_0">SUM("a1"*"c1")</definedName>
    <definedName name="__shared_59_0_0">SUM("a1"*"c1")</definedName>
    <definedName name="__shared_59_1_0">SUM("a1"*"c1")</definedName>
    <definedName name="__shared_59_10_0">SUM("a1"*"c1")</definedName>
    <definedName name="__shared_59_11_0">SUM("a1"*"c1")</definedName>
    <definedName name="__shared_59_2_0">SUM("a1"*"c1")</definedName>
    <definedName name="__shared_59_3_0">SUM("a1"*"c1")</definedName>
    <definedName name="__shared_59_4_0">SUM("a1"*"c1")</definedName>
    <definedName name="__shared_59_5_0">SUM("a1"*"c1")</definedName>
    <definedName name="__shared_59_6_0">SUM("a1"*"c1")</definedName>
    <definedName name="__shared_59_7_0">SUM("a1"*"c1")</definedName>
    <definedName name="__shared_59_8_0">SUM("a1"*"c1")</definedName>
    <definedName name="__shared_59_9_0">SUM("a1"*"c1")</definedName>
    <definedName name="__shared_61_0_0">SUM("a1"*"c1")</definedName>
    <definedName name="__shared_61_1_0">SUM("a1"*"c1")</definedName>
    <definedName name="__shared_61_10_0">SUM("a1"*"c1")</definedName>
    <definedName name="__shared_61_2_0">SUM("a1"*"c1")</definedName>
    <definedName name="__shared_61_3_0">SUM("a1"*"c1")</definedName>
    <definedName name="__shared_61_4_0">SUM("a1"*"c1")</definedName>
    <definedName name="__shared_61_5_0">SUM("a1"*"c1")</definedName>
    <definedName name="__shared_61_6_0">SUM("a1"*"c1")</definedName>
    <definedName name="__shared_61_7_0">SUM("a1"*"c1")</definedName>
    <definedName name="__shared_61_8_0">SUM("a1"*"c1")</definedName>
    <definedName name="__shared_61_9_0">SUM("a1"*"c1")</definedName>
    <definedName name="__shared_63_0_0">SUM("a1"*"c1")</definedName>
    <definedName name="__shared_63_1_0">SUM("a1"*"c1")</definedName>
    <definedName name="__shared_63_10_0">SUM("a1"*"c1")</definedName>
    <definedName name="__shared_63_2_0">SUM("a1"*"c1")</definedName>
    <definedName name="__shared_63_3_0">SUM("a1"*"c1")</definedName>
    <definedName name="__shared_63_4_0">SUM("a1"*"c1")</definedName>
    <definedName name="__shared_63_5_0">SUM("a1"*"c1")</definedName>
    <definedName name="__shared_63_6_0">SUM("a1"*"c1")</definedName>
    <definedName name="__shared_63_7_0">SUM("a1"*"c1")</definedName>
    <definedName name="__shared_63_8_0">SUM("a1"*"c1")</definedName>
    <definedName name="__shared_63_9_0">SUM("a1"*"c1")</definedName>
    <definedName name="__shared_65_0_0">SUM("a1"*"c1")</definedName>
    <definedName name="__shared_65_1_0">SUM("a1"*"c1")</definedName>
    <definedName name="__shared_65_2_0">SUM("a1"*"c1")</definedName>
    <definedName name="__shared_65_3_0">SUM("a1"*"c1")</definedName>
    <definedName name="__shared_65_4_0">SUM("a1"*"c1")</definedName>
    <definedName name="__shared_65_5_0">SUM("a1"*"c1")</definedName>
    <definedName name="__shared_65_6_0">SUM("a1"*"c1")</definedName>
    <definedName name="__shared_65_7_0">SUM("a1"*"c1")</definedName>
    <definedName name="__shared_66_0_0">SUM("a1"*"c1")</definedName>
    <definedName name="__shared_66_1_0">SUM("a1"*"c1")</definedName>
    <definedName name="__shared_66_10_0">SUM("a1"*"c1")</definedName>
    <definedName name="__shared_66_11_0">SUM("a1"*"c1")</definedName>
    <definedName name="__shared_66_12_0">SUM("a1"*"c1")</definedName>
    <definedName name="__shared_66_13_0">SUM("a1"*"c1")</definedName>
    <definedName name="__shared_66_14_0">SUM("a1"*"c1")</definedName>
    <definedName name="__shared_66_15_0">SUM("a1"*"c1")</definedName>
    <definedName name="__shared_66_2_0">SUM("a1"*"c1")</definedName>
    <definedName name="__shared_66_3_0">SUM("a1"*"c1")</definedName>
    <definedName name="__shared_66_4_0">SUM("a1"*"c1")</definedName>
    <definedName name="__shared_66_5_0">SUM("a1"*"c1")</definedName>
    <definedName name="__shared_66_6_0">SUM("a1"*"c1")</definedName>
    <definedName name="__shared_66_7_0">SUM("a1"*"c1")</definedName>
    <definedName name="__shared_66_8_0">SUM("a1"*"c1")</definedName>
    <definedName name="__shared_66_9_0">SUM("a1"*"c1")</definedName>
    <definedName name="__shared_68_0_0">SUM("a1"*"c1")</definedName>
    <definedName name="__shared_68_1_0">SUM("a1"*"c1")</definedName>
    <definedName name="__shared_68_10_0">SUM("a1"*"c1")</definedName>
    <definedName name="__shared_68_11_0">SUM("a1"*"c1")</definedName>
    <definedName name="__shared_68_12_0">SUM("a1"*"c1")</definedName>
    <definedName name="__shared_68_13_0">SUM("a1"*"c1")</definedName>
    <definedName name="__shared_68_14_0">SUM("a1"*"c1")</definedName>
    <definedName name="__shared_68_15_0">SUM("a1"*"c1")</definedName>
    <definedName name="__shared_68_16_0">SUM("a1"*"c1")</definedName>
    <definedName name="__shared_68_2_0">SUM("a1"*"c1")</definedName>
    <definedName name="__shared_68_3_0">SUM("a1"*"c1")</definedName>
    <definedName name="__shared_68_4_0">SUM("a1"*"c1")</definedName>
    <definedName name="__shared_68_5_0">SUM("a1"*"c1")</definedName>
    <definedName name="__shared_68_6_0">SUM("a1"*"c1")</definedName>
    <definedName name="__shared_68_7_0">SUM("a1"*"c1")</definedName>
    <definedName name="__shared_68_8_0">SUM("a1"*"c1")</definedName>
    <definedName name="__shared_68_9_0">SUM("a1"*"c1")</definedName>
    <definedName name="__shared_70_0_0">SUM("a1"*"c1")</definedName>
    <definedName name="__shared_70_1_0">SUM("a1"*"c1")</definedName>
    <definedName name="__shared_70_10_0">SUM("a1"*"c1")</definedName>
    <definedName name="__shared_70_11_0">SUM("a1"*"c1")</definedName>
    <definedName name="__shared_70_12_0">SUM("a1"*"c1")</definedName>
    <definedName name="__shared_70_13_0">SUM("a1"*"c1")</definedName>
    <definedName name="__shared_70_14_0">SUM("a1"*"c1")</definedName>
    <definedName name="__shared_70_15_0">SUM("a1"*"c1")</definedName>
    <definedName name="__shared_70_16_0">SUM("a1"*"c1")</definedName>
    <definedName name="__shared_70_2_0">SUM("a1"*"c1")</definedName>
    <definedName name="__shared_70_3_0">SUM("a1"*"c1")</definedName>
    <definedName name="__shared_70_4_0">SUM("a1"*"c1")</definedName>
    <definedName name="__shared_70_5_0">SUM("a1"*"c1")</definedName>
    <definedName name="__shared_70_6_0">SUM("a1"*"c1")</definedName>
    <definedName name="__shared_70_7_0">SUM("a1"*"c1")</definedName>
    <definedName name="__shared_70_8_0">SUM("a1"*"c1")</definedName>
    <definedName name="__shared_70_9_0">SUM("a1"*"c1")</definedName>
    <definedName name="__shared_71_0_0">SUM("a1"*"c1")</definedName>
    <definedName name="__shared_71_1_0">SUM("a1"*"c1")</definedName>
    <definedName name="__shared_71_10_0">SUM("a1"*"c1")</definedName>
    <definedName name="__shared_71_11_0">SUM("a1"*"c1")</definedName>
    <definedName name="__shared_71_12_0">SUM("a1"*"c1")</definedName>
    <definedName name="__shared_71_13_0">SUM("a1"*"c1")</definedName>
    <definedName name="__shared_71_14_0">SUM("a1"*"c1")</definedName>
    <definedName name="__shared_71_15_0">SUM("a1"*"c1")</definedName>
    <definedName name="__shared_71_16_0">SUM("a1"*"c1")</definedName>
    <definedName name="__shared_71_17_0">SUM("a1"*"c1")</definedName>
    <definedName name="__shared_71_2_0">SUM("a1"*"c1")</definedName>
    <definedName name="__shared_71_3_0">SUM("a1"*"c1")</definedName>
    <definedName name="__shared_71_4_0">SUM("a1"*"c1")</definedName>
    <definedName name="__shared_71_5_0">SUM("a1"*"c1")</definedName>
    <definedName name="__shared_71_6_0">SUM("a1"*"c1")</definedName>
    <definedName name="__shared_71_7_0">SUM("a1"*"c1")</definedName>
    <definedName name="__shared_71_8_0">SUM("a1"*"c1")</definedName>
    <definedName name="__shared_71_9_0">SUM("a1"*"c1")</definedName>
    <definedName name="__shared_73_0_0">SUM("a1"*"c1")</definedName>
    <definedName name="__shared_73_1_0">SUM("a1"*"c1")</definedName>
    <definedName name="__shared_73_2_0">SUM("a1"*"c1")</definedName>
    <definedName name="__shared_73_3_0">SUM("a1"*"c1")</definedName>
    <definedName name="__sp606">#REF!</definedName>
    <definedName name="__xlnm.Print_Area">"#ref!"</definedName>
    <definedName name="__xlnm_Print_Area">"#ref!"</definedName>
    <definedName name="_110">#REF!</definedName>
    <definedName name="_210">#REF!</definedName>
    <definedName name="_224">#REF!</definedName>
    <definedName name="_225">#REF!</definedName>
    <definedName name="_310">#REF!</definedName>
    <definedName name="_410">#REF!</definedName>
    <definedName name="_424">#REF!</definedName>
    <definedName name="_514">#REF!</definedName>
    <definedName name="_7.1__2">'[11]D7(1)'!#REF!</definedName>
    <definedName name="_705">#REF!</definedName>
    <definedName name="_DIV1">[9]RAB!$J$29</definedName>
    <definedName name="_DIV10">'[10]Kuantitas &amp; Harga'!#REF!</definedName>
    <definedName name="_DIV11">'[10]Kuantitas &amp; Harga'!#REF!</definedName>
    <definedName name="_div2">'[10]Rekap Biaya'!#REF!</definedName>
    <definedName name="_DIV3" hidden="1">[6]Div2!$G$12:$G$20</definedName>
    <definedName name="_DIV4">'[10]Kuantitas &amp; Harga'!#REF!</definedName>
    <definedName name="_DIV5">'[10]Kuantitas &amp; Harga'!#REF!</definedName>
    <definedName name="_DIV6">'[10]Kuantitas &amp; Harga'!#REF!</definedName>
    <definedName name="_DIV7">'[10]Kuantitas &amp; Harga'!#REF!</definedName>
    <definedName name="_DIV8">'[10]Kuantitas &amp; Harga'!#REF!</definedName>
    <definedName name="_DIV9">'[10]Kuantitas &amp; Harga'!#REF!</definedName>
    <definedName name="_EEE01">#REF!</definedName>
    <definedName name="_EEE02">'[11]5-Alt(1)'!$AW$9</definedName>
    <definedName name="_EEE03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>#REF!</definedName>
    <definedName name="_EEE13">'[11]5-Alt(1)'!$AW$20</definedName>
    <definedName name="_EEE14">#REF!</definedName>
    <definedName name="_EEE15">#REF!</definedName>
    <definedName name="_EEE16">'[11]5-Alt(1)'!$AW$23</definedName>
    <definedName name="_EEE17">'[11]5-Alt(1)'!$AW$24</definedName>
    <definedName name="_EEE18">#REF!</definedName>
    <definedName name="_EEE19">#REF!</definedName>
    <definedName name="_EEE20">#REF!</definedName>
    <definedName name="_EEE21">#REF!</definedName>
    <definedName name="_EEE22">#REF!</definedName>
    <definedName name="_EEE23">'[11]5-Alt(1)'!$AW$30</definedName>
    <definedName name="_EEE24">#REF!</definedName>
    <definedName name="_EEE25">#REF!</definedName>
    <definedName name="_EEE26">#REF!</definedName>
    <definedName name="_EEE27">'[11]5-Alt(1)'!$AW$34</definedName>
    <definedName name="_EEE28">#REF!</definedName>
    <definedName name="_EEE29">'[11]5-Alt(1)'!$AW$36</definedName>
    <definedName name="_EEE30">#REF!</definedName>
    <definedName name="_EEE31">'[11]5-Alt(1)'!$AW$38</definedName>
    <definedName name="_EEE32">#REF!</definedName>
    <definedName name="_EEE33">#REF!</definedName>
    <definedName name="_Fill" hidden="1">#REF!</definedName>
    <definedName name="_xlnm._FilterDatabase" hidden="1">[12]REKAP!$A$1:$H$53</definedName>
    <definedName name="_HAL1" localSheetId="3">#REF!</definedName>
    <definedName name="_HAL1" localSheetId="0">#REF!</definedName>
    <definedName name="_HAL1" localSheetId="4">#REF!</definedName>
    <definedName name="_HAL1">#REF!</definedName>
    <definedName name="_HAL2">'[10]Kuantitas &amp; Harga'!#REF!</definedName>
    <definedName name="_HAL3">'[10]Kuantitas &amp; Harga'!#REF!</definedName>
    <definedName name="_HAL4">'[10]Kuantitas &amp; Harga'!#REF!</definedName>
    <definedName name="_HAL5">'[10]Kuantitas &amp; Harga'!#REF!</definedName>
    <definedName name="_HAL6">'[10]Kuantitas &amp; Harga'!#REF!</definedName>
    <definedName name="_HAL7">'[10]Kuantitas &amp; Harga'!#REF!</definedName>
    <definedName name="_HAL8">'[10]Kuantitas &amp; Harga'!#REF!</definedName>
    <definedName name="_Key1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hidden="1">#REF!</definedName>
    <definedName name="_sp606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[13]RAB!#REF!</definedName>
    <definedName name="A.1" localSheetId="3">#REF!</definedName>
    <definedName name="A.1" localSheetId="0">#REF!</definedName>
    <definedName name="A.1" localSheetId="4">#REF!</definedName>
    <definedName name="A.1">#REF!</definedName>
    <definedName name="A.16" localSheetId="3">#REF!</definedName>
    <definedName name="A.16" localSheetId="0">#REF!</definedName>
    <definedName name="A.16" localSheetId="4">#REF!</definedName>
    <definedName name="A.16">#REF!</definedName>
    <definedName name="A.18_PASIR" localSheetId="3">#REF!</definedName>
    <definedName name="A.18_PASIR" localSheetId="0">#REF!</definedName>
    <definedName name="A.18_PASIR" localSheetId="4">#REF!</definedName>
    <definedName name="A.18_PASIR">#REF!</definedName>
    <definedName name="A.18_TANAH">#REF!</definedName>
    <definedName name="A.2">#REF!</definedName>
    <definedName name="A.4">#REF!</definedName>
    <definedName name="A.4A">[14]Analisa!$H$57</definedName>
    <definedName name="A_1" localSheetId="3">#REF!</definedName>
    <definedName name="A_1" localSheetId="0">#REF!</definedName>
    <definedName name="A_1" localSheetId="4">#REF!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>'[15]Analisa K'!#REF!</definedName>
    <definedName name="AAA" localSheetId="3">#REF!</definedName>
    <definedName name="AAA" localSheetId="0">#REF!</definedName>
    <definedName name="AAA" localSheetId="4">#REF!</definedName>
    <definedName name="AAA">#REF!</definedName>
    <definedName name="ab">[14]RAB!#REF!</definedName>
    <definedName name="AC_GENERAL">'[16]Hrg Bahan'!#REF!</definedName>
    <definedName name="AC_TOSHIBA">'[16]Hrg Bahan'!#REF!</definedName>
    <definedName name="AD">'[17]D. Upah'!$E$7:$G$18</definedName>
    <definedName name="adsdsd" localSheetId="3">#REF!</definedName>
    <definedName name="adsdsd" localSheetId="0">#REF!</definedName>
    <definedName name="adsdsd" localSheetId="4">#REF!</definedName>
    <definedName name="adsdsd">#REF!</definedName>
    <definedName name="AGREGAT">'[10]Kuantitas &amp; Harga'!#REF!</definedName>
    <definedName name="AIR_VALVE_DIA.1">'[16]Hrg Bahan'!#REF!</definedName>
    <definedName name="AKUSTIK">'[16]Hrg Bahan'!#REF!</definedName>
    <definedName name="alat" localSheetId="3">#REF!</definedName>
    <definedName name="alat" localSheetId="0">#REF!</definedName>
    <definedName name="alat" localSheetId="4">#REF!</definedName>
    <definedName name="alat">#REF!</definedName>
    <definedName name="ALAT_BANTU">'[16]Hrg Bahan'!$N$122</definedName>
    <definedName name="ALATUTAMA" localSheetId="3">#REF!</definedName>
    <definedName name="ALATUTAMA" localSheetId="0">#REF!</definedName>
    <definedName name="ALATUTAMA" localSheetId="4">#REF!</definedName>
    <definedName name="ALATUTAMA">#REF!</definedName>
    <definedName name="ALT">'[18]daft sewa alt'!$C$4:$E$11</definedName>
    <definedName name="ALUMINIUM_U">'[16]Hrg Bahan'!#REF!</definedName>
    <definedName name="AMP" localSheetId="3">#REF!</definedName>
    <definedName name="AMP" localSheetId="0">#REF!</definedName>
    <definedName name="AMP" localSheetId="4">#REF!</definedName>
    <definedName name="AMP">#REF!</definedName>
    <definedName name="AMPLAS_KASAR">'[16]Hrg Bahan'!#REF!</definedName>
    <definedName name="AN.1" localSheetId="3">#REF!</definedName>
    <definedName name="AN.1" localSheetId="0">#REF!</definedName>
    <definedName name="AN.1" localSheetId="4">#REF!</definedName>
    <definedName name="AN.1">#REF!</definedName>
    <definedName name="andi">'[17]Daftar Bahan'!$F$6:$J$45</definedName>
    <definedName name="Anl.G50c_voeg_hal.18">'[19]Hrg.sat.'!$I$1213</definedName>
    <definedName name="Anl.G50m_plesteran_hal.18">'[19]Hrg.sat.'!$I$1198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>#REF!</definedName>
    <definedName name="ASBER_GELOMBANG">'[16]Hrg Bahan'!$N$166</definedName>
    <definedName name="ASBES_GENTENG">'[16]Hrg Bahan'!#REF!</definedName>
    <definedName name="ASBES_PLAT_HAPL">'[16]Hrg Bahan'!#REF!</definedName>
    <definedName name="asdasd" localSheetId="3">#REF!</definedName>
    <definedName name="asdasd" localSheetId="0">#REF!</definedName>
    <definedName name="asdasd" localSheetId="4">#REF!</definedName>
    <definedName name="asdasd">#REF!</definedName>
    <definedName name="ASPAL">'[10]Kuantitas &amp; Harga'!#REF!</definedName>
    <definedName name="ATAP">#REF!</definedName>
    <definedName name="ATAP_GENTENG">[16]Analisa!#REF!</definedName>
    <definedName name="ATAP_SPANDEK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>[13]RAB!#REF!</definedName>
    <definedName name="B_DINDING">[16]Analisa!#REF!</definedName>
    <definedName name="B_KOLOM">[16]Analisa!#REF!</definedName>
    <definedName name="B_PLAT">[16]Analisa!#REF!</definedName>
    <definedName name="B_PONDASI">[16]Analisa!#REF!</definedName>
    <definedName name="B_RINGBALK">[16]Analisa!#REF!</definedName>
    <definedName name="B_SLOEF">[16]Analisa!#REF!</definedName>
    <definedName name="B_TANGGA">[16]Analisa!#REF!</definedName>
    <definedName name="BADAK_20X20">'[16]Hrg Bahan'!#REF!</definedName>
    <definedName name="BADAK_30X30">'[16]Hrg Bahan'!#REF!</definedName>
    <definedName name="BAHAN">[20]ANALISA.T!#REF!</definedName>
    <definedName name="bahan.">[21]HBU!$E$8:$E$592</definedName>
    <definedName name="BAHU">'[10]Kuantitas &amp; Harga'!#REF!</definedName>
    <definedName name="BAJA_C_">'[16]Hrg Bahan'!#REF!</definedName>
    <definedName name="BAJA_I">'[16]Hrg Bahan'!#REF!</definedName>
    <definedName name="BAJA_IWF_100">'[16]Hrg Bahan'!#REF!</definedName>
    <definedName name="BAJA_IWF_198">'[16]Hrg Bahan'!#REF!</definedName>
    <definedName name="BAJA_KONSTRUKSI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>'[16]Hrg Bahan'!#REF!</definedName>
    <definedName name="BAK_MANDI_PLAS">'[16]Hrg Bahan'!#REF!</definedName>
    <definedName name="BAK_MANDI_POR">'[16]Hrg Bahan'!#REF!</definedName>
    <definedName name="BALOK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>'[16]Hrg Bahan'!#REF!</definedName>
    <definedName name="batu">[12]harga!$F$34</definedName>
    <definedName name="BATU_KOSONG">[16]Analisa!#REF!</definedName>
    <definedName name="BATUBETON">[22]RAB01!#REF!</definedName>
    <definedName name="BAUT___VISER">'[16]Hrg Bahan'!#REF!</definedName>
    <definedName name="BAUT_BAJA">'[16]Hrg Bahan'!#REF!</definedName>
    <definedName name="bb" localSheetId="3">#REF!</definedName>
    <definedName name="bb" localSheetId="0">#REF!</definedName>
    <definedName name="bb" localSheetId="4">#REF!</definedName>
    <definedName name="bb">#REF!</definedName>
    <definedName name="bbb" localSheetId="3">#REF!</definedName>
    <definedName name="bbb" localSheetId="0">#REF!</definedName>
    <definedName name="bbb" localSheetId="4">#REF!</definedName>
    <definedName name="bbb">#REF!</definedName>
    <definedName name="BBG_ASBES_GEL" localSheetId="3">'[16]Hrg Bahan'!#REF!</definedName>
    <definedName name="BBG_ASBES_GEL" localSheetId="0">'[16]Hrg Bahan'!#REF!</definedName>
    <definedName name="BBG_ASBES_GEL" localSheetId="4">'[16]Hrg Bahan'!#REF!</definedName>
    <definedName name="BBG_ASBES_GEL">'[16]Hrg Bahan'!#REF!</definedName>
    <definedName name="BBG_ASBES_GEN" localSheetId="3">'[16]Hrg Bahan'!#REF!</definedName>
    <definedName name="BBG_ASBES_GEN" localSheetId="0">'[16]Hrg Bahan'!#REF!</definedName>
    <definedName name="BBG_ASBES_GEN" localSheetId="4">'[16]Hrg Bahan'!#REF!</definedName>
    <definedName name="BBG_ASBES_GEN">'[16]Hrg Bahan'!#REF!</definedName>
    <definedName name="BBG_ASBES_GEN_W">'[16]Hrg Bahan'!#REF!</definedName>
    <definedName name="BBG_GTG_BETON">'[16]Hrg Bahan'!$N$169</definedName>
    <definedName name="BBG_GTG_KERAMIK">'[16]Hrg Bahan'!#REF!</definedName>
    <definedName name="BBG_GTG_METAL">'[16]Hrg Bahan'!#REF!</definedName>
    <definedName name="BBG_GTG_STEEL">'[16]Hrg Bahan'!#REF!</definedName>
    <definedName name="besi">[12]harga!$F$62</definedName>
    <definedName name="BESI_BETON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>'[16]Hrg Bahan'!#REF!</definedName>
    <definedName name="BESI25">'[16]Hrg Bahan'!#REF!</definedName>
    <definedName name="BESI4">'[16]Hrg Bahan'!#REF!</definedName>
    <definedName name="BET_NON_STRUK" localSheetId="3">#REF!</definedName>
    <definedName name="BET_NON_STRUK" localSheetId="0">#REF!</definedName>
    <definedName name="BET_NON_STRUK" localSheetId="4">#REF!</definedName>
    <definedName name="BET_NON_STRUK">#REF!</definedName>
    <definedName name="beton" hidden="1">[24]Div2!$G$12:$G$20</definedName>
    <definedName name="BetonK175">#N/A</definedName>
    <definedName name="BetonK250">"#ref!"</definedName>
    <definedName name="bg">'[25]hrg-jadi'!$H$21</definedName>
    <definedName name="bhn" localSheetId="3">#REF!</definedName>
    <definedName name="bhn" localSheetId="0">#REF!</definedName>
    <definedName name="bhn" localSheetId="4">#REF!</definedName>
    <definedName name="bhn">#REF!</definedName>
    <definedName name="BHN.MAROS" localSheetId="3">#REF!</definedName>
    <definedName name="BHN.MAROS" localSheetId="0">#REF!</definedName>
    <definedName name="BHN.MAROS" localSheetId="4">#REF!</definedName>
    <definedName name="BHN.MAROS">#REF!</definedName>
    <definedName name="bhn.maros1" localSheetId="3">#REF!</definedName>
    <definedName name="bhn.maros1" localSheetId="0">#REF!</definedName>
    <definedName name="bhn.maros1" localSheetId="4">#REF!</definedName>
    <definedName name="bhn.maros1">#REF!</definedName>
    <definedName name="bhn.pangkep">#REF!</definedName>
    <definedName name="BIASA_1_4">[16]Analisa!#REF!</definedName>
    <definedName name="BIAYA_PENYAM">'[16]Hrg Bahan'!#REF!</definedName>
    <definedName name="BJLS.020_LICIN">'[16]Hrg Bahan'!#REF!</definedName>
    <definedName name="BJLS.020_PLAT">'[16]Hrg Bahan'!$N$157</definedName>
    <definedName name="bnb" localSheetId="3">#REF!</definedName>
    <definedName name="bnb" localSheetId="0">#REF!</definedName>
    <definedName name="bnb" localSheetId="4">#REF!</definedName>
    <definedName name="bnb">#REF!</definedName>
    <definedName name="BOHLAM_MINI">'[16]Hrg Bahan'!#REF!</definedName>
    <definedName name="BOSOWA_40">'[16]Hrg Bahan'!#REF!</definedName>
    <definedName name="BOSOWA_50">'[16]Hrg Bahan'!#REF!</definedName>
    <definedName name="BOUWPLANK">[16]Analisa!#REF!</definedName>
    <definedName name="BOX_METER">'[16]Hrg Bahan'!#REF!</definedName>
    <definedName name="BOX_ROLL_DOOR">'[16]Hrg Bahan'!#REF!</definedName>
    <definedName name="BRIKET">'[16]Hrg Bahan'!#REF!</definedName>
    <definedName name="Bronjong">#N/A</definedName>
    <definedName name="BT._PECAH_0_5_1">'[16]Hrg Bahan'!#REF!</definedName>
    <definedName name="BT.BATA">'[16]Hrg Bahan'!$N$23</definedName>
    <definedName name="BT.GUNUNG">'[16]Hrg Bahan'!$N$8</definedName>
    <definedName name="BT.GUNUNG_1.3">[16]Analisa!#REF!</definedName>
    <definedName name="BT.KALI">'[16]Hrg Bahan'!#REF!</definedName>
    <definedName name="BT.PECAH_10_15">'[16]Hrg Bahan'!#REF!</definedName>
    <definedName name="BT.PECAH_2_3">'[16]Hrg Bahan'!$N$9</definedName>
    <definedName name="BT.PECAH_3_5">'[16]Hrg Bahan'!#REF!</definedName>
    <definedName name="BT.PECAH_5_7">'[16]Hrg Bahan'!#REF!</definedName>
    <definedName name="BT.PECAH_7_10">'[16]Hrg Bahan'!#REF!</definedName>
    <definedName name="BT_GUNUNG_1.4">[16]Analisa!#REF!</definedName>
    <definedName name="BT_GUNUNG_1.5">[16]Analisa!#REF!</definedName>
    <definedName name="BT_GUNUNG_1_5">[16]Analisa!#REF!</definedName>
    <definedName name="bt_merah">'[25]hrg-jadi'!$H$30</definedName>
    <definedName name="Bt_Pecah">#N/A</definedName>
    <definedName name="BUBUNGAN_SENG">'[16]Hrg Bahan'!#REF!</definedName>
    <definedName name="BUBUNGAN_TLS">'[16]Hrg Bahan'!#REF!</definedName>
    <definedName name="BULLDOZER" localSheetId="3">#REF!</definedName>
    <definedName name="BULLDOZER" localSheetId="0">#REF!</definedName>
    <definedName name="BULLDOZER" localSheetId="4">#REF!</definedName>
    <definedName name="BULLDOZER">#REF!</definedName>
    <definedName name="C.">[13]RAB!#REF!</definedName>
    <definedName name="C._TEMBOK_KEDAP">'[16]Hrg Bahan'!#REF!</definedName>
    <definedName name="CampAspalMinor">"#ref!"</definedName>
    <definedName name="CAT">#REF!</definedName>
    <definedName name="CAT_ANTI_LUMUT">'[16]Hrg Bahan'!#REF!</definedName>
    <definedName name="CAT_ASBES">'[16]Hrg Bahan'!#REF!</definedName>
    <definedName name="CAT_ATAP">[16]Analisa!#REF!</definedName>
    <definedName name="CAT_BESI">'[16]Hrg Bahan'!#REF!</definedName>
    <definedName name="CAT_DINDING_BARU">[16]Analisa!#REF!</definedName>
    <definedName name="CAT_DINDING_LAMA">[16]Analisa!#REF!</definedName>
    <definedName name="CAT_GENTENG">'[16]Hrg Bahan'!#REF!</definedName>
    <definedName name="CAT_JEMBATAN">'[16]Hrg Bahan'!#REF!</definedName>
    <definedName name="CAT_KAYU_LAMA">[16]Analisa!#REF!</definedName>
    <definedName name="CAT_MINYAK_FIL">'[16]Hrg Bahan'!#REF!</definedName>
    <definedName name="CAT_MINYAK_STAI">'[16]Hrg Bahan'!#REF!</definedName>
    <definedName name="CAT_MOBILEX">'[16]Hrg Bahan'!#REF!</definedName>
    <definedName name="CAT_SANDING">'[16]Hrg Bahan'!#REF!</definedName>
    <definedName name="CAT_SENG">'[16]Hrg Bahan'!#REF!</definedName>
    <definedName name="CAT_TEMBOK_EKS">'[16]Hrg Bahan'!#REF!</definedName>
    <definedName name="CAT_TEMBOK_IN">'[16]Hrg Bahan'!#REF!</definedName>
    <definedName name="CCC">[13]RAB!#REF!</definedName>
    <definedName name="CCCC" localSheetId="3" hidden="1">#REF!</definedName>
    <definedName name="CCCC" localSheetId="0" hidden="1">#REF!</definedName>
    <definedName name="CCCC" localSheetId="4" hidden="1">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>'[16]Hrg Bahan'!#REF!</definedName>
    <definedName name="CLOSED_JGK_KIA">'[16]Hrg Bahan'!#REF!</definedName>
    <definedName name="CLOSED_JONGKOK">'[16]Hrg Bahan'!$N$178</definedName>
    <definedName name="COMPRESSOR" localSheetId="3">#REF!</definedName>
    <definedName name="COMPRESSOR" localSheetId="0">#REF!</definedName>
    <definedName name="COMPRESSOR" localSheetId="4">#REF!</definedName>
    <definedName name="COMPRESSOR">#REF!</definedName>
    <definedName name="CONCRETEMIXER" localSheetId="3">#REF!</definedName>
    <definedName name="CONCRETEMIXER" localSheetId="0">#REF!</definedName>
    <definedName name="CONCRETEMIXER" localSheetId="4">#REF!</definedName>
    <definedName name="CONCRETEMIXER">#REF!</definedName>
    <definedName name="CONCRETEVIBRO" localSheetId="3">#REF!</definedName>
    <definedName name="CONCRETEVIBRO" localSheetId="0">#REF!</definedName>
    <definedName name="CONCRETEVIBRO" localSheetId="4">#REF!</definedName>
    <definedName name="CONCRETEVIBRO">#REF!</definedName>
    <definedName name="CRANE">#REF!</definedName>
    <definedName name="D">#REF!</definedName>
    <definedName name="DAFTARSEWA">#REF!</definedName>
    <definedName name="DATAUPAH">'[11]4-Basic Price'!$D$8:$F$38</definedName>
    <definedName name="DAYWORKS">'[10]Kuantitas &amp; Harga'!#REF!</definedName>
    <definedName name="dd" hidden="1">#REF!</definedName>
    <definedName name="dddd" hidden="1">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>#REF!</definedName>
    <definedName name="Dibuat_tgl">#REF!</definedName>
    <definedName name="DINDING">#REF!</definedName>
    <definedName name="DINDING_POLOS_20.25">[16]Analisa!#REF!</definedName>
    <definedName name="Disiapkan_oleh" localSheetId="3">#REF!</definedName>
    <definedName name="Disiapkan_oleh" localSheetId="0">#REF!</definedName>
    <definedName name="Disiapkan_oleh" localSheetId="4">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[6]Div2!$H$12:$H$20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>'[10]Kuantitas &amp; Harga'!#REF!</definedName>
    <definedName name="DRYER_LANTAI">'[16]Hrg Bahan'!#REF!</definedName>
    <definedName name="DUMPTRUCK1" localSheetId="3">#REF!</definedName>
    <definedName name="DUMPTRUCK1" localSheetId="0">#REF!</definedName>
    <definedName name="DUMPTRUCK1" localSheetId="4">#REF!</definedName>
    <definedName name="DUMPTRUCK1">#REF!</definedName>
    <definedName name="DUMPTRUCK2" localSheetId="3">#REF!</definedName>
    <definedName name="DUMPTRUCK2" localSheetId="0">#REF!</definedName>
    <definedName name="DUMPTRUCK2" localSheetId="4">#REF!</definedName>
    <definedName name="DUMPTRUCK2">#REF!</definedName>
    <definedName name="E" localSheetId="3">[13]RAB!#REF!</definedName>
    <definedName name="E" localSheetId="0">[13]RAB!#REF!</definedName>
    <definedName name="E" localSheetId="4">[13]RAB!#REF!</definedName>
    <definedName name="E">[13]RAB!#REF!</definedName>
    <definedName name="E.13" localSheetId="3">#REF!</definedName>
    <definedName name="E.13" localSheetId="0">#REF!</definedName>
    <definedName name="E.13" localSheetId="4">#REF!</definedName>
    <definedName name="E.13">#REF!</definedName>
    <definedName name="E_001" localSheetId="3">#REF!</definedName>
    <definedName name="E_001" localSheetId="0">#REF!</definedName>
    <definedName name="E_001" localSheetId="4">#REF!</definedName>
    <definedName name="E_001">#REF!</definedName>
    <definedName name="E_010" localSheetId="3">#REF!</definedName>
    <definedName name="E_010" localSheetId="0">#REF!</definedName>
    <definedName name="E_010" localSheetId="4">#REF!</definedName>
    <definedName name="E_010">#REF!</definedName>
    <definedName name="E_031">#REF!</definedName>
    <definedName name="E_040">#REF!</definedName>
    <definedName name="E_052">#REF!</definedName>
    <definedName name="E_080">#REF!</definedName>
    <definedName name="E_081">#REF!</definedName>
    <definedName name="E_084">#REF!</definedName>
    <definedName name="E_087">#REF!</definedName>
    <definedName name="E_088">#REF!</definedName>
    <definedName name="E_089">#REF!</definedName>
    <definedName name="E_13">#REF!</definedName>
    <definedName name="E_153">#REF!</definedName>
    <definedName name="E_154">#REF!</definedName>
    <definedName name="E_155">#REF!</definedName>
    <definedName name="E_157">#REF!</definedName>
    <definedName name="E_182">#REF!</definedName>
    <definedName name="E_211">#REF!</definedName>
    <definedName name="E_212">#REF!</definedName>
    <definedName name="E_221">#REF!</definedName>
    <definedName name="E_251">#REF!</definedName>
    <definedName name="E_253">#REF!</definedName>
    <definedName name="E_301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>'[16]Hrg Bahan'!#REF!</definedName>
    <definedName name="ENGSEL_PINTU">'[16]Hrg Bahan'!#REF!</definedName>
    <definedName name="ENGSEL_PINTU_LE">'[16]Hrg Bahan'!#REF!</definedName>
    <definedName name="ENGSEL_PINTU_OT">'[16]Hrg Bahan'!#REF!</definedName>
    <definedName name="ETERNIT">'[16]Hrg Bahan'!#REF!</definedName>
    <definedName name="EXCAVATOR" localSheetId="3">#REF!</definedName>
    <definedName name="EXCAVATOR" localSheetId="0">#REF!</definedName>
    <definedName name="EXCAVATOR" localSheetId="4">#REF!</definedName>
    <definedName name="EXCAVATOR">#REF!</definedName>
    <definedName name="Excel_BuiltIn_Print_Area">#N/A</definedName>
    <definedName name="EXHAUSTFUN">'[16]Hrg Bahan'!#REF!</definedName>
    <definedName name="EXPANYOLET_TANA">'[16]Hrg Bahan'!$N$189</definedName>
    <definedName name="F">[13]RAB!#REF!</definedName>
    <definedName name="F.1_I" localSheetId="3">#REF!</definedName>
    <definedName name="F.1_I" localSheetId="0">#REF!</definedName>
    <definedName name="F.1_I" localSheetId="4">#REF!</definedName>
    <definedName name="F.1_I">#REF!</definedName>
    <definedName name="F.1_II" localSheetId="3">#REF!</definedName>
    <definedName name="F.1_II" localSheetId="0">#REF!</definedName>
    <definedName name="F.1_II" localSheetId="4">#REF!</definedName>
    <definedName name="F.1_II">#REF!</definedName>
    <definedName name="F.16" localSheetId="3">#REF!</definedName>
    <definedName name="F.16" localSheetId="0">#REF!</definedName>
    <definedName name="F.16" localSheetId="4">#REF!</definedName>
    <definedName name="F.16">#REF!</definedName>
    <definedName name="F.21_I">#REF!</definedName>
    <definedName name="F.21_II">#REF!</definedName>
    <definedName name="F.22_I">#REF!</definedName>
    <definedName name="F.22_II">#REF!</definedName>
    <definedName name="F.27_I">#REF!</definedName>
    <definedName name="F.27_II">#REF!</definedName>
    <definedName name="F.30_I_TEAK">#REF!</definedName>
    <definedName name="F.30_I_TRIP">#REF!</definedName>
    <definedName name="F.30_II_TEAK">#REF!</definedName>
    <definedName name="F.30_II_TRIP">#REF!</definedName>
    <definedName name="F.31_I">#REF!</definedName>
    <definedName name="F.31_II">#REF!</definedName>
    <definedName name="F.33_I">#REF!</definedName>
    <definedName name="F.33_II">#REF!</definedName>
    <definedName name="F.35_B3">#REF!</definedName>
    <definedName name="F.35_B5">#REF!</definedName>
    <definedName name="F.35_R3">#REF!</definedName>
    <definedName name="F.35_R5">#REF!</definedName>
    <definedName name="F.36_B_I">#REF!</definedName>
    <definedName name="F.36_B_II">#REF!</definedName>
    <definedName name="F.36_R_I">#REF!</definedName>
    <definedName name="F.36_R_II">#REF!</definedName>
    <definedName name="F.36A_I">#REF!</definedName>
    <definedName name="F.36A_II">#REF!</definedName>
    <definedName name="F.37_P_I">#REF!</definedName>
    <definedName name="F.37_P_II">#REF!</definedName>
    <definedName name="F.37_T">#REF!</definedName>
    <definedName name="F.37_TEAK">#REF!</definedName>
    <definedName name="F.38_I">#REF!</definedName>
    <definedName name="F.38_II">#REF!</definedName>
    <definedName name="F.47_I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>#REF!</definedName>
    <definedName name="FINISHER">#REF!</definedName>
    <definedName name="FINISHING">#REF!</definedName>
    <definedName name="FLATBEDTRUCK">#REF!</definedName>
    <definedName name="FLUG_KRAN_1_2">'[16]Hrg Bahan'!#REF!</definedName>
    <definedName name="FORM21">'[27]3-DIV2'!$L$1:$V$61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>#REF!</definedName>
    <definedName name="FORM612">#REF!</definedName>
    <definedName name="FORM621">#REF!</definedName>
    <definedName name="FORM622">#REF!</definedName>
    <definedName name="FORM623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44">#REF!</definedName>
    <definedName name="FORM745">#REF!</definedName>
    <definedName name="FORM7610">#REF!</definedName>
    <definedName name="FORM7612a">#REF!</definedName>
    <definedName name="FORM7612b">#REF!</definedName>
    <definedName name="FORM7612c">#REF!</definedName>
    <definedName name="FORM7613a">#REF!</definedName>
    <definedName name="FORM7613b">#REF!</definedName>
    <definedName name="FORM7613c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8">#REF!</definedName>
    <definedName name="FORM7619">#REF!</definedName>
    <definedName name="FORM768">#REF!</definedName>
    <definedName name="FORM769">#REF!</definedName>
    <definedName name="FORM76X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9manual">#REF!</definedName>
    <definedName name="FORM79mekanis">#REF!</definedName>
    <definedName name="FORM811">#REF!</definedName>
    <definedName name="FORM812">#REF!</definedName>
    <definedName name="FORM813">#REF!</definedName>
    <definedName name="FORM814">#REF!</definedName>
    <definedName name="FORM815">#REF!</definedName>
    <definedName name="FORM817">#REF!</definedName>
    <definedName name="FORM818">#REF!</definedName>
    <definedName name="FORM819">#REF!</definedName>
    <definedName name="FORM82">#REF!</definedName>
    <definedName name="FORM841">#REF!</definedName>
    <definedName name="FORM8410">#REF!</definedName>
    <definedName name="FORM842">#REF!</definedName>
    <definedName name="FORM844">#REF!</definedName>
    <definedName name="FORM845">#REF!</definedName>
    <definedName name="FORM846">#REF!</definedName>
    <definedName name="FORM847">#REF!</definedName>
    <definedName name="FORMGEOTEKSTIL">#REF!</definedName>
    <definedName name="FRRDS">#REF!</definedName>
    <definedName name="FULVIMIXER">#REF!</definedName>
    <definedName name="G">[13]RAB!#REF!</definedName>
    <definedName name="G.14" localSheetId="3">#REF!</definedName>
    <definedName name="G.14" localSheetId="0">#REF!</definedName>
    <definedName name="G.14" localSheetId="4">#REF!</definedName>
    <definedName name="G.14">#REF!</definedName>
    <definedName name="G.16" localSheetId="3">#REF!</definedName>
    <definedName name="G.16" localSheetId="0">#REF!</definedName>
    <definedName name="G.16" localSheetId="4">#REF!</definedName>
    <definedName name="G.16">#REF!</definedName>
    <definedName name="G.2" localSheetId="3">#REF!</definedName>
    <definedName name="G.2" localSheetId="0">#REF!</definedName>
    <definedName name="G.2" localSheetId="4">#REF!</definedName>
    <definedName name="G.2">#REF!</definedName>
    <definedName name="G.32H">#REF!</definedName>
    <definedName name="G.32K">#REF!</definedName>
    <definedName name="G.32L">#REF!</definedName>
    <definedName name="G.33F">#REF!</definedName>
    <definedName name="G.33H">#REF!</definedName>
    <definedName name="G.33I">#REF!</definedName>
    <definedName name="G.33L">#REF!</definedName>
    <definedName name="G.44">#REF!</definedName>
    <definedName name="G.50H">#REF!</definedName>
    <definedName name="G.50I">#REF!</definedName>
    <definedName name="G.50J">#REF!</definedName>
    <definedName name="G.50K">#REF!</definedName>
    <definedName name="G.50O">#REF!</definedName>
    <definedName name="G.50P">#REF!</definedName>
    <definedName name="G.51C">#REF!</definedName>
    <definedName name="G.51D">#REF!</definedName>
    <definedName name="G.53">#REF!</definedName>
    <definedName name="G.53A">#REF!</definedName>
    <definedName name="G.55B">#REF!</definedName>
    <definedName name="G.55C">#REF!</definedName>
    <definedName name="G.5A">#REF!</definedName>
    <definedName name="G.5B">#REF!</definedName>
    <definedName name="G.5C">#REF!</definedName>
    <definedName name="G.6">#REF!</definedName>
    <definedName name="G.67">#REF!</definedName>
    <definedName name="G.72_20X20">#REF!</definedName>
    <definedName name="g.72_20x25">'[29]HrgBahan&amp;Analisa'!$W$806</definedName>
    <definedName name="G.72_30X30" localSheetId="3">#REF!</definedName>
    <definedName name="G.72_30X30" localSheetId="0">#REF!</definedName>
    <definedName name="G.72_30X30" localSheetId="4">#REF!</definedName>
    <definedName name="G.72_30X30">#REF!</definedName>
    <definedName name="G.72_M_30X30" localSheetId="3">#REF!</definedName>
    <definedName name="G.72_M_30X30" localSheetId="0">#REF!</definedName>
    <definedName name="G.72_M_30X30" localSheetId="4">#REF!</definedName>
    <definedName name="G.72_M_30X30">#REF!</definedName>
    <definedName name="G_1" localSheetId="3">#REF!</definedName>
    <definedName name="G_1" localSheetId="0">#REF!</definedName>
    <definedName name="G_1" localSheetId="4">#REF!</definedName>
    <definedName name="G_1">#REF!</definedName>
    <definedName name="G_50m">#REF!</definedName>
    <definedName name="G_53A">#REF!</definedName>
    <definedName name="G_72b">#REF!</definedName>
    <definedName name="Gali_Saluran">"#ref!"</definedName>
    <definedName name="Galian">#N/A</definedName>
    <definedName name="Galian_Biasa">"#ref!"</definedName>
    <definedName name="GAMACCA">'[16]Hrg Bahan'!#REF!</definedName>
    <definedName name="GANITO_10X40">[16]Analisa!#REF!</definedName>
    <definedName name="GARNITO_30X30">[16]Analisa!#REF!</definedName>
    <definedName name="GENSET" localSheetId="3">#REF!</definedName>
    <definedName name="GENSET" localSheetId="0">#REF!</definedName>
    <definedName name="GENSET" localSheetId="4">#REF!</definedName>
    <definedName name="GENSET">#REF!</definedName>
    <definedName name="GENTENG_BETON">'[16]Hrg Bahan'!#REF!</definedName>
    <definedName name="GENTENG_KERAMIK">'[16]Hrg Bahan'!#REF!</definedName>
    <definedName name="GENTENG_KODOK">'[16]Hrg Bahan'!#REF!</definedName>
    <definedName name="GENTENG_METAL">'[16]Hrg Bahan'!#REF!</definedName>
    <definedName name="GERENDEL">'[16]Hrg Bahan'!#REF!</definedName>
    <definedName name="GEROBAK">'[16]Hrg Bahan'!#REF!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>'[16]Hrg Bahan'!#REF!</definedName>
    <definedName name="GIP_B_DIA.1_2">'[16]Hrg Bahan'!#REF!</definedName>
    <definedName name="GIP_B_DIA.1_5">'[16]Hrg Bahan'!$N$223</definedName>
    <definedName name="GIP_B_DIA.2">'[16]Hrg Bahan'!#REF!</definedName>
    <definedName name="GIP_B_DIA.3">'[16]Hrg Bahan'!#REF!</definedName>
    <definedName name="GIP_B_DIA.3_4">'[16]Hrg Bahan'!#REF!</definedName>
    <definedName name="GIP_B_DIA.4">'[16]Hrg Bahan'!#REF!</definedName>
    <definedName name="GLASS_BLOCK">'[16]Hrg Bahan'!#REF!</definedName>
    <definedName name="GORONG_100">'[16]Hrg Bahan'!#REF!</definedName>
    <definedName name="GORONG_60">'[16]Hrg Bahan'!#REF!</definedName>
    <definedName name="GORONG_80">'[16]Hrg Bahan'!#REF!</definedName>
    <definedName name="GRADER" localSheetId="3">#REF!</definedName>
    <definedName name="GRADER" localSheetId="0">#REF!</definedName>
    <definedName name="GRADER" localSheetId="4">#REF!</definedName>
    <definedName name="GRADER">#REF!</definedName>
    <definedName name="GRANIT_40X40">[16]Analisa!#REF!</definedName>
    <definedName name="GRANITO_20X20">[16]Analisa!#REF!</definedName>
    <definedName name="GRANITO_40X40">[16]Analisa!#REF!</definedName>
    <definedName name="GTG_HAPLES_GEL_">'[16]Hrg Bahan'!$N$165</definedName>
    <definedName name="GTG_HAPLES_WAR">'[16]Hrg Bahan'!#REF!</definedName>
    <definedName name="H">[13]RAB!#REF!</definedName>
    <definedName name="H.10_ASBES" localSheetId="3">#REF!</definedName>
    <definedName name="H.10_ASBES" localSheetId="0">#REF!</definedName>
    <definedName name="H.10_ASBES" localSheetId="4">#REF!</definedName>
    <definedName name="H.10_ASBES">#REF!</definedName>
    <definedName name="H.10_SENG" localSheetId="3">#REF!</definedName>
    <definedName name="H.10_SENG" localSheetId="0">#REF!</definedName>
    <definedName name="H.10_SENG" localSheetId="4">#REF!</definedName>
    <definedName name="H.10_SENG">#REF!</definedName>
    <definedName name="H.14_KARET" localSheetId="3">#REF!</definedName>
    <definedName name="H.14_KARET" localSheetId="0">#REF!</definedName>
    <definedName name="H.14_KARET" localSheetId="4">#REF!</definedName>
    <definedName name="H.14_KARET">#REF!</definedName>
    <definedName name="H.14_SENG_PLAT">#REF!</definedName>
    <definedName name="H.17_KARET">#REF!</definedName>
    <definedName name="H.17_SENG_PLAT">#REF!</definedName>
    <definedName name="H.2">#REF!</definedName>
    <definedName name="H.6">#REF!</definedName>
    <definedName name="H.8_AS_GEL">#REF!</definedName>
    <definedName name="H.8_AS_GEN">#REF!</definedName>
    <definedName name="H.8_SENG">#REF!</definedName>
    <definedName name="HAK_ANGIN">'[16]Hrg Bahan'!#REF!</definedName>
    <definedName name="HANDEL_ROLLING">'[16]Hrg Bahan'!#REF!</definedName>
    <definedName name="HARGA" localSheetId="3">#REF!</definedName>
    <definedName name="HARGA" localSheetId="0">#REF!</definedName>
    <definedName name="HARGA" localSheetId="4">#REF!</definedName>
    <definedName name="HARGA">#REF!</definedName>
    <definedName name="hargasatuan" localSheetId="3">#REF!</definedName>
    <definedName name="hargasatuan" localSheetId="0">#REF!</definedName>
    <definedName name="hargasatuan" localSheetId="4">#REF!</definedName>
    <definedName name="hargasatuan">#REF!</definedName>
    <definedName name="hari">#N/A</definedName>
    <definedName name="hlll" localSheetId="3" hidden="1">#REF!</definedName>
    <definedName name="hlll" localSheetId="0" hidden="1">#REF!</definedName>
    <definedName name="hlll" localSheetId="4" hidden="1">#REF!</definedName>
    <definedName name="hlll" hidden="1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localSheetId="3" hidden="1">{"'Sheet1'!$A$1"}</definedName>
    <definedName name="HTML_Control" localSheetId="0" hidden="1">{"'Sheet1'!$A$1"}</definedName>
    <definedName name="HTML_Control" localSheetId="4" hidden="1">{"'Sheet1'!$A$1"}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localSheetId="3" hidden="1">{"'Sheet1'!$A$1"}</definedName>
    <definedName name="html1" localSheetId="0" hidden="1">{"'Sheet1'!$A$1"}</definedName>
    <definedName name="html1" localSheetId="4" hidden="1">{"'Sheet1'!$A$1"}</definedName>
    <definedName name="html1" hidden="1">{"'Sheet1'!$A$1"}</definedName>
    <definedName name="I">[13]RAB!#REF!</definedName>
    <definedName name="ii">[14]RAB!#REF!</definedName>
    <definedName name="iii">[14]RAB!#REF!</definedName>
    <definedName name="IJUK_HITAM">'[16]Hrg Bahan'!#REF!</definedName>
    <definedName name="IJUK_HITAM_BAIK">'[16]Hrg Bahan'!#REF!</definedName>
    <definedName name="INSTALASI_LISTRIK" localSheetId="3">#REF!</definedName>
    <definedName name="INSTALASI_LISTRIK" localSheetId="0">#REF!</definedName>
    <definedName name="INSTALASI_LISTRIK" localSheetId="4">#REF!</definedName>
    <definedName name="INSTALASI_LISTRIK">#REF!</definedName>
    <definedName name="ISOLASI_PIPA">'[16]Hrg Bahan'!#REF!</definedName>
    <definedName name="iv">[14]RAB!#REF!</definedName>
    <definedName name="JACKHAMMER" localSheetId="3">#REF!</definedName>
    <definedName name="JACKHAMMER" localSheetId="0">#REF!</definedName>
    <definedName name="JACKHAMMER" localSheetId="4">#REF!</definedName>
    <definedName name="JACKHAMMER">#REF!</definedName>
    <definedName name="JALUSI">[16]Analisa!#REF!</definedName>
    <definedName name="JAM" localSheetId="3">#REF!</definedName>
    <definedName name="JAM" localSheetId="0">#REF!</definedName>
    <definedName name="JAM" localSheetId="4">#REF!</definedName>
    <definedName name="JAM">#REF!</definedName>
    <definedName name="JAMER" localSheetId="3">#REF!</definedName>
    <definedName name="JAMER" localSheetId="0">#REF!</definedName>
    <definedName name="JAMER" localSheetId="4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>[16]Analisa!#REF!</definedName>
    <definedName name="JERIGEN_10_LTR">'[16]Hrg Bahan'!#REF!</definedName>
    <definedName name="JERIGEN_20_LTR">'[16]Hrg Bahan'!#REF!</definedName>
    <definedName name="jml" localSheetId="3">#REF!</definedName>
    <definedName name="jml" localSheetId="0">#REF!</definedName>
    <definedName name="jml" localSheetId="4">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>#REF!</definedName>
    <definedName name="K.016">'[15]Analisa K'!#REF!</definedName>
    <definedName name="K.020">'[15]Analisa K'!#REF!</definedName>
    <definedName name="K.040">'[15]Analisa K'!#REF!</definedName>
    <definedName name="K.111">'[15]Analisa K'!#REF!</definedName>
    <definedName name="K.115">'[15]Analisa K'!#REF!</definedName>
    <definedName name="K.123">'[15]Analisa K'!#REF!</definedName>
    <definedName name="K.127">'[15]Analisa K'!#REF!</definedName>
    <definedName name="K.131">'[15]Analisa K'!#REF!</definedName>
    <definedName name="k.132">'[15]Analisa K'!#REF!</definedName>
    <definedName name="K.139">'[15]Analisa K'!#REF!</definedName>
    <definedName name="K.30" localSheetId="3">#REF!</definedName>
    <definedName name="K.30" localSheetId="0">#REF!</definedName>
    <definedName name="K.30" localSheetId="4">#REF!</definedName>
    <definedName name="K.30">#REF!</definedName>
    <definedName name="K.411">'[15]Analisa K'!#REF!</definedName>
    <definedName name="K.522">'[15]Analisa K'!#REF!</definedName>
    <definedName name="K.528">'[15]Analisa K'!#REF!</definedName>
    <definedName name="K.612">'[15]Analisa K'!#REF!</definedName>
    <definedName name="K.618">'[15]Analisa K'!#REF!</definedName>
    <definedName name="K.621">'[15]Analisa K'!#REF!</definedName>
    <definedName name="K.641">'[15]Analisa K'!#REF!</definedName>
    <definedName name="K.7_23_CAT" localSheetId="3">#REF!</definedName>
    <definedName name="K.7_23_CAT" localSheetId="0">#REF!</definedName>
    <definedName name="K.7_23_CAT" localSheetId="4">#REF!</definedName>
    <definedName name="K.7_23_CAT">#REF!</definedName>
    <definedName name="K.7_23_KAPUR" localSheetId="3">#REF!</definedName>
    <definedName name="K.7_23_KAPUR" localSheetId="0">#REF!</definedName>
    <definedName name="K.7_23_KAPUR" localSheetId="4">#REF!</definedName>
    <definedName name="K.7_23_KAPUR">#REF!</definedName>
    <definedName name="K.720" localSheetId="3">'[15]Analisa K'!#REF!</definedName>
    <definedName name="K.720" localSheetId="0">'[15]Analisa K'!#REF!</definedName>
    <definedName name="K.720" localSheetId="4">'[15]Analisa K'!#REF!</definedName>
    <definedName name="K.720">'[15]Analisa K'!#REF!</definedName>
    <definedName name="K.8_23_ASGEN" localSheetId="3">#REF!</definedName>
    <definedName name="K.8_23_ASGEN" localSheetId="0">#REF!</definedName>
    <definedName name="K.8_23_ASGEN" localSheetId="4">#REF!</definedName>
    <definedName name="K.8_23_ASGEN">#REF!</definedName>
    <definedName name="K.8_23_SENG" localSheetId="3">#REF!</definedName>
    <definedName name="K.8_23_SENG" localSheetId="0">#REF!</definedName>
    <definedName name="K.8_23_SENG" localSheetId="4">#REF!</definedName>
    <definedName name="K.8_23_SENG">#REF!</definedName>
    <definedName name="K.850" localSheetId="3">'[15]Analisa K'!#REF!</definedName>
    <definedName name="K.850" localSheetId="0">'[15]Analisa K'!#REF!</definedName>
    <definedName name="K.850" localSheetId="4">'[15]Analisa K'!#REF!</definedName>
    <definedName name="K.850">'[15]Analisa K'!#REF!</definedName>
    <definedName name="K.9_23" localSheetId="3">#REF!</definedName>
    <definedName name="K.9_23" localSheetId="0">#REF!</definedName>
    <definedName name="K.9_23" localSheetId="4">#REF!</definedName>
    <definedName name="K.9_23">#REF!</definedName>
    <definedName name="K.9_23B" localSheetId="3">#REF!</definedName>
    <definedName name="K.9_23B" localSheetId="0">#REF!</definedName>
    <definedName name="K.9_23B" localSheetId="4">#REF!</definedName>
    <definedName name="K.9_23B">#REF!</definedName>
    <definedName name="K_010" localSheetId="3">#REF!</definedName>
    <definedName name="K_010" localSheetId="0">#REF!</definedName>
    <definedName name="K_010" localSheetId="4">#REF!</definedName>
    <definedName name="K_010">#REF!</definedName>
    <definedName name="K_011">#REF!</definedName>
    <definedName name="K_011_peng.kr.gal.t.saring.b_hal.2">#REF!</definedName>
    <definedName name="K_012">#REF!</definedName>
    <definedName name="K_012_peng.kr.sung.t.saring.a_hal.3">#REF!</definedName>
    <definedName name="K_013_peng.kr.sung.t.saring.b_hal.4">#REF!</definedName>
    <definedName name="K_014">#REF!</definedName>
    <definedName name="K_016">#REF!</definedName>
    <definedName name="K_016_peng.kr.sung.saring.a_hal.6">#REF!</definedName>
    <definedName name="K_017">#REF!</definedName>
    <definedName name="K_017_produk.bt.sung.pch.saring.a_hal.7">#REF!</definedName>
    <definedName name="K_023_produk.suplai_lasbutag.b_hal.47">#REF!</definedName>
    <definedName name="K_026">#REF!</definedName>
    <definedName name="K_035">#REF!</definedName>
    <definedName name="K_040">#REF!</definedName>
    <definedName name="K_110">#REF!</definedName>
    <definedName name="K_111">'[31]Analisa K'!$J$1879</definedName>
    <definedName name="K_115" localSheetId="3">#REF!</definedName>
    <definedName name="K_115" localSheetId="0">#REF!</definedName>
    <definedName name="K_115" localSheetId="4">#REF!</definedName>
    <definedName name="K_115">#REF!</definedName>
    <definedName name="K_116" localSheetId="3">#REF!</definedName>
    <definedName name="K_116" localSheetId="0">#REF!</definedName>
    <definedName name="K_116" localSheetId="4">#REF!</definedName>
    <definedName name="K_116">#REF!</definedName>
    <definedName name="K_210" localSheetId="3">#REF!</definedName>
    <definedName name="K_210" localSheetId="0">#REF!</definedName>
    <definedName name="K_210" localSheetId="4">#REF!</definedName>
    <definedName name="K_210">#REF!</definedName>
    <definedName name="K_211">'[31]Analisa K'!$J$1739</definedName>
    <definedName name="K_224" localSheetId="3">#REF!</definedName>
    <definedName name="K_224" localSheetId="0">#REF!</definedName>
    <definedName name="K_224" localSheetId="4">#REF!</definedName>
    <definedName name="K_224">#REF!</definedName>
    <definedName name="K_224_galian.tnh.konst.b_hal.8">'[19]Hrg.sat.'!$J$552</definedName>
    <definedName name="K_225" localSheetId="3">#REF!</definedName>
    <definedName name="K_225" localSheetId="0">#REF!</definedName>
    <definedName name="K_225" localSheetId="4">#REF!</definedName>
    <definedName name="K_225">#REF!</definedName>
    <definedName name="K_225_urug.dan.padat_hal.19">'[19]Hrg.sat.'!$J$1320</definedName>
    <definedName name="K_310" localSheetId="3">#REF!</definedName>
    <definedName name="K_310" localSheetId="0">#REF!</definedName>
    <definedName name="K_310" localSheetId="4">#REF!</definedName>
    <definedName name="K_310">#REF!</definedName>
    <definedName name="K_311" localSheetId="3">#REF!</definedName>
    <definedName name="K_311" localSheetId="0">#REF!</definedName>
    <definedName name="K_311" localSheetId="4">#REF!</definedName>
    <definedName name="K_311">#REF!</definedName>
    <definedName name="K_321" localSheetId="3">#REF!</definedName>
    <definedName name="K_321" localSheetId="0">#REF!</definedName>
    <definedName name="K_321" localSheetId="4">#REF!</definedName>
    <definedName name="K_321">#REF!</definedName>
    <definedName name="K_331">'[31]Analisa K'!$J$621</definedName>
    <definedName name="K_410" localSheetId="3">#REF!</definedName>
    <definedName name="K_410" localSheetId="0">#REF!</definedName>
    <definedName name="K_410" localSheetId="4">#REF!</definedName>
    <definedName name="K_410">#REF!</definedName>
    <definedName name="K_411">'[31]Analisa K'!$J$691</definedName>
    <definedName name="K_421" localSheetId="3">#REF!</definedName>
    <definedName name="K_421" localSheetId="0">#REF!</definedName>
    <definedName name="K_421" localSheetId="4">#REF!</definedName>
    <definedName name="K_421">#REF!</definedName>
    <definedName name="K_421_memotong_bahu_jln.a_hal.31">'[19]Hrg.sat.'!$J$2160</definedName>
    <definedName name="K_422" localSheetId="3">#REF!</definedName>
    <definedName name="K_422" localSheetId="0">#REF!</definedName>
    <definedName name="K_422" localSheetId="4">#REF!</definedName>
    <definedName name="K_422">#REF!</definedName>
    <definedName name="K_424" localSheetId="3">#REF!</definedName>
    <definedName name="K_424" localSheetId="0">#REF!</definedName>
    <definedName name="K_424" localSheetId="4">#REF!</definedName>
    <definedName name="K_424">#REF!</definedName>
    <definedName name="K_514" localSheetId="3">#REF!</definedName>
    <definedName name="K_514" localSheetId="0">#REF!</definedName>
    <definedName name="K_514" localSheetId="4">#REF!</definedName>
    <definedName name="K_514">#REF!</definedName>
    <definedName name="K_514_lpb.kls.c.alat_hal.16">'[19]Hrg.sat.'!$J$1112</definedName>
    <definedName name="K_516" localSheetId="3">#REF!</definedName>
    <definedName name="K_516" localSheetId="0">#REF!</definedName>
    <definedName name="K_516" localSheetId="4">#REF!</definedName>
    <definedName name="K_516">#REF!</definedName>
    <definedName name="K_516_konst.telford.b_hal.33">'[19]Hrg.sat.'!$J$2300</definedName>
    <definedName name="K_522">'[31]Analisa K'!$J$1181</definedName>
    <definedName name="K_522_lpa.kls.b.kr.saring_hal.17">'[19]Hrg.sat.'!$J$1182</definedName>
    <definedName name="K_523" localSheetId="3">#REF!</definedName>
    <definedName name="K_523" localSheetId="0">#REF!</definedName>
    <definedName name="K_523" localSheetId="4">#REF!</definedName>
    <definedName name="K_523">#REF!</definedName>
    <definedName name="K_528" localSheetId="3">#REF!</definedName>
    <definedName name="K_528" localSheetId="0">#REF!</definedName>
    <definedName name="K_528" localSheetId="4">#REF!</definedName>
    <definedName name="K_528">#REF!</definedName>
    <definedName name="K_528_menghampar.ATB.a">'[19]Hrg.sat.'!$J$3700</definedName>
    <definedName name="K_612" localSheetId="3">#REF!</definedName>
    <definedName name="K_612" localSheetId="0">#REF!</definedName>
    <definedName name="K_612" localSheetId="4">#REF!</definedName>
    <definedName name="K_612">#REF!</definedName>
    <definedName name="K_614" localSheetId="3">#REF!</definedName>
    <definedName name="K_614" localSheetId="0">#REF!</definedName>
    <definedName name="K_614" localSheetId="4">#REF!</definedName>
    <definedName name="K_614">#REF!</definedName>
    <definedName name="K_617" localSheetId="3">#REF!</definedName>
    <definedName name="K_617" localSheetId="0">#REF!</definedName>
    <definedName name="K_617" localSheetId="4">#REF!</definedName>
    <definedName name="K_617">#REF!</definedName>
    <definedName name="K_618">#REF!</definedName>
    <definedName name="K_631">#REF!</definedName>
    <definedName name="K_636">#REF!</definedName>
    <definedName name="K_641">'[32]Analisa K'!$J$3559</definedName>
    <definedName name="K_705" localSheetId="3">#REF!</definedName>
    <definedName name="K_705" localSheetId="0">#REF!</definedName>
    <definedName name="K_705" localSheetId="4">#REF!</definedName>
    <definedName name="K_705">#REF!</definedName>
    <definedName name="K_705_konst.pas.batu_hal.15">'[19]Hrg.sat.'!$J$1042</definedName>
    <definedName name="K_710" localSheetId="3">#REF!</definedName>
    <definedName name="K_710" localSheetId="0">#REF!</definedName>
    <definedName name="K_710" localSheetId="4">#REF!</definedName>
    <definedName name="K_710">#REF!</definedName>
    <definedName name="K_710_acuan.beton_hal.13">'[19]Hrg.sat.'!$J$902</definedName>
    <definedName name="K_715" localSheetId="3">#REF!</definedName>
    <definedName name="K_715" localSheetId="0">#REF!</definedName>
    <definedName name="K_715" localSheetId="4">#REF!</definedName>
    <definedName name="K_715">#REF!</definedName>
    <definedName name="K_715_tul.besi.btn_hal.12">'[19]Hrg.sat.'!$J$832</definedName>
    <definedName name="K_720" localSheetId="3">#REF!</definedName>
    <definedName name="K_720" localSheetId="0">#REF!</definedName>
    <definedName name="K_720" localSheetId="4">#REF!</definedName>
    <definedName name="K_720">#REF!</definedName>
    <definedName name="K_721" localSheetId="3">#REF!</definedName>
    <definedName name="K_721" localSheetId="0">#REF!</definedName>
    <definedName name="K_721" localSheetId="4">#REF!</definedName>
    <definedName name="K_721">#REF!</definedName>
    <definedName name="K_721_beton.massa.K175.alat.mix.125ltr_hal.30">'[19]Hrg.sat.'!$J$2090</definedName>
    <definedName name="K_722" localSheetId="3">#REF!</definedName>
    <definedName name="K_722" localSheetId="0">#REF!</definedName>
    <definedName name="K_722" localSheetId="4">#REF!</definedName>
    <definedName name="K_722">#REF!</definedName>
    <definedName name="K_722_beton.strukt.K225.alat.mix.125ltr_hal.11" localSheetId="3">#REF!</definedName>
    <definedName name="K_722_beton.strukt.K225.alat.mix.125ltr_hal.11" localSheetId="0">#REF!</definedName>
    <definedName name="K_722_beton.strukt.K225.alat.mix.125ltr_hal.11" localSheetId="4">#REF!</definedName>
    <definedName name="K_722_beton.strukt.K225.alat.mix.125ltr_hal.11">#REF!</definedName>
    <definedName name="K_850" localSheetId="3">#REF!</definedName>
    <definedName name="K_850" localSheetId="0">#REF!</definedName>
    <definedName name="K_850" localSheetId="4">#REF!</definedName>
    <definedName name="K_850">#REF!</definedName>
    <definedName name="K_855">#REF!</definedName>
    <definedName name="K_860">#REF!</definedName>
    <definedName name="K_865">#REF!</definedName>
    <definedName name="K_870">#REF!</definedName>
    <definedName name="K_875">#REF!</definedName>
    <definedName name="K_877">#REF!</definedName>
    <definedName name="K_880">#REF!</definedName>
    <definedName name="K_885">#REF!</definedName>
    <definedName name="ka">[17]Alat!$O$5:$S$28</definedName>
    <definedName name="KABEL_NYA_3X2_5">'[16]Hrg Bahan'!#REF!</definedName>
    <definedName name="KABEL_NYFGBY_4X">'[16]Hrg Bahan'!#REF!</definedName>
    <definedName name="KACA_BENING">[16]Analisa!#REF!</definedName>
    <definedName name="KACA_BENING_3">'[16]Hrg Bahan'!#REF!</definedName>
    <definedName name="KACA_BENING2">'[16]Hrg Bahan'!#REF!</definedName>
    <definedName name="KACA_BENING3">'[16]Hrg Bahan'!#REF!</definedName>
    <definedName name="KACA_RYBEN3">'[16]Hrg Bahan'!#REF!</definedName>
    <definedName name="kamu">[17]Alat!$E$5:$M$28</definedName>
    <definedName name="KARET_ALAS_ATAP">'[16]Hrg Bahan'!#REF!</definedName>
    <definedName name="KARET_ROLLING">'[16]Hrg Bahan'!$N$99</definedName>
    <definedName name="KARET_TALANG">'[16]Hrg Bahan'!#REF!</definedName>
    <definedName name="KASO_RENG">[16]Analisa!#REF!</definedName>
    <definedName name="KAWAT_BETON">'[16]Hrg Bahan'!#REF!</definedName>
    <definedName name="KAWAT_BRONJONG">'[16]Hrg Bahan'!#REF!</definedName>
    <definedName name="KAWAT_DURI">'[16]Hrg Bahan'!#REF!</definedName>
    <definedName name="KAWAT_LAS">'[16]Hrg Bahan'!#REF!</definedName>
    <definedName name="KAWAT_LICIN">'[16]Hrg Bahan'!#REF!</definedName>
    <definedName name="KAWAT_RAAM">'[16]Hrg Bahan'!#REF!</definedName>
    <definedName name="KAYU_JEMBATAN">'[16]Hrg Bahan'!#REF!</definedName>
    <definedName name="KAYU_PERANCAH">'[16]Hrg Bahan'!#REF!</definedName>
    <definedName name="KEP.TUKANG">'[16]Hrg Bahan'!#REF!</definedName>
    <definedName name="KERIKIL_BUKIT">'[16]Hrg Bahan'!#REF!</definedName>
    <definedName name="KERIKIL_HALUS">'[16]Hrg Bahan'!#REF!</definedName>
    <definedName name="KERIKIL_KASAR">'[16]Hrg Bahan'!#REF!</definedName>
    <definedName name="KERIKIL_ROYALTI">'[16]Hrg Bahan'!#REF!</definedName>
    <definedName name="KERIKIL_SUNGAI">'[16]Hrg Bahan'!#REF!</definedName>
    <definedName name="KITCHEN_ZINK">'[16]Hrg Bahan'!#REF!</definedName>
    <definedName name="KKKK" localSheetId="3" hidden="1">#REF!</definedName>
    <definedName name="KKKK" localSheetId="0" hidden="1">#REF!</definedName>
    <definedName name="KKKK" localSheetId="4" hidden="1">#REF!</definedName>
    <definedName name="KKKK" hidden="1">#REF!</definedName>
    <definedName name="KODE">'[33]ANALISA PANGKEP'!$B$420:$G$493</definedName>
    <definedName name="kode.alat" localSheetId="3">#REF!</definedName>
    <definedName name="kode.alat" localSheetId="0">#REF!</definedName>
    <definedName name="kode.alat" localSheetId="4">#REF!</definedName>
    <definedName name="kode.alat">#REF!</definedName>
    <definedName name="kpl">[12]harga!$F$9</definedName>
    <definedName name="kpl_tk">'[25]hrg-jadi'!$H$560</definedName>
    <definedName name="KRAN_AIR">'[16]Hrg Bahan'!#REF!</definedName>
    <definedName name="KRAN_SHOWER">'[16]Hrg Bahan'!#REF!</definedName>
    <definedName name="KRM.POLOS_10X20">'[16]Hrg Bahan'!#REF!</definedName>
    <definedName name="KRM.WARNA_10X20">'[16]Hrg Bahan'!#REF!</definedName>
    <definedName name="KRM.WARNA_20X20">'[16]Hrg Bahan'!#REF!</definedName>
    <definedName name="KUANTITAS" localSheetId="3">#REF!</definedName>
    <definedName name="KUANTITAS" localSheetId="0">#REF!</definedName>
    <definedName name="KUANTITAS" localSheetId="4">#REF!</definedName>
    <definedName name="KUANTITAS">#REF!</definedName>
    <definedName name="KUAS_4">'[16]Hrg Bahan'!#REF!</definedName>
    <definedName name="KUDA" localSheetId="3">#REF!</definedName>
    <definedName name="KUDA" localSheetId="0">#REF!</definedName>
    <definedName name="KUDA" localSheetId="4">#REF!</definedName>
    <definedName name="KUDA">#REF!</definedName>
    <definedName name="KUDA_ATAP" localSheetId="3">#REF!</definedName>
    <definedName name="KUDA_ATAP" localSheetId="0">#REF!</definedName>
    <definedName name="KUDA_ATAP" localSheetId="4">#REF!</definedName>
    <definedName name="KUDA_ATAP">#REF!</definedName>
    <definedName name="KUDA_KUDA" localSheetId="3">[16]Analisa!#REF!</definedName>
    <definedName name="KUDA_KUDA" localSheetId="0">[16]Analisa!#REF!</definedName>
    <definedName name="KUDA_KUDA" localSheetId="4">[16]Analisa!#REF!</definedName>
    <definedName name="KUDA_KUDA">[16]Analisa!#REF!</definedName>
    <definedName name="KUNCI_EX.RRT" localSheetId="3">'[16]Hrg Bahan'!#REF!</definedName>
    <definedName name="KUNCI_EX.RRT" localSheetId="0">'[16]Hrg Bahan'!#REF!</definedName>
    <definedName name="KUNCI_EX.RRT" localSheetId="4">'[16]Hrg Bahan'!#REF!</definedName>
    <definedName name="KUNCI_EX.RRT">'[16]Hrg Bahan'!#REF!</definedName>
    <definedName name="KUNCI_LEMARI">'[16]Hrg Bahan'!#REF!</definedName>
    <definedName name="KUNCI_OTOMATIS">'[16]Hrg Bahan'!#REF!</definedName>
    <definedName name="KUNCI_SLOT">'[16]Hrg Bahan'!#REF!</definedName>
    <definedName name="KUNCI_TANAM">[16]Analisa!#REF!</definedName>
    <definedName name="KUSEN" localSheetId="3">#REF!</definedName>
    <definedName name="KUSEN" localSheetId="0">#REF!</definedName>
    <definedName name="KUSEN" localSheetId="4">#REF!</definedName>
    <definedName name="KUSEN">#REF!</definedName>
    <definedName name="KUSEN_JENDELA" localSheetId="3">#REF!</definedName>
    <definedName name="KUSEN_JENDELA" localSheetId="0">#REF!</definedName>
    <definedName name="KUSEN_JENDELA" localSheetId="4">#REF!</definedName>
    <definedName name="KUSEN_JENDELA">#REF!</definedName>
    <definedName name="kwt_btn">'[25]hrg-jadi'!$H$144</definedName>
    <definedName name="L_061" localSheetId="3">#REF!</definedName>
    <definedName name="L_061" localSheetId="0">#REF!</definedName>
    <definedName name="L_061" localSheetId="4">#REF!</definedName>
    <definedName name="L_061">#REF!</definedName>
    <definedName name="L_073" localSheetId="3">#REF!</definedName>
    <definedName name="L_073" localSheetId="0">#REF!</definedName>
    <definedName name="L_073" localSheetId="4">#REF!</definedName>
    <definedName name="L_073">#REF!</definedName>
    <definedName name="L_079" localSheetId="3">#REF!</definedName>
    <definedName name="L_079" localSheetId="0">#REF!</definedName>
    <definedName name="L_079" localSheetId="4">#REF!</definedName>
    <definedName name="L_079">#REF!</definedName>
    <definedName name="L_081">#REF!</definedName>
    <definedName name="L_082">#REF!</definedName>
    <definedName name="L_083">#REF!</definedName>
    <definedName name="L_091">#REF!</definedName>
    <definedName name="L_099">#REF!</definedName>
    <definedName name="L_101">#REF!</definedName>
    <definedName name="L_106">#REF!</definedName>
    <definedName name="LAINLAIN">'[10]Kuantitas &amp; Harga'!#REF!</definedName>
    <definedName name="LAMPU_HIAS">'[16]Hrg Bahan'!#REF!</definedName>
    <definedName name="LAMPU_ORNAMEN">'[16]Hrg Bahan'!#REF!</definedName>
    <definedName name="LAMPU_PIJAR_25">'[16]Hrg Bahan'!#REF!</definedName>
    <definedName name="LAMPU_PIJAR_40">'[16]Hrg Bahan'!#REF!</definedName>
    <definedName name="LAMPU_TL_25">'[16]Hrg Bahan'!#REF!</definedName>
    <definedName name="LAMPU_TL_40">'[16]Hrg Bahan'!#REF!</definedName>
    <definedName name="LANTAI_PLAFOND" localSheetId="3">#REF!</definedName>
    <definedName name="LANTAI_PLAFOND" localSheetId="0">#REF!</definedName>
    <definedName name="LANTAI_PLAFOND" localSheetId="4">#REF!</definedName>
    <definedName name="LANTAI_PLAFOND">#REF!</definedName>
    <definedName name="LapisRekat">"#ref!"</definedName>
    <definedName name="LapResapIkat">"#ref!"</definedName>
    <definedName name="LEM_AIBON">'[16]Hrg Bahan'!#REF!</definedName>
    <definedName name="LEM_FOX_KUNING">'[16]Hrg Bahan'!#REF!</definedName>
    <definedName name="LEM_FOX_PUTIH">'[16]Hrg Bahan'!#REF!</definedName>
    <definedName name="LEM_PIPA">'[16]Hrg Bahan'!#REF!</definedName>
    <definedName name="LES_KAYU_II">'[16]Hrg Bahan'!#REF!</definedName>
    <definedName name="LES_PLINT_PROF">'[16]Hrg Bahan'!#REF!</definedName>
    <definedName name="LES_PLINT_SUNG">'[16]Hrg Bahan'!#REF!</definedName>
    <definedName name="LES_PROFIL_1_2">'[16]Hrg Bahan'!#REF!</definedName>
    <definedName name="LES_PROFIL_KAYU">'[16]Hrg Bahan'!#REF!</definedName>
    <definedName name="link" localSheetId="3">#REF!</definedName>
    <definedName name="link" localSheetId="0">#REF!</definedName>
    <definedName name="link" localSheetId="4">#REF!</definedName>
    <definedName name="link">#REF!</definedName>
    <definedName name="LISPLANK_2_20">[16]Analisa!#REF!</definedName>
    <definedName name="LISPLNK">'[34]AN. SNI'!#REF!</definedName>
    <definedName name="list">[16]Analisa!#REF!</definedName>
    <definedName name="LISTPLANK_2_20">[16]Analisa!#REF!</definedName>
    <definedName name="LOSTER_20X20">'[16]Hrg Bahan'!#REF!</definedName>
    <definedName name="LOSTER_BTN_20">'[16]Hrg Bahan'!#REF!</definedName>
    <definedName name="LOSTER_KRM_20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>#REF!</definedName>
    <definedName name="M_020">#REF!</definedName>
    <definedName name="M_021">#REF!</definedName>
    <definedName name="M_023">#REF!</definedName>
    <definedName name="M_024">#REF!</definedName>
    <definedName name="M_025">#REF!</definedName>
    <definedName name="M_040">#REF!</definedName>
    <definedName name="M_041">#REF!</definedName>
    <definedName name="M_050">#REF!</definedName>
    <definedName name="M_061">#REF!</definedName>
    <definedName name="M_062">#REF!</definedName>
    <definedName name="M_063">#REF!</definedName>
    <definedName name="M_065">#REF!</definedName>
    <definedName name="M_080">#REF!</definedName>
    <definedName name="M_081">#REF!</definedName>
    <definedName name="M_165">#REF!</definedName>
    <definedName name="M_166">#REF!</definedName>
    <definedName name="M_167">#REF!</definedName>
    <definedName name="M_170">#REF!</definedName>
    <definedName name="M_180">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>'[16]Hrg Bahan'!#REF!</definedName>
    <definedName name="MATERIAL">"#ref!"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>'[16]Hrg Bahan'!#REF!</definedName>
    <definedName name="mcv">[35]MVC!$F$7:$N$8</definedName>
    <definedName name="mdr">'[25]hrg-jadi'!$H$559</definedName>
    <definedName name="MINOR">'[10]Kuantitas &amp; Harga'!#REF!</definedName>
    <definedName name="MK_012">#REF!</definedName>
    <definedName name="MK_014">#REF!</definedName>
    <definedName name="MK_017">#REF!</definedName>
    <definedName name="MK_023">#REF!</definedName>
    <definedName name="MK_522">#REF!</definedName>
    <definedName name="mmc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hidden="1">#REF!</definedName>
    <definedName name="MMM17A">"#ref!"</definedName>
    <definedName name="MMM35A">"#ref!"</definedName>
    <definedName name="MOBILISASI">#REF!</definedName>
    <definedName name="MR_11">#REF!</definedName>
    <definedName name="MR_12">#REF!</definedName>
    <definedName name="MR_42">#REF!</definedName>
    <definedName name="MUR_BAUT_ANGKER">'[16]Hrg Bahan'!$N$111</definedName>
    <definedName name="nanna79" localSheetId="3">#REF!</definedName>
    <definedName name="nanna79" localSheetId="0">#REF!</definedName>
    <definedName name="nanna79" localSheetId="4">#REF!</definedName>
    <definedName name="nanna79">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hidden="1">#REF!</definedName>
    <definedName name="OKER">'[16]Hrg Bahan'!#REF!</definedName>
    <definedName name="OMC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>#REF!</definedName>
    <definedName name="P_GIP_1">#REF!</definedName>
    <definedName name="P_GIP_1_5">#REF!</definedName>
    <definedName name="P_GIP_2">#REF!</definedName>
    <definedName name="P_GIP_3">#REF!</definedName>
    <definedName name="P_GIP_4">#REF!</definedName>
    <definedName name="P_PVC_1">#REF!</definedName>
    <definedName name="P_PVC_1_5">#REF!</definedName>
    <definedName name="P_PVC_2">#REF!</definedName>
    <definedName name="P_PVC_3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>'[16]Hrg Bahan'!#REF!</definedName>
    <definedName name="PAKU_DIGALVANO">'[16]Hrg Bahan'!#REF!</definedName>
    <definedName name="PAKU_DURI">'[16]Hrg Bahan'!#REF!</definedName>
    <definedName name="PAKU_ETERNIT_RR">'[16]Hrg Bahan'!#REF!</definedName>
    <definedName name="PAKU_GTG_ASBES">'[16]Hrg Bahan'!#REF!</definedName>
    <definedName name="PAKU_JEMBATAN">'[16]Hrg Bahan'!#REF!</definedName>
    <definedName name="PAKU_KASO">'[16]Hrg Bahan'!#REF!</definedName>
    <definedName name="PAKU_SENG">'[16]Hrg Bahan'!#REF!</definedName>
    <definedName name="PAKU_SENG_ULIR">'[16]Hrg Bahan'!#REF!</definedName>
    <definedName name="PAKU_SIRAP">'[16]Hrg Bahan'!#REF!</definedName>
    <definedName name="PAKU_SUMBAT">'[16]Hrg Bahan'!#REF!</definedName>
    <definedName name="PAKU_ULIR">'[16]Hrg Bahan'!#REF!</definedName>
    <definedName name="PAKU2">'[16]Hrg Bahan'!#REF!</definedName>
    <definedName name="PANEL_BOX_500">'[16]Hrg Bahan'!#REF!</definedName>
    <definedName name="PANEL_BOX_600">'[16]Hrg Bahan'!#REF!</definedName>
    <definedName name="PAPAN" localSheetId="3">#REF!</definedName>
    <definedName name="PAPAN" localSheetId="0">#REF!</definedName>
    <definedName name="PAPAN" localSheetId="4">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>'[16]Hrg Bahan'!#REF!</definedName>
    <definedName name="PAS.ENGSEL_JENDELA">[16]Analisa!$M$511</definedName>
    <definedName name="PAS.ENGSEL_PINTU">[16]Analisa!#REF!</definedName>
    <definedName name="PAS.FLOOR_DRAIN">[16]Analisa!#REF!</definedName>
    <definedName name="PAS.HAK_ANGIN">[16]Analisa!$M$545</definedName>
    <definedName name="PAS.KRAN_AIR">[16]Analisa!#REF!</definedName>
    <definedName name="PAS.PAVING_BLOK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>'[16]Hrg Bahan'!#REF!</definedName>
    <definedName name="PC_25X25">'[16]Hrg Bahan'!#REF!</definedName>
    <definedName name="PEDESTRIANROLLER" localSheetId="3">#REF!</definedName>
    <definedName name="PEDESTRIANROLLER" localSheetId="0">#REF!</definedName>
    <definedName name="PEDESTRIANROLLER" localSheetId="4">#REF!</definedName>
    <definedName name="PEDESTRIANROLLER">#REF!</definedName>
    <definedName name="pek" localSheetId="3">#REF!</definedName>
    <definedName name="pek" localSheetId="0">#REF!</definedName>
    <definedName name="pek" localSheetId="4">#REF!</definedName>
    <definedName name="pek">#REF!</definedName>
    <definedName name="PEKERJA" localSheetId="3">'[16]Hrg Bahan'!#REF!</definedName>
    <definedName name="PEKERJA" localSheetId="0">'[16]Hrg Bahan'!#REF!</definedName>
    <definedName name="PEKERJA" localSheetId="4">'[16]Hrg Bahan'!#REF!</definedName>
    <definedName name="PEKERJA">'[16]Hrg Bahan'!#REF!</definedName>
    <definedName name="PELAMPUNG" localSheetId="3">'[16]Hrg Bahan'!#REF!</definedName>
    <definedName name="PELAMPUNG" localSheetId="0">'[16]Hrg Bahan'!#REF!</definedName>
    <definedName name="PELAMPUNG" localSheetId="4">'[16]Hrg Bahan'!#REF!</definedName>
    <definedName name="PELAMPUNG">'[16]Hrg Bahan'!#REF!</definedName>
    <definedName name="PEMANAS_WIKA">'[16]Hrg Bahan'!#REF!</definedName>
    <definedName name="Pembongkaran">[36]NP!$L$841:$V$901</definedName>
    <definedName name="PENDAHULUAN">[22]RAB01!#REF!</definedName>
    <definedName name="PENGECATAN" localSheetId="3">#REF!</definedName>
    <definedName name="PENGECATAN" localSheetId="0">#REF!</definedName>
    <definedName name="PENGECATAN" localSheetId="4">#REF!</definedName>
    <definedName name="PENGECATAN">#REF!</definedName>
    <definedName name="PENUTUP_KRAN">'[16]Hrg Bahan'!$N$200</definedName>
    <definedName name="PERSIAPAN" localSheetId="3">#REF!</definedName>
    <definedName name="PERSIAPAN" localSheetId="0">#REF!</definedName>
    <definedName name="PERSIAPAN" localSheetId="4">#REF!</definedName>
    <definedName name="PERSIAPAN">#REF!</definedName>
    <definedName name="PINTU" localSheetId="3">#REF!</definedName>
    <definedName name="PINTU" localSheetId="0">#REF!</definedName>
    <definedName name="PINTU" localSheetId="4">#REF!</definedName>
    <definedName name="PINTU">#REF!</definedName>
    <definedName name="PINTU_II" localSheetId="3">[16]Analisa!#REF!</definedName>
    <definedName name="PINTU_II" localSheetId="0">[16]Analisa!#REF!</definedName>
    <definedName name="PINTU_II" localSheetId="4">[16]Analisa!#REF!</definedName>
    <definedName name="PINTU_II">[16]Analisa!#REF!</definedName>
    <definedName name="PIPA_PENGURAS" localSheetId="3">'[16]Hrg Bahan'!#REF!</definedName>
    <definedName name="PIPA_PENGURAS" localSheetId="0">'[16]Hrg Bahan'!#REF!</definedName>
    <definedName name="PIPA_PENGURAS" localSheetId="4">'[16]Hrg Bahan'!#REF!</definedName>
    <definedName name="PIPA_PENGURAS">'[16]Hrg Bahan'!#REF!</definedName>
    <definedName name="pkj">'[25]hrg-jadi'!$H$574</definedName>
    <definedName name="plafon">'[34]AN. SNI'!#REF!</definedName>
    <definedName name="PLAFOND" localSheetId="3">#REF!</definedName>
    <definedName name="PLAFOND" localSheetId="0">#REF!</definedName>
    <definedName name="PLAFOND" localSheetId="4">#REF!</definedName>
    <definedName name="PLAFOND">#REF!</definedName>
    <definedName name="PLAFOND_100.100">[16]Analisa!#REF!</definedName>
    <definedName name="PLAFOND_60.120">[16]Analisa!#REF!</definedName>
    <definedName name="PLAFOND_ETERNIT">[16]Analisa!#REF!</definedName>
    <definedName name="PLAFOND_TRIPLEKS">[16]Analisa!#REF!</definedName>
    <definedName name="PLAMOUR_WYBER">'[16]Hrg Bahan'!#REF!</definedName>
    <definedName name="PLAT_LANTAI" localSheetId="3">#REF!</definedName>
    <definedName name="PLAT_LANTAI" localSheetId="0">#REF!</definedName>
    <definedName name="PLAT_LANTAI" localSheetId="4">#REF!</definedName>
    <definedName name="PLAT_LANTAI">#REF!</definedName>
    <definedName name="PLEST_1_3">[16]Analisa!#REF!</definedName>
    <definedName name="PLEST_1_5">[16]Analisa!#REF!</definedName>
    <definedName name="PLEST_TRAS">[16]Analisa!#REF!</definedName>
    <definedName name="PLESTERAN" localSheetId="3">#REF!</definedName>
    <definedName name="PLESTERAN" localSheetId="0">#REF!</definedName>
    <definedName name="PLESTERAN" localSheetId="4">#REF!</definedName>
    <definedName name="PLESTERAN">#REF!</definedName>
    <definedName name="PLINT_10X30">'[16]Hrg Bahan'!#REF!</definedName>
    <definedName name="PLINT_15X15">'[16]Hrg Bahan'!#REF!</definedName>
    <definedName name="PLINT_15X20">'[16]Hrg Bahan'!#REF!</definedName>
    <definedName name="PLINT_15X25">'[16]Hrg Bahan'!#REF!</definedName>
    <definedName name="PLINT_15X30">'[16]Hrg Bahan'!#REF!</definedName>
    <definedName name="PLINT_PC_15X20">'[16]Hrg Bahan'!#REF!</definedName>
    <definedName name="POLITUR">'[16]Hrg Bahan'!#REF!</definedName>
    <definedName name="POLOS_20.20">[16]Analisa!#REF!</definedName>
    <definedName name="POLOS_30.30">[16]Analisa!#REF!</definedName>
    <definedName name="PONDASI" localSheetId="3">#REF!</definedName>
    <definedName name="PONDASI" localSheetId="0">#REF!</definedName>
    <definedName name="PONDASI" localSheetId="4">#REF!</definedName>
    <definedName name="PONDASI">#REF!</definedName>
    <definedName name="PONDASI_GUNUNG_1_5">[16]Analisa!#REF!</definedName>
    <definedName name="PORSELIN">'[16]Hrg Bahan'!#REF!</definedName>
    <definedName name="pp">'[25]hrg-jadi'!$H$45</definedName>
    <definedName name="_xlnm.Print_Area" localSheetId="3" hidden="1">#REF!</definedName>
    <definedName name="_xlnm.Print_Area" localSheetId="0" hidden="1">#REF!</definedName>
    <definedName name="_xlnm.Print_Area" localSheetId="1">UMUM!#REF!</definedName>
    <definedName name="_xlnm.Print_Area" localSheetId="4" hidden="1">#REF!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 localSheetId="3">#REF!</definedName>
    <definedName name="PTJW" localSheetId="0">#REF!</definedName>
    <definedName name="PTJW" localSheetId="4">#REF!</definedName>
    <definedName name="PTJW">#REF!</definedName>
    <definedName name="pu">'[25]hrg-jadi'!$H$44</definedName>
    <definedName name="PULLY">'[16]Hrg Bahan'!#REF!</definedName>
    <definedName name="PUSAT">"#ref!"</definedName>
    <definedName name="PVC_DIA.1">'[16]Hrg Bahan'!#REF!</definedName>
    <definedName name="PVC_DIA.1_2">'[16]Hrg Bahan'!#REF!</definedName>
    <definedName name="PVC_DIA.1_5">'[16]Hrg Bahan'!#REF!</definedName>
    <definedName name="PVC_DIA.2">'[16]Hrg Bahan'!#REF!</definedName>
    <definedName name="PVC_DIA.3">'[16]Hrg Bahan'!#REF!</definedName>
    <definedName name="PVC_DIA.3_4">'[16]Hrg Bahan'!#REF!</definedName>
    <definedName name="PVC_DIA.4">'[16]Hrg Bahan'!#REF!</definedName>
    <definedName name="q">"#ref!"</definedName>
    <definedName name="qq">#REF!</definedName>
    <definedName name="RambuJlnPantul">"#ref!"</definedName>
    <definedName name="rangka">'[34]AN. SNI'!#REF!</definedName>
    <definedName name="RANGKA_100.100">[16]Analisa!#REF!</definedName>
    <definedName name="RANGKA_60.120">[16]Analisa!#REF!</definedName>
    <definedName name="RANGKA_PLAFOND" localSheetId="3">#REF!</definedName>
    <definedName name="RANGKA_PLAFOND" localSheetId="0">#REF!</definedName>
    <definedName name="RANGKA_PLAFOND" localSheetId="4">#REF!</definedName>
    <definedName name="RANGKA_PLAFOND">#REF!</definedName>
    <definedName name="Rego">#N/A</definedName>
    <definedName name="rekappppp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>#REF!</definedName>
    <definedName name="RINCIANSEWA2">#REF!</definedName>
    <definedName name="ROLLING_DOOR">'[16]Hrg Bahan'!#REF!</definedName>
    <definedName name="RUTIN">'[10]Kuantitas &amp; Harga'!#REF!</definedName>
    <definedName name="s">[38]ANALISA!$C$6:$E$424</definedName>
    <definedName name="SADEL_PLASTIK">'[16]Hrg Bahan'!#REF!</definedName>
    <definedName name="SAKLAR_DOUBLE_H">'[16]Hrg Bahan'!#REF!</definedName>
    <definedName name="SAKLAR_DOUBLE_P">'[16]Hrg Bahan'!#REF!</definedName>
    <definedName name="SAKLAR_ENGKEL_H">'[16]Hrg Bahan'!#REF!</definedName>
    <definedName name="SAKLAR_ENGKEL_P">'[16]Hrg Bahan'!#REF!</definedName>
    <definedName name="SALURAN_RABAT" localSheetId="3">#REF!</definedName>
    <definedName name="SALURAN_RABAT" localSheetId="0">#REF!</definedName>
    <definedName name="SALURAN_RABAT" localSheetId="4">#REF!</definedName>
    <definedName name="SALURAN_RABAT">#REF!</definedName>
    <definedName name="SANITASI" localSheetId="3">#REF!</definedName>
    <definedName name="SANITASI" localSheetId="0">#REF!</definedName>
    <definedName name="SANITASI" localSheetId="4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>'[16]Hrg Bahan'!#REF!</definedName>
    <definedName name="SEKRING_LOKAL_2">'[16]Hrg Bahan'!#REF!</definedName>
    <definedName name="SELUBUNG_GIP_2">'[16]Hrg Bahan'!#REF!</definedName>
    <definedName name="SELUBUNG_GIP_3">'[16]Hrg Bahan'!#REF!</definedName>
    <definedName name="SEMEN">'[16]Hrg Bahan'!#REF!</definedName>
    <definedName name="SEMEN_WARNA">'[16]Hrg Bahan'!$N$20</definedName>
    <definedName name="SENG_ALUMINIUM">'[16]Hrg Bahan'!#REF!</definedName>
    <definedName name="SENG_BJLS.020">'[16]Hrg Bahan'!$N$146</definedName>
    <definedName name="SENG_BJLS.022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>[16]Analisa!#REF!</definedName>
    <definedName name="SHOWER_TOTO">'[16]Hrg Bahan'!#REF!</definedName>
    <definedName name="Siap_BadanJL">"#ref!"</definedName>
    <definedName name="SIRAP">'[16]Hrg Bahan'!#REF!</definedName>
    <definedName name="SISA" localSheetId="3">#REF!</definedName>
    <definedName name="SISA" localSheetId="0">#REF!</definedName>
    <definedName name="SISA" localSheetId="4">#REF!</definedName>
    <definedName name="SISA">#REF!</definedName>
    <definedName name="SLAT_ALUMINIUM">'[16]Hrg Bahan'!$N$100</definedName>
    <definedName name="SOCKET_GIP_1_2">'[16]Hrg Bahan'!#REF!</definedName>
    <definedName name="SOCKET_GIP1">'[16]Hrg Bahan'!#REF!</definedName>
    <definedName name="SOCKET_GIP2">'[16]Hrg Bahan'!#REF!</definedName>
    <definedName name="SOCKET_GIP3">'[16]Hrg Bahan'!#REF!</definedName>
    <definedName name="SOCKET_GIP3_4">'[16]Hrg Bahan'!#REF!</definedName>
    <definedName name="SPL.III_BDK_20" localSheetId="3">#REF!</definedName>
    <definedName name="SPL.III_BDK_20" localSheetId="0">#REF!</definedName>
    <definedName name="SPL.III_BDK_20" localSheetId="4">#REF!</definedName>
    <definedName name="SPL.III_BDK_20">#REF!</definedName>
    <definedName name="SPL.III_BDK_30" localSheetId="3">#REF!</definedName>
    <definedName name="SPL.III_BDK_30" localSheetId="0">#REF!</definedName>
    <definedName name="SPL.III_BDK_30" localSheetId="4">#REF!</definedName>
    <definedName name="SPL.III_BDK_30">#REF!</definedName>
    <definedName name="SPL.III_PC" localSheetId="3">#REF!</definedName>
    <definedName name="SPL.III_PC" localSheetId="0">#REF!</definedName>
    <definedName name="SPL.III_PC" localSheetId="4">#REF!</definedName>
    <definedName name="SPL.III_PC">#REF!</definedName>
    <definedName name="SPL.IV_10X20">#REF!</definedName>
    <definedName name="SPL.IV_PORSEL">#REF!</definedName>
    <definedName name="SPL.V">#REF!</definedName>
    <definedName name="SPL.VIA">#REF!</definedName>
    <definedName name="SPL.VII_I">#REF!</definedName>
    <definedName name="SPL.VII_II">#REF!</definedName>
    <definedName name="SPL.VIII_ETER">#REF!</definedName>
    <definedName name="SPL.VIII_GAM">#REF!</definedName>
    <definedName name="SPL.VIII_TEAK">#REF!</definedName>
    <definedName name="SPL.VIII_TRIP">#REF!</definedName>
    <definedName name="SPL.X">#REF!</definedName>
    <definedName name="SPRAYER">#REF!</definedName>
    <definedName name="ss" hidden="1">#REF!</definedName>
    <definedName name="ssss">#REF!</definedName>
    <definedName name="STIKER_HITAM">'[16]Hrg Bahan'!#REF!</definedName>
    <definedName name="STIKER_PUTIH">'[16]Hrg Bahan'!#REF!</definedName>
    <definedName name="STONECRUSHER" localSheetId="3">#REF!</definedName>
    <definedName name="STONECRUSHER" localSheetId="0">#REF!</definedName>
    <definedName name="STONECRUSHER" localSheetId="4">#REF!</definedName>
    <definedName name="STONECRUSHER">#REF!</definedName>
    <definedName name="STOP_KONTAK_H">'[16]Hrg Bahan'!#REF!</definedName>
    <definedName name="STOP_KONTAK_P">'[16]Hrg Bahan'!#REF!</definedName>
    <definedName name="STOP_KRAN_1_5">'[16]Hrg Bahan'!#REF!</definedName>
    <definedName name="STOP_KRAN_2">'[16]Hrg Bahan'!#REF!</definedName>
    <definedName name="STOP_KRAN_3">'[16]Hrg Bahan'!#REF!</definedName>
    <definedName name="STOP_KRAN_3_4">'[16]Hrg Bahan'!#REF!</definedName>
    <definedName name="STOP_KRAN_4">'[16]Hrg Bahan'!#REF!</definedName>
    <definedName name="STRUKTUR">'[10]Kuantitas &amp; Harga'!#REF!</definedName>
    <definedName name="SUNGKAI_PAPER">'[16]Hrg Bahan'!#REF!</definedName>
    <definedName name="T_1" localSheetId="3">#REF!</definedName>
    <definedName name="T_1" localSheetId="0">#REF!</definedName>
    <definedName name="T_1" localSheetId="4">#REF!</definedName>
    <definedName name="T_1">#REF!</definedName>
    <definedName name="T_2" localSheetId="3">#REF!</definedName>
    <definedName name="T_2" localSheetId="0">#REF!</definedName>
    <definedName name="T_2" localSheetId="4">#REF!</definedName>
    <definedName name="T_2">#REF!</definedName>
    <definedName name="Tabel" localSheetId="3">#REF!</definedName>
    <definedName name="Tabel" localSheetId="0">#REF!</definedName>
    <definedName name="Tabel" localSheetId="4">#REF!</definedName>
    <definedName name="Tabel">#REF!</definedName>
    <definedName name="Tabel_1">#REF!</definedName>
    <definedName name="tabel1">#REF!</definedName>
    <definedName name="TALANG_KARET">[16]Analisa!$M$465</definedName>
    <definedName name="TAMPER" localSheetId="3">#REF!</definedName>
    <definedName name="TAMPER" localSheetId="0">#REF!</definedName>
    <definedName name="TAMPER" localSheetId="4">#REF!</definedName>
    <definedName name="TAMPER">#REF!</definedName>
    <definedName name="TANAH" localSheetId="3">#REF!</definedName>
    <definedName name="TANAH" localSheetId="0">#REF!</definedName>
    <definedName name="TANAH" localSheetId="4">#REF!</definedName>
    <definedName name="TANAH">#REF!</definedName>
    <definedName name="TANAH_TIMBUNAN">'[16]Hrg Bahan'!$N$17</definedName>
    <definedName name="TANDEMROLLER" localSheetId="3">#REF!</definedName>
    <definedName name="TANDEMROLLER" localSheetId="0">#REF!</definedName>
    <definedName name="TANDEMROLLER" localSheetId="4">#REF!</definedName>
    <definedName name="TANDEMROLLER">#REF!</definedName>
    <definedName name="TANGKI_FIBER_3">'[16]Hrg Bahan'!$N$195</definedName>
    <definedName name="TANGKI_FIBER_6">'[16]Hrg Bahan'!#REF!</definedName>
    <definedName name="TAS" localSheetId="3">#REF!</definedName>
    <definedName name="TAS" localSheetId="0">#REF!</definedName>
    <definedName name="TAS" localSheetId="4">#REF!</definedName>
    <definedName name="TAS">#REF!</definedName>
    <definedName name="TEAK_OIL">'[16]Hrg Bahan'!#REF!</definedName>
    <definedName name="TEAKWOOD_4X8">'[16]Hrg Bahan'!#REF!</definedName>
    <definedName name="TEAKWOOD_ALUM">'[16]Hrg Bahan'!#REF!</definedName>
    <definedName name="TEAKWOOD_MIL">'[16]Hrg Bahan'!#REF!</definedName>
    <definedName name="TEGEL" localSheetId="3">#REF!</definedName>
    <definedName name="TEGEL" localSheetId="0">#REF!</definedName>
    <definedName name="TEGEL" localSheetId="4">#REF!</definedName>
    <definedName name="TEGEL">#REF!</definedName>
    <definedName name="TEMBOK_1_4">[16]Analisa!#REF!</definedName>
    <definedName name="TENAGA">[39]HBU!$E$443:$E$453</definedName>
    <definedName name="THREEWHEELROLLER" localSheetId="3">#REF!</definedName>
    <definedName name="THREEWHEELROLLER" localSheetId="0">#REF!</definedName>
    <definedName name="THREEWHEELROLLER" localSheetId="4">#REF!</definedName>
    <definedName name="THREEWHEELROLLER">#REF!</definedName>
    <definedName name="TIANG_PJU">'[16]Hrg Bahan'!#REF!</definedName>
    <definedName name="TIGA_RODA_40">'[16]Hrg Bahan'!#REF!</definedName>
    <definedName name="Timbun_Biasa">"#ref!"</definedName>
    <definedName name="Timbunan">#N/A</definedName>
    <definedName name="TIMBUNAN_SIRTU">[16]Analisa!#REF!</definedName>
    <definedName name="TIREROLLER" localSheetId="3">#REF!</definedName>
    <definedName name="TIREROLLER" localSheetId="0">#REF!</definedName>
    <definedName name="TIREROLLER" localSheetId="4">#REF!</definedName>
    <definedName name="TIREROLLER">#REF!</definedName>
    <definedName name="tk">'[25]hrg-jadi'!$H$566</definedName>
    <definedName name="Tkg">[12]harga!$F$17</definedName>
    <definedName name="TONASA_50">'[16]Hrg Bahan'!#REF!</definedName>
    <definedName name="tot" localSheetId="3">#REF!</definedName>
    <definedName name="tot" localSheetId="0">#REF!</definedName>
    <definedName name="tot" localSheetId="4">#REF!</definedName>
    <definedName name="tot">#REF!</definedName>
    <definedName name="TOTAL" localSheetId="3">#REF!</definedName>
    <definedName name="TOTAL" localSheetId="0">#REF!</definedName>
    <definedName name="TOTAL" localSheetId="4">#REF!</definedName>
    <definedName name="TOTAL">#REF!</definedName>
    <definedName name="TRACKLOADER" localSheetId="3">#REF!</definedName>
    <definedName name="TRACKLOADER" localSheetId="0">#REF!</definedName>
    <definedName name="TRACKLOADER" localSheetId="4">#REF!</definedName>
    <definedName name="TRACKLOADER">#REF!</definedName>
    <definedName name="TRASO_30X30" localSheetId="3">'[16]Hrg Bahan'!#REF!</definedName>
    <definedName name="TRASO_30X30" localSheetId="0">'[16]Hrg Bahan'!#REF!</definedName>
    <definedName name="TRASO_30X30" localSheetId="4">'[16]Hrg Bahan'!#REF!</definedName>
    <definedName name="TRASO_30X30">'[16]Hrg Bahan'!#REF!</definedName>
    <definedName name="TREAK_STANG" localSheetId="3">'[16]Hrg Bahan'!#REF!</definedName>
    <definedName name="TREAK_STANG" localSheetId="0">'[16]Hrg Bahan'!#REF!</definedName>
    <definedName name="TREAK_STANG" localSheetId="4">'[16]Hrg Bahan'!#REF!</definedName>
    <definedName name="TREAK_STANG">'[16]Hrg Bahan'!#REF!</definedName>
    <definedName name="TRIPLEX_MILAMIN" localSheetId="3">'[16]Hrg Bahan'!#REF!</definedName>
    <definedName name="TRIPLEX_MILAMIN" localSheetId="0">'[16]Hrg Bahan'!#REF!</definedName>
    <definedName name="TRIPLEX_MILAMIN" localSheetId="4">'[16]Hrg Bahan'!#REF!</definedName>
    <definedName name="TRIPLEX_MILAMIN">'[16]Hrg Bahan'!#REF!</definedName>
    <definedName name="TRIPLEX_SUNGKAI" localSheetId="3">'[16]Hrg Bahan'!#REF!</definedName>
    <definedName name="TRIPLEX_SUNGKAI" localSheetId="0">'[16]Hrg Bahan'!#REF!</definedName>
    <definedName name="TRIPLEX_SUNGKAI" localSheetId="4">'[16]Hrg Bahan'!#REF!</definedName>
    <definedName name="TRIPLEX_SUNGKAI">'[16]Hrg Bahan'!#REF!</definedName>
    <definedName name="tu">'[25]hrg-jadi'!$H$24</definedName>
    <definedName name="TUK._ANYAM">'[16]Hrg Bahan'!#REF!</definedName>
    <definedName name="TUK.BATU">'[16]Hrg Bahan'!#REF!</definedName>
    <definedName name="TUK.BESI">'[16]Hrg Bahan'!#REF!</definedName>
    <definedName name="TUK.CAT">'[16]Hrg Bahan'!#REF!</definedName>
    <definedName name="TUK.KAYU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44">#REF!</definedName>
    <definedName name="URAIAN745">#REF!</definedName>
    <definedName name="URAIAN7610">#REF!</definedName>
    <definedName name="URAIAN7612a">#REF!</definedName>
    <definedName name="URAIAN7612b">#REF!</definedName>
    <definedName name="URAIAN7612c">#REF!</definedName>
    <definedName name="URAIAN7613a">#REF!</definedName>
    <definedName name="URAIAN7613b">#REF!</definedName>
    <definedName name="URAIAN7613c">#REF!</definedName>
    <definedName name="URAIAN7614a">#REF!</definedName>
    <definedName name="URAIAN7614b">#REF!</definedName>
    <definedName name="URAIAN7614d">#REF!</definedName>
    <definedName name="URAIAN7614e">#REF!</definedName>
    <definedName name="URAIAN7618">#REF!</definedName>
    <definedName name="URAIAN7619">#REF!</definedName>
    <definedName name="URAIAN768">#REF!</definedName>
    <definedName name="URAIAN769">#REF!</definedName>
    <definedName name="URAIAN76x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9manual">#REF!</definedName>
    <definedName name="URAIAN79mekanis">#REF!</definedName>
    <definedName name="URAIAN811">#REF!</definedName>
    <definedName name="URAIAN812">#REF!</definedName>
    <definedName name="URAIAN813">#REF!</definedName>
    <definedName name="URAIAN814">#REF!</definedName>
    <definedName name="URAIAN815">#REF!</definedName>
    <definedName name="URAIAN817">#REF!</definedName>
    <definedName name="URAIAN818">#REF!</definedName>
    <definedName name="URAIAN819">#REF!</definedName>
    <definedName name="URAIAN82">#REF!</definedName>
    <definedName name="Uraian841">#REF!</definedName>
    <definedName name="Uraian8410">#REF!</definedName>
    <definedName name="Uraian842">#REF!</definedName>
    <definedName name="Uraian844">#REF!</definedName>
    <definedName name="Uraian845">#REF!</definedName>
    <definedName name="Uraian846">#REF!</definedName>
    <definedName name="Uraian847">#REF!</definedName>
    <definedName name="URAIANGEOTEKSTIL">#REF!</definedName>
    <definedName name="URINOIR_KERAMIK">'[16]Hrg Bahan'!$N$180</definedName>
    <definedName name="URINOIR_TRASO">'[16]Hrg Bahan'!$N$181</definedName>
    <definedName name="URUGAN_TANAH">[16]Analisa!#REF!</definedName>
    <definedName name="UTAIAN7614c" localSheetId="3">#REF!</definedName>
    <definedName name="UTAIAN7614c" localSheetId="0">#REF!</definedName>
    <definedName name="UTAIAN7614c" localSheetId="4">#REF!</definedName>
    <definedName name="UTAIAN7614c">#REF!</definedName>
    <definedName name="v">[14]RAB!#REF!</definedName>
    <definedName name="VEER_BAJA">'[16]Hrg Bahan'!$N$108</definedName>
    <definedName name="VERNIS">'[16]Hrg Bahan'!#REF!</definedName>
    <definedName name="vi">[41]RAB!#REF!</definedName>
    <definedName name="VIBROROLLER" localSheetId="3">#REF!</definedName>
    <definedName name="VIBROROLLER" localSheetId="0">#REF!</definedName>
    <definedName name="VIBROROLLER" localSheetId="4">#REF!</definedName>
    <definedName name="VIBROROLLER">#REF!</definedName>
    <definedName name="VITTING">'[16]Hrg Bahan'!#REF!</definedName>
    <definedName name="voeg" localSheetId="3">#REF!</definedName>
    <definedName name="voeg" localSheetId="0">#REF!</definedName>
    <definedName name="voeg" localSheetId="4">#REF!</definedName>
    <definedName name="voeg">#REF!</definedName>
    <definedName name="WALL_PAPER">'[16]Hrg Bahan'!#REF!</definedName>
    <definedName name="WARNA_20.20">[16]Analisa!#REF!</definedName>
    <definedName name="WASHTAFEL_KIA">'[16]Hrg Bahan'!#REF!</definedName>
    <definedName name="WASHTAFEL_SET">'[16]Hrg Bahan'!#REF!</definedName>
    <definedName name="WASHTAFEL_TOTO">'[16]Hrg Bahan'!#REF!</definedName>
    <definedName name="WATER_METER">'[16]Hrg Bahan'!#REF!</definedName>
    <definedName name="WATERPUMP" localSheetId="3">#REF!</definedName>
    <definedName name="WATERPUMP" localSheetId="0">#REF!</definedName>
    <definedName name="WATERPUMP" localSheetId="4">#REF!</definedName>
    <definedName name="WATERPUMP">#REF!</definedName>
    <definedName name="WATERTANKER" localSheetId="3">#REF!</definedName>
    <definedName name="WATERTANKER" localSheetId="0">#REF!</definedName>
    <definedName name="WATERTANKER" localSheetId="4">#REF!</definedName>
    <definedName name="WATERTANKER">#REF!</definedName>
    <definedName name="WHEELLOADER" localSheetId="3">#REF!</definedName>
    <definedName name="WHEELLOADER" localSheetId="0">#REF!</definedName>
    <definedName name="WHEELLOADER" localSheetId="4">#REF!</definedName>
    <definedName name="WHEELLOADER">#REF!</definedName>
    <definedName name="wrn.Full._.Report.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>[42]Sheet1!#REF!</definedName>
    <definedName name="Z" localSheetId="3">#REF!</definedName>
    <definedName name="Z" localSheetId="0">#REF!</definedName>
    <definedName name="Z" localSheetId="4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9" i="18" l="1"/>
  <c r="AG19" i="18"/>
  <c r="AG8" i="18"/>
  <c r="AS8" i="18"/>
  <c r="Q19" i="32"/>
  <c r="AS52" i="18"/>
  <c r="AF17" i="32"/>
  <c r="AF15" i="32"/>
  <c r="BI34" i="18"/>
  <c r="BG35" i="18"/>
  <c r="AS35" i="18"/>
  <c r="AS61" i="20"/>
  <c r="AS23" i="20"/>
  <c r="BH49" i="36"/>
  <c r="AQ49" i="36"/>
  <c r="BH80" i="20"/>
  <c r="BI80" i="20"/>
  <c r="BG80" i="20"/>
  <c r="AS80" i="20"/>
  <c r="AG61" i="20"/>
  <c r="AH61" i="20"/>
  <c r="BF62" i="20"/>
  <c r="BH61" i="20"/>
  <c r="BI61" i="20"/>
  <c r="BG61" i="20"/>
  <c r="AF27" i="32"/>
  <c r="BI5" i="18"/>
  <c r="BI74" i="18"/>
  <c r="BI78" i="18"/>
  <c r="BI6" i="38"/>
  <c r="AF7" i="32"/>
  <c r="AC48" i="32"/>
  <c r="W48" i="32"/>
  <c r="AC49" i="32" s="1"/>
  <c r="D48" i="32"/>
  <c r="F48" i="32"/>
  <c r="G48" i="32"/>
  <c r="H48" i="32"/>
  <c r="I48" i="32"/>
  <c r="J48" i="32"/>
  <c r="M48" i="32"/>
  <c r="O48" i="32"/>
  <c r="P48" i="32"/>
  <c r="R48" i="32"/>
  <c r="U48" i="32"/>
  <c r="V48" i="32"/>
  <c r="X48" i="32"/>
  <c r="Y48" i="32"/>
  <c r="Z48" i="32"/>
  <c r="AA48" i="32"/>
  <c r="AB48" i="32"/>
  <c r="C48" i="32"/>
  <c r="D47" i="32"/>
  <c r="E47" i="32"/>
  <c r="F47" i="32"/>
  <c r="G47" i="32"/>
  <c r="H47" i="32"/>
  <c r="I47" i="32"/>
  <c r="J47" i="32"/>
  <c r="K47" i="32"/>
  <c r="L47" i="32"/>
  <c r="M47" i="32"/>
  <c r="N47" i="32"/>
  <c r="O47" i="32"/>
  <c r="P47" i="32"/>
  <c r="Q47" i="32"/>
  <c r="R47" i="32"/>
  <c r="S47" i="32"/>
  <c r="T47" i="32"/>
  <c r="U47" i="32"/>
  <c r="V47" i="32"/>
  <c r="W47" i="32"/>
  <c r="X47" i="32"/>
  <c r="Y47" i="32"/>
  <c r="Z47" i="32"/>
  <c r="AA47" i="32"/>
  <c r="AB47" i="32"/>
  <c r="AC47" i="32"/>
  <c r="AD47" i="32"/>
  <c r="AE47" i="32"/>
  <c r="AF47" i="32"/>
  <c r="D44" i="32"/>
  <c r="E44" i="32"/>
  <c r="F44" i="32"/>
  <c r="G44" i="32"/>
  <c r="H44" i="32"/>
  <c r="I44" i="32"/>
  <c r="J44" i="32"/>
  <c r="K44" i="32"/>
  <c r="L44" i="32"/>
  <c r="M44" i="32"/>
  <c r="O44" i="32"/>
  <c r="P44" i="32"/>
  <c r="Q44" i="32"/>
  <c r="R44" i="32"/>
  <c r="S44" i="32"/>
  <c r="U44" i="32"/>
  <c r="V44" i="32"/>
  <c r="W44" i="32"/>
  <c r="X44" i="32"/>
  <c r="Y44" i="32"/>
  <c r="Z44" i="32"/>
  <c r="AA44" i="32"/>
  <c r="AB44" i="32"/>
  <c r="AC44" i="32"/>
  <c r="AD44" i="32"/>
  <c r="AE44" i="32"/>
  <c r="AF44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31" i="32"/>
  <c r="F31" i="32"/>
  <c r="G31" i="32"/>
  <c r="H31" i="32"/>
  <c r="I31" i="32"/>
  <c r="J31" i="32"/>
  <c r="M31" i="32"/>
  <c r="O31" i="32"/>
  <c r="P31" i="32"/>
  <c r="Q31" i="32"/>
  <c r="R31" i="32"/>
  <c r="S31" i="32"/>
  <c r="U31" i="32"/>
  <c r="V31" i="32"/>
  <c r="W31" i="32"/>
  <c r="X31" i="32"/>
  <c r="Y31" i="32"/>
  <c r="Z31" i="32"/>
  <c r="AA31" i="32"/>
  <c r="AB31" i="32"/>
  <c r="AC31" i="32"/>
  <c r="AF31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R22" i="32"/>
  <c r="U22" i="32"/>
  <c r="V22" i="32"/>
  <c r="W22" i="32"/>
  <c r="X22" i="32"/>
  <c r="Y22" i="32"/>
  <c r="Z22" i="32"/>
  <c r="AA22" i="32"/>
  <c r="AB22" i="32"/>
  <c r="AC22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U10" i="32"/>
  <c r="V10" i="32"/>
  <c r="W10" i="32"/>
  <c r="X10" i="32"/>
  <c r="Y10" i="32"/>
  <c r="Z10" i="32"/>
  <c r="AA10" i="32"/>
  <c r="AB10" i="32"/>
  <c r="AC10" i="32"/>
  <c r="AD10" i="32"/>
  <c r="AF10" i="32"/>
  <c r="AF43" i="32"/>
  <c r="AF42" i="32"/>
  <c r="AF41" i="32"/>
  <c r="AF40" i="32"/>
  <c r="AF39" i="32"/>
  <c r="AF38" i="32"/>
  <c r="AF35" i="32"/>
  <c r="AF34" i="32"/>
  <c r="AF33" i="32"/>
  <c r="AF30" i="32"/>
  <c r="AF29" i="32"/>
  <c r="AF28" i="32"/>
  <c r="AF26" i="32"/>
  <c r="AF25" i="32"/>
  <c r="AF24" i="32"/>
  <c r="AF16" i="32"/>
  <c r="AD28" i="32"/>
  <c r="Z28" i="32"/>
  <c r="Q28" i="32"/>
  <c r="H28" i="32"/>
  <c r="CC72" i="20"/>
  <c r="BP72" i="20"/>
  <c r="AQ72" i="20"/>
  <c r="AP72" i="20"/>
  <c r="AI72" i="20"/>
  <c r="AV74" i="20" s="1"/>
  <c r="AH72" i="20"/>
  <c r="BH71" i="20"/>
  <c r="BY71" i="20" s="1"/>
  <c r="CK71" i="20" s="1"/>
  <c r="AY71" i="20"/>
  <c r="AX71" i="20"/>
  <c r="AR71" i="20"/>
  <c r="BE71" i="20" s="1"/>
  <c r="BV71" i="20" s="1"/>
  <c r="CH71" i="20" s="1"/>
  <c r="AQ71" i="20"/>
  <c r="BD71" i="20" s="1"/>
  <c r="BU71" i="20" s="1"/>
  <c r="CG71" i="20" s="1"/>
  <c r="AP71" i="20"/>
  <c r="BC71" i="20" s="1"/>
  <c r="BT71" i="20" s="1"/>
  <c r="CF71" i="20" s="1"/>
  <c r="AO71" i="20"/>
  <c r="BB71" i="20" s="1"/>
  <c r="BS71" i="20" s="1"/>
  <c r="CE71" i="20" s="1"/>
  <c r="AN71" i="20"/>
  <c r="BA71" i="20" s="1"/>
  <c r="BR71" i="20" s="1"/>
  <c r="CD71" i="20" s="1"/>
  <c r="AM71" i="20"/>
  <c r="AZ71" i="20" s="1"/>
  <c r="BQ71" i="20" s="1"/>
  <c r="AL71" i="20"/>
  <c r="AK71" i="20"/>
  <c r="AJ71" i="20"/>
  <c r="AW71" i="20" s="1"/>
  <c r="AI71" i="20"/>
  <c r="AH71" i="20"/>
  <c r="AG71" i="20"/>
  <c r="AS71" i="20" s="1"/>
  <c r="Q71" i="20"/>
  <c r="AF71" i="20" s="1"/>
  <c r="BG71" i="20" s="1"/>
  <c r="BX71" i="20" s="1"/>
  <c r="CJ71" i="20" s="1"/>
  <c r="BY70" i="20"/>
  <c r="BY72" i="20" s="1"/>
  <c r="BH70" i="20"/>
  <c r="BI70" i="20" s="1"/>
  <c r="BZ70" i="20" s="1"/>
  <c r="CL70" i="20" s="1"/>
  <c r="BE70" i="20"/>
  <c r="BV70" i="20" s="1"/>
  <c r="CH70" i="20" s="1"/>
  <c r="BD70" i="20"/>
  <c r="BU70" i="20" s="1"/>
  <c r="CG70" i="20" s="1"/>
  <c r="BC70" i="20"/>
  <c r="BT70" i="20" s="1"/>
  <c r="CF70" i="20" s="1"/>
  <c r="AW70" i="20"/>
  <c r="AR70" i="20"/>
  <c r="AQ70" i="20"/>
  <c r="AP70" i="20"/>
  <c r="AO70" i="20"/>
  <c r="BL70" i="20" s="1"/>
  <c r="AN70" i="20"/>
  <c r="BA70" i="20" s="1"/>
  <c r="BR70" i="20" s="1"/>
  <c r="CD70" i="20" s="1"/>
  <c r="AM70" i="20"/>
  <c r="AZ70" i="20" s="1"/>
  <c r="BQ70" i="20" s="1"/>
  <c r="AL70" i="20"/>
  <c r="AL72" i="20" s="1"/>
  <c r="AK70" i="20"/>
  <c r="AS70" i="20" s="1"/>
  <c r="AJ70" i="20"/>
  <c r="AI70" i="20"/>
  <c r="AH70" i="20"/>
  <c r="AG70" i="20"/>
  <c r="Q70" i="20"/>
  <c r="BJ70" i="20" s="1"/>
  <c r="CA70" i="20" s="1"/>
  <c r="CM70" i="20" s="1"/>
  <c r="BY69" i="20"/>
  <c r="CK69" i="20" s="1"/>
  <c r="BQ69" i="20"/>
  <c r="BM69" i="20"/>
  <c r="BM72" i="20" s="1"/>
  <c r="BH69" i="20"/>
  <c r="BE69" i="20"/>
  <c r="BV69" i="20" s="1"/>
  <c r="CH69" i="20" s="1"/>
  <c r="BD69" i="20"/>
  <c r="BU69" i="20" s="1"/>
  <c r="CG69" i="20" s="1"/>
  <c r="AZ69" i="20"/>
  <c r="AX69" i="20"/>
  <c r="AW69" i="20"/>
  <c r="AV69" i="20"/>
  <c r="AR69" i="20"/>
  <c r="AQ69" i="20"/>
  <c r="AP69" i="20"/>
  <c r="BC69" i="20" s="1"/>
  <c r="BT69" i="20" s="1"/>
  <c r="CF69" i="20" s="1"/>
  <c r="AO69" i="20"/>
  <c r="BB69" i="20" s="1"/>
  <c r="BS69" i="20" s="1"/>
  <c r="CE69" i="20" s="1"/>
  <c r="AN69" i="20"/>
  <c r="BA69" i="20" s="1"/>
  <c r="BR69" i="20" s="1"/>
  <c r="CD69" i="20" s="1"/>
  <c r="AM69" i="20"/>
  <c r="AL69" i="20"/>
  <c r="AY69" i="20" s="1"/>
  <c r="AK69" i="20"/>
  <c r="AJ69" i="20"/>
  <c r="AI69" i="20"/>
  <c r="AH69" i="20"/>
  <c r="AU69" i="20" s="1"/>
  <c r="AG69" i="20"/>
  <c r="AF69" i="20"/>
  <c r="Q69" i="20"/>
  <c r="BJ69" i="20" s="1"/>
  <c r="CA69" i="20" s="1"/>
  <c r="CM69" i="20" s="1"/>
  <c r="CK68" i="20"/>
  <c r="BY68" i="20"/>
  <c r="BH68" i="20"/>
  <c r="BE68" i="20"/>
  <c r="BE72" i="20" s="1"/>
  <c r="BD68" i="20"/>
  <c r="BD72" i="20" s="1"/>
  <c r="AY68" i="20"/>
  <c r="AX68" i="20"/>
  <c r="AW68" i="20"/>
  <c r="AW72" i="20" s="1"/>
  <c r="AV68" i="20"/>
  <c r="AV72" i="20" s="1"/>
  <c r="AR68" i="20"/>
  <c r="AR72" i="20" s="1"/>
  <c r="AQ68" i="20"/>
  <c r="AP68" i="20"/>
  <c r="BC68" i="20" s="1"/>
  <c r="AO68" i="20"/>
  <c r="AO72" i="20" s="1"/>
  <c r="AN68" i="20"/>
  <c r="BA68" i="20" s="1"/>
  <c r="AM68" i="20"/>
  <c r="AM72" i="20" s="1"/>
  <c r="AL68" i="20"/>
  <c r="AK68" i="20"/>
  <c r="AK72" i="20" s="1"/>
  <c r="AJ68" i="20"/>
  <c r="AJ72" i="20" s="1"/>
  <c r="AW74" i="20" s="1"/>
  <c r="AI68" i="20"/>
  <c r="AH68" i="20"/>
  <c r="AU68" i="20" s="1"/>
  <c r="AG68" i="20"/>
  <c r="AG72" i="20" s="1"/>
  <c r="AF68" i="20"/>
  <c r="Q68" i="20"/>
  <c r="BJ68" i="20" s="1"/>
  <c r="BI15" i="18"/>
  <c r="BG15" i="18"/>
  <c r="BH76" i="18"/>
  <c r="BH77" i="18"/>
  <c r="BH75" i="18"/>
  <c r="AH76" i="18"/>
  <c r="U77" i="18"/>
  <c r="BI71" i="18"/>
  <c r="V67" i="18"/>
  <c r="BH35" i="38"/>
  <c r="BI33" i="38"/>
  <c r="BI32" i="38"/>
  <c r="BI30" i="38"/>
  <c r="AG54" i="20"/>
  <c r="AG55" i="20"/>
  <c r="AG56" i="20"/>
  <c r="AT56" i="20" s="1"/>
  <c r="AG57" i="20"/>
  <c r="AG89" i="18"/>
  <c r="BF91" i="18"/>
  <c r="BF89" i="18"/>
  <c r="BG65" i="18"/>
  <c r="BH89" i="18"/>
  <c r="AH73" i="18"/>
  <c r="AG73" i="18"/>
  <c r="Q73" i="18"/>
  <c r="AF73" i="18" s="1"/>
  <c r="CO72" i="18"/>
  <c r="BV72" i="18"/>
  <c r="AZ72" i="18"/>
  <c r="AY72" i="18"/>
  <c r="AR72" i="18"/>
  <c r="BE72" i="18" s="1"/>
  <c r="AQ72" i="18"/>
  <c r="BD72" i="18" s="1"/>
  <c r="AP72" i="18"/>
  <c r="BY72" i="18" s="1"/>
  <c r="AO72" i="18"/>
  <c r="BB72" i="18" s="1"/>
  <c r="AN72" i="18"/>
  <c r="BA72" i="18" s="1"/>
  <c r="AM72" i="18"/>
  <c r="AL72" i="18"/>
  <c r="BU72" i="18" s="1"/>
  <c r="AK72" i="18"/>
  <c r="AX72" i="18" s="1"/>
  <c r="AJ72" i="18"/>
  <c r="AW72" i="18" s="1"/>
  <c r="AI72" i="18"/>
  <c r="BR72" i="18" s="1"/>
  <c r="AH72" i="18"/>
  <c r="AG72" i="18"/>
  <c r="Q72" i="18"/>
  <c r="BL54" i="20"/>
  <c r="BM51" i="20"/>
  <c r="Q8" i="20"/>
  <c r="BH62" i="20" l="1"/>
  <c r="BG62" i="20"/>
  <c r="CA68" i="20"/>
  <c r="BL69" i="20"/>
  <c r="BN69" i="20" s="1"/>
  <c r="BN72" i="20" s="1"/>
  <c r="AU74" i="20"/>
  <c r="BT68" i="20"/>
  <c r="BC72" i="20"/>
  <c r="BC74" i="20" s="1"/>
  <c r="BE74" i="20"/>
  <c r="BD74" i="20"/>
  <c r="BA72" i="20"/>
  <c r="BR68" i="20"/>
  <c r="AU72" i="20"/>
  <c r="BF68" i="20"/>
  <c r="BI69" i="20"/>
  <c r="BZ69" i="20" s="1"/>
  <c r="CL69" i="20" s="1"/>
  <c r="AX74" i="20"/>
  <c r="BF71" i="20"/>
  <c r="BW71" i="20" s="1"/>
  <c r="CI71" i="20" s="1"/>
  <c r="CO71" i="20" s="1"/>
  <c r="CB71" i="20"/>
  <c r="CN71" i="20" s="1"/>
  <c r="BH72" i="20"/>
  <c r="AZ68" i="20"/>
  <c r="BU68" i="20"/>
  <c r="AF70" i="20"/>
  <c r="BG70" i="20" s="1"/>
  <c r="BX70" i="20" s="1"/>
  <c r="CJ70" i="20" s="1"/>
  <c r="AY70" i="20"/>
  <c r="AY72" i="20" s="1"/>
  <c r="CK70" i="20"/>
  <c r="CK72" i="20" s="1"/>
  <c r="CK74" i="20" s="1"/>
  <c r="BI71" i="20"/>
  <c r="BZ71" i="20" s="1"/>
  <c r="CL71" i="20" s="1"/>
  <c r="AX70" i="20"/>
  <c r="AX72" i="20" s="1"/>
  <c r="BJ71" i="20"/>
  <c r="CA71" i="20" s="1"/>
  <c r="CM71" i="20" s="1"/>
  <c r="AS68" i="20"/>
  <c r="BB68" i="20"/>
  <c r="AS69" i="20"/>
  <c r="BG69" i="20" s="1"/>
  <c r="BX69" i="20" s="1"/>
  <c r="CJ69" i="20" s="1"/>
  <c r="BL71" i="20"/>
  <c r="BG68" i="20"/>
  <c r="BX68" i="20" s="1"/>
  <c r="BL68" i="20"/>
  <c r="AT69" i="20"/>
  <c r="BB70" i="20"/>
  <c r="BS70" i="20" s="1"/>
  <c r="CE70" i="20" s="1"/>
  <c r="AN72" i="20"/>
  <c r="BA74" i="20" s="1"/>
  <c r="BV68" i="20"/>
  <c r="AS72" i="18"/>
  <c r="AS73" i="18"/>
  <c r="AF72" i="18"/>
  <c r="BW72" i="18"/>
  <c r="CB72" i="18" s="1"/>
  <c r="BC72" i="18"/>
  <c r="BF72" i="18" s="1"/>
  <c r="BZ72" i="18"/>
  <c r="BS72" i="18"/>
  <c r="CA72" i="18"/>
  <c r="BT72" i="18"/>
  <c r="BX72" i="18"/>
  <c r="BP74" i="20" l="1"/>
  <c r="AY74" i="20"/>
  <c r="BW68" i="20"/>
  <c r="BB72" i="20"/>
  <c r="BS68" i="20"/>
  <c r="BQ68" i="20"/>
  <c r="AZ72" i="20"/>
  <c r="AF72" i="20"/>
  <c r="BY74" i="20"/>
  <c r="CJ68" i="20"/>
  <c r="CJ72" i="20" s="1"/>
  <c r="BX72" i="20"/>
  <c r="CJ74" i="20" s="1"/>
  <c r="CH68" i="20"/>
  <c r="CH72" i="20" s="1"/>
  <c r="BV72" i="20"/>
  <c r="CG68" i="20"/>
  <c r="CG72" i="20" s="1"/>
  <c r="BU72" i="20"/>
  <c r="BI68" i="20"/>
  <c r="AS72" i="20"/>
  <c r="AT72" i="20"/>
  <c r="AT74" i="20" s="1"/>
  <c r="BF69" i="20"/>
  <c r="BW69" i="20" s="1"/>
  <c r="CD68" i="20"/>
  <c r="BR72" i="20"/>
  <c r="CM68" i="20"/>
  <c r="CM72" i="20" s="1"/>
  <c r="CA72" i="20"/>
  <c r="BL72" i="20"/>
  <c r="BF70" i="20"/>
  <c r="BW70" i="20" s="1"/>
  <c r="CI70" i="20" s="1"/>
  <c r="BT72" i="20"/>
  <c r="CF68" i="20"/>
  <c r="CF72" i="20" s="1"/>
  <c r="BJ72" i="20"/>
  <c r="AR58" i="36"/>
  <c r="BJ58" i="36" s="1"/>
  <c r="AR57" i="36"/>
  <c r="AR59" i="36" s="1"/>
  <c r="BF10" i="38"/>
  <c r="BF9" i="38"/>
  <c r="BI7" i="38"/>
  <c r="BH6" i="38"/>
  <c r="BI13" i="34"/>
  <c r="CO14" i="34"/>
  <c r="BX14" i="34"/>
  <c r="BW14" i="34"/>
  <c r="BV14" i="34"/>
  <c r="BB14" i="34"/>
  <c r="BA14" i="34"/>
  <c r="AZ14" i="34"/>
  <c r="AY14" i="34"/>
  <c r="AR14" i="34"/>
  <c r="BE14" i="34" s="1"/>
  <c r="AQ14" i="34"/>
  <c r="BD14" i="34" s="1"/>
  <c r="AP14" i="34"/>
  <c r="BC14" i="34" s="1"/>
  <c r="AO14" i="34"/>
  <c r="AN14" i="34"/>
  <c r="AM14" i="34"/>
  <c r="AL14" i="34"/>
  <c r="BU14" i="34" s="1"/>
  <c r="AK14" i="34"/>
  <c r="AX14" i="34" s="1"/>
  <c r="AJ14" i="34"/>
  <c r="AW14" i="34" s="1"/>
  <c r="AI14" i="34"/>
  <c r="BR14" i="34" s="1"/>
  <c r="AH14" i="34"/>
  <c r="AG14" i="34"/>
  <c r="Q14" i="34"/>
  <c r="BH56" i="20"/>
  <c r="BY56" i="20" s="1"/>
  <c r="CK56" i="20" s="1"/>
  <c r="AH56" i="20"/>
  <c r="Q56" i="20"/>
  <c r="AF56" i="20" s="1"/>
  <c r="A57" i="20"/>
  <c r="A59" i="20"/>
  <c r="AP8" i="32"/>
  <c r="AP7" i="32"/>
  <c r="BG10" i="38"/>
  <c r="BG7" i="38"/>
  <c r="BG6" i="38"/>
  <c r="AU7" i="38"/>
  <c r="AU6" i="38"/>
  <c r="AT6" i="38"/>
  <c r="AT7" i="38"/>
  <c r="AG75" i="18"/>
  <c r="AF76" i="18"/>
  <c r="AG76" i="18"/>
  <c r="AG77" i="18"/>
  <c r="AH74" i="18"/>
  <c r="AH75" i="18"/>
  <c r="AS76" i="18"/>
  <c r="AH77" i="18"/>
  <c r="Q75" i="18"/>
  <c r="AF75" i="18" s="1"/>
  <c r="Q76" i="18"/>
  <c r="Q77" i="18"/>
  <c r="AF77" i="18" s="1"/>
  <c r="AI42" i="32"/>
  <c r="AG40" i="32"/>
  <c r="AD40" i="32"/>
  <c r="Q40" i="32"/>
  <c r="AL40" i="32" s="1"/>
  <c r="BF66" i="18"/>
  <c r="BF54" i="18"/>
  <c r="BI79" i="18"/>
  <c r="BI87" i="18"/>
  <c r="BH21" i="38"/>
  <c r="CC72" i="36"/>
  <c r="BO63" i="20"/>
  <c r="BM53" i="20"/>
  <c r="BM52" i="20"/>
  <c r="CH74" i="20" l="1"/>
  <c r="BV74" i="20"/>
  <c r="CI69" i="20"/>
  <c r="CB69" i="20"/>
  <c r="CN69" i="20" s="1"/>
  <c r="BS74" i="20"/>
  <c r="BB74" i="20"/>
  <c r="BF72" i="20"/>
  <c r="BW74" i="20" s="1"/>
  <c r="CM74" i="20"/>
  <c r="BZ68" i="20"/>
  <c r="BI72" i="20"/>
  <c r="BW72" i="20"/>
  <c r="CI68" i="20"/>
  <c r="CI72" i="20" s="1"/>
  <c r="CD72" i="20"/>
  <c r="CD74" i="20" s="1"/>
  <c r="CO70" i="20"/>
  <c r="BF73" i="20"/>
  <c r="CG74" i="20"/>
  <c r="BU74" i="20"/>
  <c r="AZ74" i="20"/>
  <c r="BF74" i="20" s="1"/>
  <c r="CF74" i="20"/>
  <c r="BQ72" i="20"/>
  <c r="CC74" i="20" s="1"/>
  <c r="CB68" i="20"/>
  <c r="BR74" i="20"/>
  <c r="CE68" i="20"/>
  <c r="CE72" i="20" s="1"/>
  <c r="BS72" i="20"/>
  <c r="CE74" i="20" s="1"/>
  <c r="CB70" i="20"/>
  <c r="CN70" i="20" s="1"/>
  <c r="CA74" i="20"/>
  <c r="BT74" i="20"/>
  <c r="BG72" i="20"/>
  <c r="BG73" i="20"/>
  <c r="BJ57" i="36"/>
  <c r="AS77" i="18"/>
  <c r="BG77" i="18"/>
  <c r="BG89" i="18" s="1"/>
  <c r="BI90" i="18" s="1"/>
  <c r="AU56" i="20"/>
  <c r="BF56" i="20" s="1"/>
  <c r="BI77" i="18"/>
  <c r="AS75" i="18"/>
  <c r="BJ14" i="34"/>
  <c r="AS14" i="34"/>
  <c r="BY14" i="34"/>
  <c r="AU14" i="34"/>
  <c r="BZ14" i="34"/>
  <c r="AV14" i="34"/>
  <c r="BS14" i="34"/>
  <c r="CB14" i="34" s="1"/>
  <c r="CA14" i="34"/>
  <c r="BT14" i="34"/>
  <c r="AS56" i="20"/>
  <c r="BG56" i="20" s="1"/>
  <c r="BI75" i="18"/>
  <c r="BI76" i="18"/>
  <c r="BG76" i="18"/>
  <c r="AL20" i="32"/>
  <c r="CB72" i="20" l="1"/>
  <c r="CN68" i="20"/>
  <c r="CN72" i="20" s="1"/>
  <c r="BX74" i="20"/>
  <c r="BI73" i="20"/>
  <c r="BQ74" i="20"/>
  <c r="CI74" i="20"/>
  <c r="BI74" i="20"/>
  <c r="BH73" i="20"/>
  <c r="CO69" i="20"/>
  <c r="CL68" i="20"/>
  <c r="BZ72" i="20"/>
  <c r="BL56" i="20"/>
  <c r="BF14" i="34"/>
  <c r="BI56" i="20"/>
  <c r="CG7" i="36"/>
  <c r="CG6" i="36"/>
  <c r="BO53" i="20"/>
  <c r="CL72" i="20" l="1"/>
  <c r="CL74" i="20" s="1"/>
  <c r="CO74" i="20" s="1"/>
  <c r="CO68" i="20"/>
  <c r="CO72" i="20" s="1"/>
  <c r="CO73" i="20" s="1"/>
  <c r="BZ74" i="20"/>
  <c r="CB74" i="20" s="1"/>
  <c r="CN74" i="20"/>
  <c r="CB73" i="20"/>
  <c r="AG78" i="18"/>
  <c r="BH51" i="20" l="1"/>
  <c r="E59" i="20"/>
  <c r="E58" i="20"/>
  <c r="AP89" i="36"/>
  <c r="AP90" i="36"/>
  <c r="AP91" i="36"/>
  <c r="AP92" i="36"/>
  <c r="AP88" i="36"/>
  <c r="DI93" i="36"/>
  <c r="DI92" i="36"/>
  <c r="CB92" i="36"/>
  <c r="CU92" i="36"/>
  <c r="BG92" i="36"/>
  <c r="BF92" i="36"/>
  <c r="BY92" i="36" s="1"/>
  <c r="BE92" i="36"/>
  <c r="BX92" i="36" s="1"/>
  <c r="BD92" i="36"/>
  <c r="BW92" i="36" s="1"/>
  <c r="AW92" i="36"/>
  <c r="BV92" i="36" s="1"/>
  <c r="AV92" i="36"/>
  <c r="BN92" i="36" s="1"/>
  <c r="AU92" i="36"/>
  <c r="CN92" i="36" s="1"/>
  <c r="AT92" i="36"/>
  <c r="CM92" i="36" s="1"/>
  <c r="AS92" i="36"/>
  <c r="CL92" i="36" s="1"/>
  <c r="AR92" i="36"/>
  <c r="AQ92" i="36"/>
  <c r="V92" i="36"/>
  <c r="CD92" i="36" s="1"/>
  <c r="DI91" i="36"/>
  <c r="CB91" i="36"/>
  <c r="CU91" i="36"/>
  <c r="BG91" i="36"/>
  <c r="BF91" i="36"/>
  <c r="BY91" i="36" s="1"/>
  <c r="BE91" i="36"/>
  <c r="BX91" i="36" s="1"/>
  <c r="BD91" i="36"/>
  <c r="BW91" i="36" s="1"/>
  <c r="AW91" i="36"/>
  <c r="BV91" i="36" s="1"/>
  <c r="AV91" i="36"/>
  <c r="BN91" i="36" s="1"/>
  <c r="AU91" i="36"/>
  <c r="BM91" i="36" s="1"/>
  <c r="AT91" i="36"/>
  <c r="CM91" i="36" s="1"/>
  <c r="AS91" i="36"/>
  <c r="BK91" i="36" s="1"/>
  <c r="AR91" i="36"/>
  <c r="BJ91" i="36" s="1"/>
  <c r="AQ91" i="36"/>
  <c r="V91" i="36"/>
  <c r="CD91" i="36" s="1"/>
  <c r="DI90" i="36"/>
  <c r="CB90" i="36"/>
  <c r="BG90" i="36"/>
  <c r="BF90" i="36"/>
  <c r="BY90" i="36" s="1"/>
  <c r="BE90" i="36"/>
  <c r="CR90" i="36" s="1"/>
  <c r="BD90" i="36"/>
  <c r="CQ90" i="36" s="1"/>
  <c r="AW90" i="36"/>
  <c r="CP90" i="36" s="1"/>
  <c r="AV90" i="36"/>
  <c r="BN90" i="36" s="1"/>
  <c r="AU90" i="36"/>
  <c r="BM90" i="36" s="1"/>
  <c r="AT90" i="36"/>
  <c r="CM90" i="36" s="1"/>
  <c r="AS90" i="36"/>
  <c r="AR90" i="36"/>
  <c r="AQ90" i="36"/>
  <c r="V90" i="36"/>
  <c r="DI89" i="36"/>
  <c r="CB89" i="36"/>
  <c r="BG89" i="36"/>
  <c r="CT89" i="36" s="1"/>
  <c r="BF89" i="36"/>
  <c r="CS89" i="36" s="1"/>
  <c r="BE89" i="36"/>
  <c r="CR89" i="36" s="1"/>
  <c r="BD89" i="36"/>
  <c r="BW89" i="36" s="1"/>
  <c r="AW89" i="36"/>
  <c r="BV89" i="36" s="1"/>
  <c r="AV89" i="36"/>
  <c r="BN89" i="36" s="1"/>
  <c r="AU89" i="36"/>
  <c r="CN89" i="36" s="1"/>
  <c r="AT89" i="36"/>
  <c r="BL89" i="36" s="1"/>
  <c r="AS89" i="36"/>
  <c r="BK89" i="36" s="1"/>
  <c r="AR89" i="36"/>
  <c r="BJ89" i="36" s="1"/>
  <c r="AQ89" i="36"/>
  <c r="BI89" i="36" s="1"/>
  <c r="V89" i="36"/>
  <c r="CD89" i="36" s="1"/>
  <c r="DI88" i="36"/>
  <c r="CB88" i="36"/>
  <c r="BG88" i="36"/>
  <c r="CT88" i="36" s="1"/>
  <c r="BF88" i="36"/>
  <c r="BY88" i="36" s="1"/>
  <c r="BE88" i="36"/>
  <c r="BX88" i="36" s="1"/>
  <c r="BD88" i="36"/>
  <c r="BW88" i="36" s="1"/>
  <c r="AW88" i="36"/>
  <c r="BV88" i="36" s="1"/>
  <c r="AV88" i="36"/>
  <c r="AU88" i="36"/>
  <c r="CN88" i="36" s="1"/>
  <c r="AT88" i="36"/>
  <c r="BL88" i="36" s="1"/>
  <c r="AS88" i="36"/>
  <c r="CL88" i="36" s="1"/>
  <c r="AR88" i="36"/>
  <c r="AQ88" i="36"/>
  <c r="V88" i="36"/>
  <c r="CD88" i="36" s="1"/>
  <c r="CF85" i="36"/>
  <c r="AQ78" i="36"/>
  <c r="BI78" i="36" s="1"/>
  <c r="V78" i="36"/>
  <c r="CD78" i="36" s="1"/>
  <c r="V77" i="36"/>
  <c r="V79" i="36"/>
  <c r="AP68" i="36"/>
  <c r="AP69" i="36"/>
  <c r="AP70" i="36"/>
  <c r="AP71" i="36"/>
  <c r="AP72" i="36"/>
  <c r="CA72" i="36" s="1"/>
  <c r="AP73" i="36"/>
  <c r="AP74" i="36"/>
  <c r="AP75" i="36"/>
  <c r="AP76" i="36"/>
  <c r="AP77" i="36"/>
  <c r="AP78" i="36"/>
  <c r="AP79" i="36"/>
  <c r="AP67" i="36"/>
  <c r="DI78" i="36"/>
  <c r="CB78" i="36"/>
  <c r="BG78" i="36"/>
  <c r="BF78" i="36"/>
  <c r="CS78" i="36" s="1"/>
  <c r="BE78" i="36"/>
  <c r="BX78" i="36" s="1"/>
  <c r="BD78" i="36"/>
  <c r="CQ78" i="36" s="1"/>
  <c r="AW78" i="36"/>
  <c r="CP78" i="36" s="1"/>
  <c r="AV78" i="36"/>
  <c r="CO78" i="36" s="1"/>
  <c r="AU78" i="36"/>
  <c r="BM78" i="36" s="1"/>
  <c r="AT78" i="36"/>
  <c r="BL78" i="36" s="1"/>
  <c r="AS78" i="36"/>
  <c r="BK78" i="36" s="1"/>
  <c r="AR78" i="36"/>
  <c r="V73" i="36"/>
  <c r="CD73" i="36" s="1"/>
  <c r="AQ73" i="36"/>
  <c r="BI73" i="36" s="1"/>
  <c r="AR73" i="36"/>
  <c r="BJ73" i="36" s="1"/>
  <c r="AS73" i="36"/>
  <c r="BK73" i="36" s="1"/>
  <c r="AT73" i="36"/>
  <c r="BL73" i="36" s="1"/>
  <c r="AU73" i="36"/>
  <c r="BM73" i="36" s="1"/>
  <c r="AV73" i="36"/>
  <c r="CO73" i="36" s="1"/>
  <c r="AW73" i="36"/>
  <c r="BV73" i="36" s="1"/>
  <c r="BD73" i="36"/>
  <c r="BW73" i="36" s="1"/>
  <c r="BE73" i="36"/>
  <c r="CR73" i="36" s="1"/>
  <c r="BF73" i="36"/>
  <c r="BY73" i="36" s="1"/>
  <c r="BG73" i="36"/>
  <c r="CB73" i="36"/>
  <c r="DI73" i="36"/>
  <c r="V74" i="36"/>
  <c r="AQ74" i="36"/>
  <c r="AR74" i="36"/>
  <c r="BJ74" i="36" s="1"/>
  <c r="AS74" i="36"/>
  <c r="CL74" i="36" s="1"/>
  <c r="AT74" i="36"/>
  <c r="BL74" i="36" s="1"/>
  <c r="AU74" i="36"/>
  <c r="BM74" i="36" s="1"/>
  <c r="AV74" i="36"/>
  <c r="CO74" i="36" s="1"/>
  <c r="AW74" i="36"/>
  <c r="CP74" i="36" s="1"/>
  <c r="BD74" i="36"/>
  <c r="BW74" i="36" s="1"/>
  <c r="BE74" i="36"/>
  <c r="CR74" i="36" s="1"/>
  <c r="BF74" i="36"/>
  <c r="CS74" i="36" s="1"/>
  <c r="BG74" i="36"/>
  <c r="CB74" i="36"/>
  <c r="DI74" i="36"/>
  <c r="V75" i="36"/>
  <c r="CD75" i="36" s="1"/>
  <c r="AQ75" i="36"/>
  <c r="BI75" i="36" s="1"/>
  <c r="AR75" i="36"/>
  <c r="BJ75" i="36" s="1"/>
  <c r="AS75" i="36"/>
  <c r="BK75" i="36" s="1"/>
  <c r="AT75" i="36"/>
  <c r="BL75" i="36" s="1"/>
  <c r="AU75" i="36"/>
  <c r="BM75" i="36" s="1"/>
  <c r="AV75" i="36"/>
  <c r="CO75" i="36" s="1"/>
  <c r="AW75" i="36"/>
  <c r="BV75" i="36" s="1"/>
  <c r="BD75" i="36"/>
  <c r="BW75" i="36" s="1"/>
  <c r="BE75" i="36"/>
  <c r="CR75" i="36" s="1"/>
  <c r="BF75" i="36"/>
  <c r="BY75" i="36" s="1"/>
  <c r="BG75" i="36"/>
  <c r="CB75" i="36"/>
  <c r="DI75" i="36"/>
  <c r="DI76" i="36"/>
  <c r="CB76" i="36"/>
  <c r="BG76" i="36"/>
  <c r="BF76" i="36"/>
  <c r="BY76" i="36" s="1"/>
  <c r="BE76" i="36"/>
  <c r="BX76" i="36" s="1"/>
  <c r="BD76" i="36"/>
  <c r="CQ76" i="36" s="1"/>
  <c r="AW76" i="36"/>
  <c r="CP76" i="36" s="1"/>
  <c r="AV76" i="36"/>
  <c r="CO76" i="36" s="1"/>
  <c r="AU76" i="36"/>
  <c r="BM76" i="36" s="1"/>
  <c r="AT76" i="36"/>
  <c r="BL76" i="36" s="1"/>
  <c r="AS76" i="36"/>
  <c r="BK76" i="36" s="1"/>
  <c r="AR76" i="36"/>
  <c r="BJ76" i="36" s="1"/>
  <c r="AQ76" i="36"/>
  <c r="V76" i="36"/>
  <c r="DI77" i="36"/>
  <c r="CB77" i="36"/>
  <c r="BG77" i="36"/>
  <c r="BF77" i="36"/>
  <c r="BY77" i="36" s="1"/>
  <c r="BE77" i="36"/>
  <c r="BX77" i="36" s="1"/>
  <c r="BD77" i="36"/>
  <c r="CQ77" i="36" s="1"/>
  <c r="AW77" i="36"/>
  <c r="BV77" i="36" s="1"/>
  <c r="AV77" i="36"/>
  <c r="CO77" i="36" s="1"/>
  <c r="AU77" i="36"/>
  <c r="BM77" i="36" s="1"/>
  <c r="AT77" i="36"/>
  <c r="BL77" i="36" s="1"/>
  <c r="AS77" i="36"/>
  <c r="BK77" i="36" s="1"/>
  <c r="AR77" i="36"/>
  <c r="AQ77" i="36"/>
  <c r="BI77" i="36" s="1"/>
  <c r="DI67" i="36"/>
  <c r="CB67" i="36"/>
  <c r="BG67" i="36"/>
  <c r="BF67" i="36"/>
  <c r="CS67" i="36" s="1"/>
  <c r="BE67" i="36"/>
  <c r="BX67" i="36" s="1"/>
  <c r="BD67" i="36"/>
  <c r="BW67" i="36" s="1"/>
  <c r="AW67" i="36"/>
  <c r="BV67" i="36" s="1"/>
  <c r="AV67" i="36"/>
  <c r="CO67" i="36" s="1"/>
  <c r="AU67" i="36"/>
  <c r="BM67" i="36" s="1"/>
  <c r="AT67" i="36"/>
  <c r="BL67" i="36" s="1"/>
  <c r="AS67" i="36"/>
  <c r="BK67" i="36" s="1"/>
  <c r="AR67" i="36"/>
  <c r="BJ67" i="36" s="1"/>
  <c r="AQ67" i="36"/>
  <c r="BI67" i="36" s="1"/>
  <c r="V67" i="36"/>
  <c r="V68" i="36"/>
  <c r="AQ68" i="36"/>
  <c r="AR68" i="36"/>
  <c r="BJ68" i="36" s="1"/>
  <c r="AS68" i="36"/>
  <c r="BK68" i="36" s="1"/>
  <c r="AT68" i="36"/>
  <c r="BL68" i="36" s="1"/>
  <c r="AU68" i="36"/>
  <c r="BM68" i="36" s="1"/>
  <c r="AV68" i="36"/>
  <c r="BN68" i="36" s="1"/>
  <c r="AW68" i="36"/>
  <c r="BD68" i="36"/>
  <c r="CQ68" i="36" s="1"/>
  <c r="BE68" i="36"/>
  <c r="BX68" i="36" s="1"/>
  <c r="BF68" i="36"/>
  <c r="BY68" i="36" s="1"/>
  <c r="BG68" i="36"/>
  <c r="CB68" i="36"/>
  <c r="V69" i="36"/>
  <c r="AQ69" i="36"/>
  <c r="AR69" i="36"/>
  <c r="AS69" i="36"/>
  <c r="BK69" i="36" s="1"/>
  <c r="AT69" i="36"/>
  <c r="BL69" i="36" s="1"/>
  <c r="AU69" i="36"/>
  <c r="BM69" i="36" s="1"/>
  <c r="AV69" i="36"/>
  <c r="AW69" i="36"/>
  <c r="BV69" i="36" s="1"/>
  <c r="BD69" i="36"/>
  <c r="BW69" i="36" s="1"/>
  <c r="BE69" i="36"/>
  <c r="BX69" i="36" s="1"/>
  <c r="BF69" i="36"/>
  <c r="BY69" i="36" s="1"/>
  <c r="BG69" i="36"/>
  <c r="CT69" i="36" s="1"/>
  <c r="CU69" i="36"/>
  <c r="CB69" i="36"/>
  <c r="V70" i="36"/>
  <c r="CD70" i="36" s="1"/>
  <c r="AQ70" i="36"/>
  <c r="BI70" i="36" s="1"/>
  <c r="AR70" i="36"/>
  <c r="BJ70" i="36" s="1"/>
  <c r="AS70" i="36"/>
  <c r="BK70" i="36" s="1"/>
  <c r="AT70" i="36"/>
  <c r="BL70" i="36" s="1"/>
  <c r="AU70" i="36"/>
  <c r="BM70" i="36" s="1"/>
  <c r="AV70" i="36"/>
  <c r="BN70" i="36" s="1"/>
  <c r="AW70" i="36"/>
  <c r="BV70" i="36" s="1"/>
  <c r="BD70" i="36"/>
  <c r="CQ70" i="36" s="1"/>
  <c r="BE70" i="36"/>
  <c r="CR70" i="36" s="1"/>
  <c r="BF70" i="36"/>
  <c r="BY70" i="36" s="1"/>
  <c r="BG70" i="36"/>
  <c r="CB70" i="36"/>
  <c r="V71" i="36"/>
  <c r="AQ71" i="36"/>
  <c r="AR71" i="36"/>
  <c r="BJ71" i="36" s="1"/>
  <c r="AS71" i="36"/>
  <c r="BK71" i="36" s="1"/>
  <c r="AT71" i="36"/>
  <c r="BL71" i="36" s="1"/>
  <c r="AU71" i="36"/>
  <c r="BM71" i="36" s="1"/>
  <c r="AV71" i="36"/>
  <c r="CO71" i="36" s="1"/>
  <c r="AW71" i="36"/>
  <c r="BV71" i="36" s="1"/>
  <c r="BD71" i="36"/>
  <c r="BW71" i="36" s="1"/>
  <c r="BE71" i="36"/>
  <c r="BX71" i="36" s="1"/>
  <c r="BF71" i="36"/>
  <c r="BY71" i="36" s="1"/>
  <c r="BG71" i="36"/>
  <c r="CB71" i="36"/>
  <c r="AQ79" i="36"/>
  <c r="AR79" i="36"/>
  <c r="BJ79" i="36" s="1"/>
  <c r="AS79" i="36"/>
  <c r="CL79" i="36" s="1"/>
  <c r="AT79" i="36"/>
  <c r="BL79" i="36" s="1"/>
  <c r="AU79" i="36"/>
  <c r="BM79" i="36" s="1"/>
  <c r="AV79" i="36"/>
  <c r="CO79" i="36" s="1"/>
  <c r="AW79" i="36"/>
  <c r="BV79" i="36" s="1"/>
  <c r="BD79" i="36"/>
  <c r="CQ79" i="36" s="1"/>
  <c r="BE79" i="36"/>
  <c r="BX79" i="36" s="1"/>
  <c r="BF79" i="36"/>
  <c r="BY79" i="36" s="1"/>
  <c r="BG79" i="36"/>
  <c r="CB79" i="36"/>
  <c r="DI80" i="36"/>
  <c r="DI79" i="36"/>
  <c r="DI71" i="36"/>
  <c r="DI70" i="36"/>
  <c r="DI69" i="36"/>
  <c r="DI68" i="36"/>
  <c r="CF64" i="36"/>
  <c r="CQ87" i="18"/>
  <c r="CC87" i="18"/>
  <c r="CB87" i="18"/>
  <c r="CA87" i="18"/>
  <c r="BZ87" i="18"/>
  <c r="BY87" i="18"/>
  <c r="BX87" i="18"/>
  <c r="BW87" i="18"/>
  <c r="BV87" i="18"/>
  <c r="BU87" i="18"/>
  <c r="BT87" i="18"/>
  <c r="BP87" i="18"/>
  <c r="BK87" i="18"/>
  <c r="CO85" i="18"/>
  <c r="BH85" i="18"/>
  <c r="AR85" i="18"/>
  <c r="BE85" i="18" s="1"/>
  <c r="AQ85" i="18"/>
  <c r="BZ85" i="18" s="1"/>
  <c r="AP85" i="18"/>
  <c r="BC85" i="18" s="1"/>
  <c r="AO85" i="18"/>
  <c r="BX85" i="18" s="1"/>
  <c r="AN85" i="18"/>
  <c r="BA85" i="18" s="1"/>
  <c r="AM85" i="18"/>
  <c r="AZ85" i="18" s="1"/>
  <c r="AL85" i="18"/>
  <c r="BU85" i="18" s="1"/>
  <c r="AK85" i="18"/>
  <c r="BT85" i="18" s="1"/>
  <c r="AJ85" i="18"/>
  <c r="AW85" i="18" s="1"/>
  <c r="AI85" i="18"/>
  <c r="AH85" i="18"/>
  <c r="AG85" i="18"/>
  <c r="AT85" i="18" s="1"/>
  <c r="Q85" i="18"/>
  <c r="AF85" i="18" s="1"/>
  <c r="CO84" i="18"/>
  <c r="BH84" i="18"/>
  <c r="AR84" i="18"/>
  <c r="BE84" i="18" s="1"/>
  <c r="AQ84" i="18"/>
  <c r="BD84" i="18" s="1"/>
  <c r="AP84" i="18"/>
  <c r="BY84" i="18" s="1"/>
  <c r="AO84" i="18"/>
  <c r="BX84" i="18" s="1"/>
  <c r="AN84" i="18"/>
  <c r="BA84" i="18" s="1"/>
  <c r="AM84" i="18"/>
  <c r="BV84" i="18" s="1"/>
  <c r="AL84" i="18"/>
  <c r="AY84" i="18" s="1"/>
  <c r="AK84" i="18"/>
  <c r="AX84" i="18" s="1"/>
  <c r="AJ84" i="18"/>
  <c r="AW84" i="18" s="1"/>
  <c r="AI84" i="18"/>
  <c r="BR84" i="18" s="1"/>
  <c r="AH84" i="18"/>
  <c r="AG84" i="18"/>
  <c r="AT84" i="18" s="1"/>
  <c r="Q84" i="18"/>
  <c r="BJ84" i="18" s="1"/>
  <c r="CO83" i="18"/>
  <c r="BH83" i="18"/>
  <c r="AR83" i="18"/>
  <c r="CA83" i="18" s="1"/>
  <c r="AQ83" i="18"/>
  <c r="BD83" i="18" s="1"/>
  <c r="AP83" i="18"/>
  <c r="BC83" i="18" s="1"/>
  <c r="AO83" i="18"/>
  <c r="BB83" i="18" s="1"/>
  <c r="AN83" i="18"/>
  <c r="BA83" i="18" s="1"/>
  <c r="AM83" i="18"/>
  <c r="AZ83" i="18" s="1"/>
  <c r="AL83" i="18"/>
  <c r="BU83" i="18" s="1"/>
  <c r="AK83" i="18"/>
  <c r="BT83" i="18" s="1"/>
  <c r="AJ83" i="18"/>
  <c r="BS83" i="18" s="1"/>
  <c r="AI83" i="18"/>
  <c r="AH83" i="18"/>
  <c r="AG83" i="18"/>
  <c r="AT83" i="18" s="1"/>
  <c r="Q83" i="18"/>
  <c r="AF83" i="18" s="1"/>
  <c r="CO82" i="18"/>
  <c r="BH82" i="18"/>
  <c r="AR82" i="18"/>
  <c r="BE82" i="18" s="1"/>
  <c r="AQ82" i="18"/>
  <c r="BD82" i="18" s="1"/>
  <c r="AP82" i="18"/>
  <c r="BY82" i="18" s="1"/>
  <c r="AO82" i="18"/>
  <c r="BX82" i="18" s="1"/>
  <c r="AN82" i="18"/>
  <c r="BW82" i="18" s="1"/>
  <c r="AM82" i="18"/>
  <c r="BV82" i="18" s="1"/>
  <c r="AL82" i="18"/>
  <c r="AY82" i="18" s="1"/>
  <c r="AK82" i="18"/>
  <c r="AX82" i="18" s="1"/>
  <c r="AJ82" i="18"/>
  <c r="AW82" i="18" s="1"/>
  <c r="AI82" i="18"/>
  <c r="AH82" i="18"/>
  <c r="AG82" i="18"/>
  <c r="AT82" i="18" s="1"/>
  <c r="Q82" i="18"/>
  <c r="BJ82" i="18" s="1"/>
  <c r="CO80" i="18"/>
  <c r="BH80" i="18"/>
  <c r="AR80" i="18"/>
  <c r="CA80" i="18" s="1"/>
  <c r="AQ80" i="18"/>
  <c r="BD80" i="18" s="1"/>
  <c r="AP80" i="18"/>
  <c r="BC80" i="18" s="1"/>
  <c r="AO80" i="18"/>
  <c r="BB80" i="18" s="1"/>
  <c r="AN80" i="18"/>
  <c r="BA80" i="18" s="1"/>
  <c r="AM80" i="18"/>
  <c r="AZ80" i="18" s="1"/>
  <c r="AL80" i="18"/>
  <c r="BU80" i="18" s="1"/>
  <c r="AK80" i="18"/>
  <c r="BT80" i="18" s="1"/>
  <c r="AJ80" i="18"/>
  <c r="BS80" i="18" s="1"/>
  <c r="AI80" i="18"/>
  <c r="BR80" i="18" s="1"/>
  <c r="AH80" i="18"/>
  <c r="AG80" i="18"/>
  <c r="AT80" i="18" s="1"/>
  <c r="Q80" i="18"/>
  <c r="AF80" i="18" s="1"/>
  <c r="CQ79" i="18"/>
  <c r="CC79" i="18"/>
  <c r="BV79" i="18"/>
  <c r="CA79" i="18"/>
  <c r="BZ79" i="18"/>
  <c r="BX79" i="18"/>
  <c r="BW79" i="18"/>
  <c r="CO78" i="18"/>
  <c r="BH78" i="18"/>
  <c r="AR78" i="18"/>
  <c r="BE78" i="18" s="1"/>
  <c r="AQ78" i="18"/>
  <c r="BZ78" i="18" s="1"/>
  <c r="AP78" i="18"/>
  <c r="BC78" i="18" s="1"/>
  <c r="AO78" i="18"/>
  <c r="BB78" i="18" s="1"/>
  <c r="AN78" i="18"/>
  <c r="BA78" i="18" s="1"/>
  <c r="AM78" i="18"/>
  <c r="BV78" i="18" s="1"/>
  <c r="AL78" i="18"/>
  <c r="BU78" i="18" s="1"/>
  <c r="AK78" i="18"/>
  <c r="AX78" i="18" s="1"/>
  <c r="AJ78" i="18"/>
  <c r="BS78" i="18" s="1"/>
  <c r="AI78" i="18"/>
  <c r="BR78" i="18" s="1"/>
  <c r="AH78" i="18"/>
  <c r="Q78" i="18"/>
  <c r="CO89" i="18"/>
  <c r="BM89" i="18"/>
  <c r="AV89" i="18"/>
  <c r="AU89" i="18"/>
  <c r="CO88" i="18"/>
  <c r="BH88" i="18"/>
  <c r="AR88" i="18"/>
  <c r="CA88" i="18" s="1"/>
  <c r="AQ88" i="18"/>
  <c r="BD88" i="18" s="1"/>
  <c r="AP88" i="18"/>
  <c r="BY88" i="18" s="1"/>
  <c r="AO88" i="18"/>
  <c r="BX88" i="18" s="1"/>
  <c r="AN88" i="18"/>
  <c r="BA88" i="18" s="1"/>
  <c r="AM88" i="18"/>
  <c r="BV88" i="18" s="1"/>
  <c r="AL88" i="18"/>
  <c r="AY88" i="18" s="1"/>
  <c r="AK88" i="18"/>
  <c r="AX88" i="18" s="1"/>
  <c r="AJ88" i="18"/>
  <c r="BS88" i="18" s="1"/>
  <c r="AI88" i="18"/>
  <c r="BR88" i="18" s="1"/>
  <c r="AH88" i="18"/>
  <c r="AG88" i="18"/>
  <c r="Q88" i="18"/>
  <c r="AF88" i="18" s="1"/>
  <c r="CO86" i="18"/>
  <c r="BH86" i="18"/>
  <c r="AR86" i="18"/>
  <c r="BE86" i="18" s="1"/>
  <c r="AQ86" i="18"/>
  <c r="AP86" i="18"/>
  <c r="BC86" i="18" s="1"/>
  <c r="AO86" i="18"/>
  <c r="AN86" i="18"/>
  <c r="BW86" i="18" s="1"/>
  <c r="AM86" i="18"/>
  <c r="BV86" i="18" s="1"/>
  <c r="AL86" i="18"/>
  <c r="BU86" i="18" s="1"/>
  <c r="AK86" i="18"/>
  <c r="AJ86" i="18"/>
  <c r="AI86" i="18"/>
  <c r="AH86" i="18"/>
  <c r="AG86" i="18"/>
  <c r="Q86" i="18"/>
  <c r="BJ86" i="18" s="1"/>
  <c r="CO81" i="18"/>
  <c r="BH81" i="18"/>
  <c r="AR81" i="18"/>
  <c r="CA81" i="18" s="1"/>
  <c r="AQ81" i="18"/>
  <c r="BZ81" i="18" s="1"/>
  <c r="AP81" i="18"/>
  <c r="BY81" i="18" s="1"/>
  <c r="AO81" i="18"/>
  <c r="BX81" i="18" s="1"/>
  <c r="AN81" i="18"/>
  <c r="BW81" i="18" s="1"/>
  <c r="AM81" i="18"/>
  <c r="AZ81" i="18" s="1"/>
  <c r="AL81" i="18"/>
  <c r="AY81" i="18" s="1"/>
  <c r="AK81" i="18"/>
  <c r="BT81" i="18" s="1"/>
  <c r="AJ81" i="18"/>
  <c r="BS81" i="18" s="1"/>
  <c r="AI81" i="18"/>
  <c r="BR81" i="18" s="1"/>
  <c r="AH81" i="18"/>
  <c r="AG81" i="18"/>
  <c r="AT81" i="18" s="1"/>
  <c r="Q81" i="18"/>
  <c r="AF81" i="18" s="1"/>
  <c r="CO74" i="18"/>
  <c r="BH74" i="18"/>
  <c r="AR74" i="18"/>
  <c r="BE74" i="18" s="1"/>
  <c r="AQ74" i="18"/>
  <c r="BZ74" i="18" s="1"/>
  <c r="AP74" i="18"/>
  <c r="BY74" i="18" s="1"/>
  <c r="AO74" i="18"/>
  <c r="BX74" i="18" s="1"/>
  <c r="AN74" i="18"/>
  <c r="BW74" i="18" s="1"/>
  <c r="AM74" i="18"/>
  <c r="BV74" i="18" s="1"/>
  <c r="AL74" i="18"/>
  <c r="AY74" i="18" s="1"/>
  <c r="AK74" i="18"/>
  <c r="AJ74" i="18"/>
  <c r="AW74" i="18" s="1"/>
  <c r="AI74" i="18"/>
  <c r="BR74" i="18" s="1"/>
  <c r="AG74" i="18"/>
  <c r="Q74" i="18"/>
  <c r="AF74" i="18" s="1"/>
  <c r="CO71" i="18"/>
  <c r="BH71" i="18"/>
  <c r="AR71" i="18"/>
  <c r="AQ71" i="18"/>
  <c r="AP71" i="18"/>
  <c r="AO71" i="18"/>
  <c r="AN71" i="18"/>
  <c r="AM71" i="18"/>
  <c r="AL71" i="18"/>
  <c r="AK71" i="18"/>
  <c r="AJ71" i="18"/>
  <c r="AI71" i="18"/>
  <c r="AH71" i="18"/>
  <c r="AG71" i="18"/>
  <c r="Q71" i="18"/>
  <c r="AF71" i="18" s="1"/>
  <c r="AG60" i="18"/>
  <c r="AG61" i="18"/>
  <c r="AG62" i="18"/>
  <c r="AG63" i="18"/>
  <c r="AG59" i="18"/>
  <c r="CO61" i="18"/>
  <c r="BM61" i="18"/>
  <c r="BH61" i="18"/>
  <c r="AR61" i="18"/>
  <c r="CA61" i="18" s="1"/>
  <c r="AQ61" i="18"/>
  <c r="BZ61" i="18" s="1"/>
  <c r="AP61" i="18"/>
  <c r="BY61" i="18" s="1"/>
  <c r="AO61" i="18"/>
  <c r="BB61" i="18" s="1"/>
  <c r="AN61" i="18"/>
  <c r="BW61" i="18" s="1"/>
  <c r="AM61" i="18"/>
  <c r="BV61" i="18" s="1"/>
  <c r="AL61" i="18"/>
  <c r="AY61" i="18" s="1"/>
  <c r="AK61" i="18"/>
  <c r="AX61" i="18" s="1"/>
  <c r="AJ61" i="18"/>
  <c r="BS61" i="18" s="1"/>
  <c r="AI61" i="18"/>
  <c r="BR61" i="18" s="1"/>
  <c r="AH61" i="18"/>
  <c r="Q61" i="18"/>
  <c r="BJ61" i="18" s="1"/>
  <c r="CO60" i="18"/>
  <c r="BM60" i="18"/>
  <c r="BH60" i="18"/>
  <c r="AR60" i="18"/>
  <c r="CA60" i="18" s="1"/>
  <c r="AQ60" i="18"/>
  <c r="BD60" i="18" s="1"/>
  <c r="AP60" i="18"/>
  <c r="BC60" i="18" s="1"/>
  <c r="AO60" i="18"/>
  <c r="BX60" i="18" s="1"/>
  <c r="AN60" i="18"/>
  <c r="BW60" i="18" s="1"/>
  <c r="AM60" i="18"/>
  <c r="BV60" i="18" s="1"/>
  <c r="AL60" i="18"/>
  <c r="BU60" i="18" s="1"/>
  <c r="AK60" i="18"/>
  <c r="AX60" i="18" s="1"/>
  <c r="AJ60" i="18"/>
  <c r="BS60" i="18" s="1"/>
  <c r="AI60" i="18"/>
  <c r="BR60" i="18" s="1"/>
  <c r="BL60" i="18" s="1"/>
  <c r="AH60" i="18"/>
  <c r="Q60" i="18"/>
  <c r="BJ60" i="18" s="1"/>
  <c r="CO59" i="18"/>
  <c r="BM59" i="18"/>
  <c r="BH59" i="18"/>
  <c r="AR59" i="18"/>
  <c r="CA59" i="18" s="1"/>
  <c r="AQ59" i="18"/>
  <c r="BZ59" i="18" s="1"/>
  <c r="AP59" i="18"/>
  <c r="BC59" i="18" s="1"/>
  <c r="AO59" i="18"/>
  <c r="BX59" i="18" s="1"/>
  <c r="AN59" i="18"/>
  <c r="BW59" i="18" s="1"/>
  <c r="AM59" i="18"/>
  <c r="AZ59" i="18" s="1"/>
  <c r="AL59" i="18"/>
  <c r="AY59" i="18" s="1"/>
  <c r="AK59" i="18"/>
  <c r="AX59" i="18" s="1"/>
  <c r="AJ59" i="18"/>
  <c r="BS59" i="18" s="1"/>
  <c r="AI59" i="18"/>
  <c r="BR59" i="18" s="1"/>
  <c r="AH59" i="18"/>
  <c r="Q59" i="18"/>
  <c r="BJ59" i="18" s="1"/>
  <c r="CO64" i="18"/>
  <c r="BM64" i="18"/>
  <c r="AV64" i="18"/>
  <c r="AU64" i="18"/>
  <c r="CO63" i="18"/>
  <c r="BM63" i="18"/>
  <c r="BH63" i="18"/>
  <c r="AR63" i="18"/>
  <c r="CA63" i="18" s="1"/>
  <c r="AQ63" i="18"/>
  <c r="BD63" i="18" s="1"/>
  <c r="AP63" i="18"/>
  <c r="BC63" i="18" s="1"/>
  <c r="AO63" i="18"/>
  <c r="BX63" i="18" s="1"/>
  <c r="AN63" i="18"/>
  <c r="BW63" i="18" s="1"/>
  <c r="AM63" i="18"/>
  <c r="BV63" i="18" s="1"/>
  <c r="AL63" i="18"/>
  <c r="BU63" i="18" s="1"/>
  <c r="AK63" i="18"/>
  <c r="BT63" i="18" s="1"/>
  <c r="AJ63" i="18"/>
  <c r="AW63" i="18" s="1"/>
  <c r="AI63" i="18"/>
  <c r="BR63" i="18" s="1"/>
  <c r="AH63" i="18"/>
  <c r="Q63" i="18"/>
  <c r="BJ63" i="18" s="1"/>
  <c r="CO62" i="18"/>
  <c r="BM62" i="18"/>
  <c r="BH62" i="18"/>
  <c r="AR62" i="18"/>
  <c r="AQ62" i="18"/>
  <c r="BD62" i="18" s="1"/>
  <c r="AP62" i="18"/>
  <c r="BY62" i="18" s="1"/>
  <c r="AO62" i="18"/>
  <c r="BB62" i="18" s="1"/>
  <c r="AN62" i="18"/>
  <c r="BA62" i="18" s="1"/>
  <c r="AM62" i="18"/>
  <c r="AZ62" i="18" s="1"/>
  <c r="AL62" i="18"/>
  <c r="AY62" i="18" s="1"/>
  <c r="AK62" i="18"/>
  <c r="BT62" i="18" s="1"/>
  <c r="AJ62" i="18"/>
  <c r="AI62" i="18"/>
  <c r="BR62" i="18" s="1"/>
  <c r="AH62" i="18"/>
  <c r="Q62" i="18"/>
  <c r="AF62" i="18" s="1"/>
  <c r="AQ57" i="36"/>
  <c r="BI57" i="36" s="1"/>
  <c r="AP58" i="36"/>
  <c r="AP57" i="36"/>
  <c r="DI57" i="36"/>
  <c r="CB57" i="36"/>
  <c r="BG57" i="36"/>
  <c r="BF57" i="36"/>
  <c r="BY57" i="36" s="1"/>
  <c r="BE57" i="36"/>
  <c r="CR57" i="36" s="1"/>
  <c r="BD57" i="36"/>
  <c r="BW57" i="36" s="1"/>
  <c r="AW57" i="36"/>
  <c r="BV57" i="36" s="1"/>
  <c r="AV57" i="36"/>
  <c r="CO57" i="36" s="1"/>
  <c r="AU57" i="36"/>
  <c r="BM57" i="36" s="1"/>
  <c r="AT57" i="36"/>
  <c r="BL57" i="36" s="1"/>
  <c r="AS57" i="36"/>
  <c r="CL57" i="36" s="1"/>
  <c r="BJ59" i="36"/>
  <c r="V57" i="36"/>
  <c r="DI59" i="36"/>
  <c r="DI58" i="36"/>
  <c r="CB58" i="36"/>
  <c r="BG58" i="36"/>
  <c r="CT58" i="36" s="1"/>
  <c r="BF58" i="36"/>
  <c r="BE58" i="36"/>
  <c r="BD58" i="36"/>
  <c r="BW58" i="36" s="1"/>
  <c r="AW58" i="36"/>
  <c r="BV58" i="36" s="1"/>
  <c r="AV58" i="36"/>
  <c r="BN58" i="36" s="1"/>
  <c r="AU58" i="36"/>
  <c r="CN58" i="36" s="1"/>
  <c r="AT58" i="36"/>
  <c r="BL58" i="36" s="1"/>
  <c r="AS58" i="36"/>
  <c r="CL58" i="36" s="1"/>
  <c r="AQ58" i="36"/>
  <c r="BI58" i="36" s="1"/>
  <c r="V58" i="36"/>
  <c r="CD58" i="36" s="1"/>
  <c r="CF55" i="36"/>
  <c r="AF23" i="34"/>
  <c r="AF22" i="34"/>
  <c r="AF24" i="34" s="1"/>
  <c r="CO22" i="34"/>
  <c r="BW22" i="34"/>
  <c r="BV22" i="34"/>
  <c r="BH22" i="34"/>
  <c r="AY22" i="34"/>
  <c r="AR22" i="34"/>
  <c r="BE22" i="34" s="1"/>
  <c r="AQ22" i="34"/>
  <c r="BD22" i="34" s="1"/>
  <c r="AP22" i="34"/>
  <c r="BC22" i="34" s="1"/>
  <c r="AO22" i="34"/>
  <c r="BB22" i="34" s="1"/>
  <c r="AN22" i="34"/>
  <c r="BA22" i="34" s="1"/>
  <c r="AM22" i="34"/>
  <c r="AZ22" i="34" s="1"/>
  <c r="AL22" i="34"/>
  <c r="BU22" i="34" s="1"/>
  <c r="AK22" i="34"/>
  <c r="AX22" i="34" s="1"/>
  <c r="AJ22" i="34"/>
  <c r="AW22" i="34" s="1"/>
  <c r="AI22" i="34"/>
  <c r="BR22" i="34" s="1"/>
  <c r="AH22" i="34"/>
  <c r="AU22" i="34" s="1"/>
  <c r="AG22" i="34"/>
  <c r="AS22" i="34" s="1"/>
  <c r="Q22" i="34"/>
  <c r="CO24" i="34"/>
  <c r="AK24" i="34"/>
  <c r="BT24" i="34" s="1"/>
  <c r="CO23" i="34"/>
  <c r="BH23" i="34"/>
  <c r="BE23" i="34"/>
  <c r="BE24" i="34" s="1"/>
  <c r="BD23" i="34"/>
  <c r="BD24" i="34" s="1"/>
  <c r="AR23" i="34"/>
  <c r="AR24" i="34" s="1"/>
  <c r="AQ23" i="34"/>
  <c r="BZ23" i="34" s="1"/>
  <c r="AP23" i="34"/>
  <c r="BC23" i="34" s="1"/>
  <c r="BC24" i="34" s="1"/>
  <c r="AO23" i="34"/>
  <c r="BX23" i="34" s="1"/>
  <c r="AN23" i="34"/>
  <c r="BA23" i="34" s="1"/>
  <c r="BA24" i="34" s="1"/>
  <c r="AM23" i="34"/>
  <c r="BV23" i="34" s="1"/>
  <c r="AL23" i="34"/>
  <c r="BU23" i="34" s="1"/>
  <c r="AK23" i="34"/>
  <c r="AX23" i="34" s="1"/>
  <c r="AX24" i="34" s="1"/>
  <c r="AJ23" i="34"/>
  <c r="AJ24" i="34" s="1"/>
  <c r="AI23" i="34"/>
  <c r="BR23" i="34" s="1"/>
  <c r="AH23" i="34"/>
  <c r="AU23" i="34" s="1"/>
  <c r="AG23" i="34"/>
  <c r="AG24" i="34" s="1"/>
  <c r="Q23" i="34"/>
  <c r="BL20" i="34"/>
  <c r="BO22" i="38"/>
  <c r="BM16" i="38"/>
  <c r="BL17" i="38"/>
  <c r="BL18" i="38"/>
  <c r="BL19" i="38"/>
  <c r="BL16" i="38"/>
  <c r="AH16" i="38"/>
  <c r="AU16" i="38" s="1"/>
  <c r="AU19" i="38"/>
  <c r="AT19" i="38"/>
  <c r="AU17" i="38"/>
  <c r="AT16" i="38"/>
  <c r="BH6" i="20"/>
  <c r="BH7" i="20"/>
  <c r="BH8" i="20"/>
  <c r="BH9" i="20"/>
  <c r="BH10" i="20"/>
  <c r="BH11" i="20"/>
  <c r="BH12" i="20"/>
  <c r="BH13" i="20"/>
  <c r="BH14" i="20"/>
  <c r="BH15" i="20"/>
  <c r="BH16" i="20"/>
  <c r="BH17" i="20"/>
  <c r="BH18" i="20"/>
  <c r="BH19" i="20"/>
  <c r="BH20" i="20"/>
  <c r="BH21" i="20"/>
  <c r="BH22" i="20"/>
  <c r="AV23" i="20"/>
  <c r="BM7" i="20"/>
  <c r="BM8" i="20"/>
  <c r="BM15" i="20"/>
  <c r="BW59" i="36" l="1"/>
  <c r="BV59" i="36"/>
  <c r="BI59" i="36"/>
  <c r="BL59" i="36"/>
  <c r="CB59" i="36"/>
  <c r="G40" i="32" s="1"/>
  <c r="K40" i="32" s="1"/>
  <c r="CQ73" i="36"/>
  <c r="CP73" i="36"/>
  <c r="CC74" i="36"/>
  <c r="AQ93" i="36"/>
  <c r="BI88" i="36"/>
  <c r="AH89" i="18"/>
  <c r="AG93" i="18" s="1"/>
  <c r="AR80" i="36"/>
  <c r="BJ69" i="36"/>
  <c r="BX22" i="34"/>
  <c r="AL24" i="34"/>
  <c r="AV23" i="34"/>
  <c r="AV24" i="34" s="1"/>
  <c r="BI23" i="34"/>
  <c r="AY23" i="34"/>
  <c r="AY24" i="34" s="1"/>
  <c r="AY26" i="34" s="1"/>
  <c r="BH24" i="34"/>
  <c r="G35" i="32" s="1"/>
  <c r="BI22" i="34"/>
  <c r="AT23" i="34"/>
  <c r="AT24" i="34" s="1"/>
  <c r="BS84" i="18"/>
  <c r="BX71" i="18"/>
  <c r="AO89" i="18"/>
  <c r="BX89" i="18" s="1"/>
  <c r="BY71" i="18"/>
  <c r="AP89" i="18"/>
  <c r="BY89" i="18" s="1"/>
  <c r="BZ71" i="18"/>
  <c r="AQ89" i="18"/>
  <c r="AJ89" i="18"/>
  <c r="BS89" i="18" s="1"/>
  <c r="CA71" i="18"/>
  <c r="AR89" i="18"/>
  <c r="CA89" i="18" s="1"/>
  <c r="BH64" i="18"/>
  <c r="G20" i="32" s="1"/>
  <c r="BV85" i="18"/>
  <c r="BR71" i="18"/>
  <c r="AI89" i="18"/>
  <c r="BT71" i="18"/>
  <c r="AK89" i="18"/>
  <c r="BU71" i="18"/>
  <c r="AL89" i="18"/>
  <c r="BU89" i="18" s="1"/>
  <c r="AZ71" i="18"/>
  <c r="AM89" i="18"/>
  <c r="BV89" i="18" s="1"/>
  <c r="BJ78" i="18"/>
  <c r="AF78" i="18"/>
  <c r="BA71" i="18"/>
  <c r="AN89" i="18"/>
  <c r="BW89" i="18" s="1"/>
  <c r="BJ83" i="18"/>
  <c r="BT84" i="18"/>
  <c r="CD87" i="18"/>
  <c r="AT86" i="18"/>
  <c r="AT89" i="18" s="1"/>
  <c r="CN75" i="36"/>
  <c r="BY89" i="36"/>
  <c r="BY93" i="36" s="1"/>
  <c r="AP93" i="36"/>
  <c r="CN74" i="36"/>
  <c r="CQ88" i="36"/>
  <c r="BV90" i="36"/>
  <c r="BV93" i="36" s="1"/>
  <c r="CM74" i="36"/>
  <c r="BW78" i="36"/>
  <c r="BW90" i="36"/>
  <c r="BW93" i="36" s="1"/>
  <c r="CO70" i="36"/>
  <c r="BN78" i="36"/>
  <c r="BN75" i="36"/>
  <c r="AP59" i="36"/>
  <c r="BX90" i="36"/>
  <c r="CR78" i="36"/>
  <c r="CT74" i="36"/>
  <c r="BK74" i="36"/>
  <c r="CP67" i="36"/>
  <c r="BX89" i="36"/>
  <c r="CB93" i="36"/>
  <c r="D42" i="32" s="1"/>
  <c r="CM88" i="36"/>
  <c r="AR93" i="36"/>
  <c r="BK93" i="36"/>
  <c r="BL91" i="36"/>
  <c r="BM93" i="36"/>
  <c r="CU93" i="36"/>
  <c r="CU88" i="36"/>
  <c r="CN91" i="36"/>
  <c r="CD90" i="36"/>
  <c r="CO91" i="36"/>
  <c r="CO92" i="36"/>
  <c r="AW93" i="36"/>
  <c r="CP93" i="36" s="1"/>
  <c r="CL89" i="36"/>
  <c r="CR92" i="36"/>
  <c r="AT93" i="36"/>
  <c r="CM93" i="36" s="1"/>
  <c r="BI93" i="36"/>
  <c r="V42" i="32" s="1"/>
  <c r="AC42" i="32" s="1"/>
  <c r="AV93" i="36"/>
  <c r="CO93" i="36" s="1"/>
  <c r="BH91" i="36"/>
  <c r="CA91" i="36" s="1"/>
  <c r="BH90" i="36"/>
  <c r="CA90" i="36" s="1"/>
  <c r="AS93" i="36"/>
  <c r="CL93" i="36" s="1"/>
  <c r="BG93" i="36"/>
  <c r="CT93" i="36" s="1"/>
  <c r="CP91" i="36"/>
  <c r="CP92" i="36"/>
  <c r="BJ93" i="36"/>
  <c r="BH88" i="36"/>
  <c r="CA88" i="36" s="1"/>
  <c r="BH89" i="36"/>
  <c r="CA89" i="36" s="1"/>
  <c r="BD93" i="36"/>
  <c r="CQ93" i="36" s="1"/>
  <c r="BH92" i="36"/>
  <c r="CA92" i="36" s="1"/>
  <c r="CO88" i="36"/>
  <c r="CM89" i="36"/>
  <c r="CU89" i="36"/>
  <c r="CS90" i="36"/>
  <c r="BE93" i="36"/>
  <c r="CR93" i="36" s="1"/>
  <c r="BY74" i="36"/>
  <c r="BV78" i="36"/>
  <c r="BN88" i="36"/>
  <c r="BN93" i="36" s="1"/>
  <c r="CP88" i="36"/>
  <c r="CL90" i="36"/>
  <c r="CT90" i="36"/>
  <c r="CQ91" i="36"/>
  <c r="CQ92" i="36"/>
  <c r="BF93" i="36"/>
  <c r="CS93" i="36" s="1"/>
  <c r="CO89" i="36"/>
  <c r="CU90" i="36"/>
  <c r="CR91" i="36"/>
  <c r="CR88" i="36"/>
  <c r="CP89" i="36"/>
  <c r="BL90" i="36"/>
  <c r="CN90" i="36"/>
  <c r="CS91" i="36"/>
  <c r="CS92" i="36"/>
  <c r="BN77" i="36"/>
  <c r="CS88" i="36"/>
  <c r="CQ89" i="36"/>
  <c r="CO90" i="36"/>
  <c r="CL91" i="36"/>
  <c r="CT91" i="36"/>
  <c r="CT92" i="36"/>
  <c r="AU93" i="36"/>
  <c r="CN93" i="36" s="1"/>
  <c r="CT75" i="36"/>
  <c r="CL75" i="36"/>
  <c r="CN73" i="36"/>
  <c r="BH78" i="36"/>
  <c r="CC78" i="36" s="1"/>
  <c r="BH75" i="36"/>
  <c r="CC75" i="36" s="1"/>
  <c r="CQ67" i="36"/>
  <c r="BW77" i="36"/>
  <c r="BV76" i="36"/>
  <c r="CP75" i="36"/>
  <c r="CT73" i="36"/>
  <c r="BJ78" i="36"/>
  <c r="BY78" i="36"/>
  <c r="CL78" i="36"/>
  <c r="CT78" i="36"/>
  <c r="CS75" i="36"/>
  <c r="BX75" i="36"/>
  <c r="CU73" i="36"/>
  <c r="CS73" i="36"/>
  <c r="BX73" i="36"/>
  <c r="CM78" i="36"/>
  <c r="CU78" i="36"/>
  <c r="CQ75" i="36"/>
  <c r="CN78" i="36"/>
  <c r="BX74" i="36"/>
  <c r="CQ74" i="36"/>
  <c r="CU74" i="36"/>
  <c r="BH73" i="36"/>
  <c r="CA73" i="36" s="1"/>
  <c r="CM73" i="36"/>
  <c r="CM75" i="36"/>
  <c r="CR77" i="36"/>
  <c r="BW76" i="36"/>
  <c r="BV74" i="36"/>
  <c r="BN73" i="36"/>
  <c r="CU75" i="36"/>
  <c r="BH74" i="36"/>
  <c r="CA74" i="36" s="1"/>
  <c r="CS69" i="36"/>
  <c r="BN74" i="36"/>
  <c r="CD74" i="36"/>
  <c r="CL73" i="36"/>
  <c r="CN71" i="36"/>
  <c r="BM80" i="36"/>
  <c r="CD77" i="36"/>
  <c r="CP77" i="36"/>
  <c r="BN71" i="36"/>
  <c r="BZ71" i="36" s="1"/>
  <c r="BH76" i="36"/>
  <c r="CA76" i="36" s="1"/>
  <c r="CR76" i="36"/>
  <c r="CP79" i="36"/>
  <c r="BH77" i="36"/>
  <c r="CA77" i="36" s="1"/>
  <c r="BN76" i="36"/>
  <c r="CT79" i="36"/>
  <c r="CR68" i="36"/>
  <c r="CT70" i="36"/>
  <c r="CD76" i="36"/>
  <c r="CS76" i="36"/>
  <c r="BN57" i="36"/>
  <c r="BN59" i="36" s="1"/>
  <c r="CS70" i="36"/>
  <c r="CR67" i="36"/>
  <c r="CL76" i="36"/>
  <c r="CT76" i="36"/>
  <c r="BX57" i="36"/>
  <c r="CM76" i="36"/>
  <c r="CU76" i="36"/>
  <c r="CL70" i="36"/>
  <c r="CT68" i="36"/>
  <c r="CL69" i="36"/>
  <c r="CN76" i="36"/>
  <c r="BK79" i="36"/>
  <c r="CS77" i="36"/>
  <c r="BN67" i="36"/>
  <c r="BJ77" i="36"/>
  <c r="CL77" i="36"/>
  <c r="CT77" i="36"/>
  <c r="CM77" i="36"/>
  <c r="CU77" i="36"/>
  <c r="BW79" i="36"/>
  <c r="CN77" i="36"/>
  <c r="CS79" i="36"/>
  <c r="CP69" i="36"/>
  <c r="CN68" i="36"/>
  <c r="CR71" i="36"/>
  <c r="BE80" i="36"/>
  <c r="CR80" i="36" s="1"/>
  <c r="BY67" i="36"/>
  <c r="BH69" i="36"/>
  <c r="AP80" i="36"/>
  <c r="AQ80" i="36"/>
  <c r="BG80" i="36"/>
  <c r="CT80" i="36" s="1"/>
  <c r="CU71" i="36"/>
  <c r="CQ57" i="36"/>
  <c r="BH71" i="36"/>
  <c r="CC71" i="36" s="1"/>
  <c r="BW68" i="36"/>
  <c r="CB80" i="36"/>
  <c r="D43" i="32" s="1"/>
  <c r="CD67" i="36"/>
  <c r="BH67" i="36"/>
  <c r="CC67" i="36" s="1"/>
  <c r="CL67" i="36"/>
  <c r="CT67" i="36"/>
  <c r="CS68" i="36"/>
  <c r="CM69" i="36"/>
  <c r="CQ71" i="36"/>
  <c r="BI68" i="36"/>
  <c r="BI80" i="36" s="1"/>
  <c r="CM67" i="36"/>
  <c r="CU67" i="36"/>
  <c r="AS80" i="36"/>
  <c r="CL80" i="36" s="1"/>
  <c r="CM71" i="36"/>
  <c r="CN67" i="36"/>
  <c r="BF80" i="36"/>
  <c r="CU80" i="36"/>
  <c r="AT80" i="36"/>
  <c r="AW80" i="36"/>
  <c r="CL71" i="36"/>
  <c r="BD80" i="36"/>
  <c r="BH79" i="36"/>
  <c r="CC79" i="36" s="1"/>
  <c r="CO68" i="36"/>
  <c r="BV68" i="36"/>
  <c r="CP68" i="36"/>
  <c r="CQ69" i="36"/>
  <c r="CP70" i="36"/>
  <c r="AU80" i="36"/>
  <c r="BN79" i="36"/>
  <c r="BW70" i="36"/>
  <c r="BH70" i="36"/>
  <c r="CA70" i="36" s="1"/>
  <c r="BL80" i="36"/>
  <c r="BH68" i="36"/>
  <c r="CC68" i="36" s="1"/>
  <c r="CD79" i="36"/>
  <c r="CT71" i="36"/>
  <c r="CN79" i="36"/>
  <c r="AV80" i="36"/>
  <c r="BX70" i="36"/>
  <c r="BN69" i="36"/>
  <c r="CN69" i="36"/>
  <c r="CD68" i="36"/>
  <c r="CL68" i="36"/>
  <c r="CM70" i="36"/>
  <c r="AQ59" i="36"/>
  <c r="CM68" i="36"/>
  <c r="CU68" i="36"/>
  <c r="CR69" i="36"/>
  <c r="CN70" i="36"/>
  <c r="CD71" i="36"/>
  <c r="CS71" i="36"/>
  <c r="CM79" i="36"/>
  <c r="CU79" i="36"/>
  <c r="CM58" i="36"/>
  <c r="CU70" i="36"/>
  <c r="CP57" i="36"/>
  <c r="CD69" i="36"/>
  <c r="CO69" i="36"/>
  <c r="CP71" i="36"/>
  <c r="CR79" i="36"/>
  <c r="CO58" i="36"/>
  <c r="BJ85" i="18"/>
  <c r="BV83" i="18"/>
  <c r="AS85" i="18"/>
  <c r="BG85" i="18" s="1"/>
  <c r="CA78" i="18"/>
  <c r="BW83" i="18"/>
  <c r="BU84" i="18"/>
  <c r="BW85" i="18"/>
  <c r="BS82" i="18"/>
  <c r="AZ84" i="18"/>
  <c r="CA84" i="18"/>
  <c r="BB85" i="18"/>
  <c r="BY85" i="18"/>
  <c r="BT82" i="18"/>
  <c r="AF84" i="18"/>
  <c r="BZ84" i="18"/>
  <c r="BU82" i="18"/>
  <c r="AS84" i="18"/>
  <c r="BI84" i="18" s="1"/>
  <c r="BD85" i="18"/>
  <c r="AZ82" i="18"/>
  <c r="CA82" i="18"/>
  <c r="BX83" i="18"/>
  <c r="BB84" i="18"/>
  <c r="AX85" i="18"/>
  <c r="BR85" i="18"/>
  <c r="AF82" i="18"/>
  <c r="BY83" i="18"/>
  <c r="BC84" i="18"/>
  <c r="BW84" i="18"/>
  <c r="AY85" i="18"/>
  <c r="BS85" i="18"/>
  <c r="CA85" i="18"/>
  <c r="BZ82" i="18"/>
  <c r="AS82" i="18"/>
  <c r="BI82" i="18" s="1"/>
  <c r="BB74" i="18"/>
  <c r="BR82" i="18"/>
  <c r="AS83" i="18"/>
  <c r="BG83" i="18" s="1"/>
  <c r="BA82" i="18"/>
  <c r="AW83" i="18"/>
  <c r="BE83" i="18"/>
  <c r="BV80" i="18"/>
  <c r="BB82" i="18"/>
  <c r="AX83" i="18"/>
  <c r="BR83" i="18"/>
  <c r="BZ83" i="18"/>
  <c r="BW78" i="18"/>
  <c r="BW88" i="18"/>
  <c r="BU74" i="18"/>
  <c r="BW80" i="18"/>
  <c r="AY83" i="18"/>
  <c r="BV81" i="18"/>
  <c r="AZ88" i="18"/>
  <c r="BX78" i="18"/>
  <c r="BC82" i="18"/>
  <c r="BD78" i="18"/>
  <c r="AY71" i="18"/>
  <c r="BT88" i="18"/>
  <c r="BY78" i="18"/>
  <c r="BT79" i="18"/>
  <c r="BP79" i="18" s="1"/>
  <c r="BJ80" i="18"/>
  <c r="BC71" i="18"/>
  <c r="BU81" i="18"/>
  <c r="BA86" i="18"/>
  <c r="BA89" i="18" s="1"/>
  <c r="BU88" i="18"/>
  <c r="BU79" i="18"/>
  <c r="BT60" i="18"/>
  <c r="BT61" i="18"/>
  <c r="BV71" i="18"/>
  <c r="BX80" i="18"/>
  <c r="AS86" i="18"/>
  <c r="BI86" i="18" s="1"/>
  <c r="AW78" i="18"/>
  <c r="CB79" i="18"/>
  <c r="BY80" i="18"/>
  <c r="BB81" i="18"/>
  <c r="AS78" i="18"/>
  <c r="AS89" i="18" s="1"/>
  <c r="BF90" i="18" s="1"/>
  <c r="BS74" i="18"/>
  <c r="BJ81" i="18"/>
  <c r="BZ89" i="18"/>
  <c r="AS80" i="18"/>
  <c r="BI80" i="18" s="1"/>
  <c r="AS74" i="18"/>
  <c r="AX74" i="18"/>
  <c r="BX86" i="18"/>
  <c r="AW80" i="18"/>
  <c r="BE80" i="18"/>
  <c r="BZ63" i="18"/>
  <c r="AS71" i="18"/>
  <c r="BT89" i="18"/>
  <c r="BY86" i="18"/>
  <c r="AY78" i="18"/>
  <c r="AX80" i="18"/>
  <c r="BZ80" i="18"/>
  <c r="BE60" i="18"/>
  <c r="BT78" i="18"/>
  <c r="BY79" i="18"/>
  <c r="BE61" i="18"/>
  <c r="BD74" i="18"/>
  <c r="CA74" i="18"/>
  <c r="BB86" i="18"/>
  <c r="AS81" i="18"/>
  <c r="BG81" i="18" s="1"/>
  <c r="BW71" i="18"/>
  <c r="AW86" i="18"/>
  <c r="BZ88" i="18"/>
  <c r="AX81" i="18"/>
  <c r="AZ78" i="18"/>
  <c r="AY80" i="18"/>
  <c r="AG64" i="18"/>
  <c r="BB71" i="18"/>
  <c r="BA81" i="18"/>
  <c r="BD86" i="18"/>
  <c r="BD89" i="18" s="1"/>
  <c r="AS88" i="18"/>
  <c r="BI88" i="18" s="1"/>
  <c r="BJ71" i="18"/>
  <c r="BD71" i="18"/>
  <c r="AZ74" i="18"/>
  <c r="BT74" i="18"/>
  <c r="BC81" i="18"/>
  <c r="AF86" i="18"/>
  <c r="AX86" i="18"/>
  <c r="AX89" i="18" s="1"/>
  <c r="BR86" i="18"/>
  <c r="BZ86" i="18"/>
  <c r="BB88" i="18"/>
  <c r="BJ88" i="18"/>
  <c r="AW71" i="18"/>
  <c r="BE71" i="18"/>
  <c r="BA74" i="18"/>
  <c r="BD81" i="18"/>
  <c r="AY86" i="18"/>
  <c r="AY89" i="18" s="1"/>
  <c r="BS86" i="18"/>
  <c r="CA86" i="18"/>
  <c r="BC88" i="18"/>
  <c r="BC89" i="18" s="1"/>
  <c r="AY63" i="18"/>
  <c r="AY64" i="18" s="1"/>
  <c r="BT59" i="18"/>
  <c r="BA60" i="18"/>
  <c r="AX71" i="18"/>
  <c r="BJ74" i="18"/>
  <c r="AW81" i="18"/>
  <c r="BE81" i="18"/>
  <c r="AZ86" i="18"/>
  <c r="BT86" i="18"/>
  <c r="BU59" i="18"/>
  <c r="BS71" i="18"/>
  <c r="BC74" i="18"/>
  <c r="AW88" i="18"/>
  <c r="BE88" i="18"/>
  <c r="BE89" i="18" s="1"/>
  <c r="BN60" i="18"/>
  <c r="AS59" i="18"/>
  <c r="BI59" i="18" s="1"/>
  <c r="AZ61" i="18"/>
  <c r="BU62" i="18"/>
  <c r="BV59" i="18"/>
  <c r="AW60" i="18"/>
  <c r="BY59" i="18"/>
  <c r="BL62" i="18"/>
  <c r="BL57" i="18" s="1"/>
  <c r="BU61" i="18"/>
  <c r="BA59" i="18"/>
  <c r="BB60" i="18"/>
  <c r="BY60" i="18"/>
  <c r="AW61" i="18"/>
  <c r="BX61" i="18"/>
  <c r="BW62" i="18"/>
  <c r="AS60" i="18"/>
  <c r="BZ60" i="18"/>
  <c r="AF61" i="18"/>
  <c r="AS61" i="18"/>
  <c r="AF59" i="18"/>
  <c r="BG59" i="18" s="1"/>
  <c r="BB59" i="18"/>
  <c r="AO64" i="18"/>
  <c r="BX64" i="18" s="1"/>
  <c r="BZ62" i="18"/>
  <c r="AX63" i="18"/>
  <c r="BL59" i="18"/>
  <c r="BN59" i="18" s="1"/>
  <c r="AF60" i="18"/>
  <c r="AY60" i="18"/>
  <c r="BA61" i="18"/>
  <c r="AH64" i="18"/>
  <c r="AP64" i="18"/>
  <c r="BY64" i="18" s="1"/>
  <c r="BS63" i="18"/>
  <c r="BD59" i="18"/>
  <c r="AZ60" i="18"/>
  <c r="BC61" i="18"/>
  <c r="BL61" i="18"/>
  <c r="BN61" i="18" s="1"/>
  <c r="BJ62" i="18"/>
  <c r="BJ64" i="18" s="1"/>
  <c r="BA63" i="18"/>
  <c r="BA64" i="18" s="1"/>
  <c r="AW59" i="18"/>
  <c r="BE59" i="18"/>
  <c r="BD61" i="18"/>
  <c r="AJ64" i="18"/>
  <c r="BS64" i="18" s="1"/>
  <c r="AR64" i="18"/>
  <c r="CA64" i="18" s="1"/>
  <c r="BB63" i="18"/>
  <c r="BB64" i="18" s="1"/>
  <c r="AS63" i="18"/>
  <c r="BC62" i="18"/>
  <c r="BC64" i="18" s="1"/>
  <c r="BV62" i="18"/>
  <c r="BL63" i="18"/>
  <c r="BN63" i="18" s="1"/>
  <c r="AQ64" i="18"/>
  <c r="BZ64" i="18" s="1"/>
  <c r="BE63" i="18"/>
  <c r="AM64" i="18"/>
  <c r="BV64" i="18" s="1"/>
  <c r="AK64" i="18"/>
  <c r="BT64" i="18" s="1"/>
  <c r="BY63" i="18"/>
  <c r="AL64" i="18"/>
  <c r="BU64" i="18" s="1"/>
  <c r="AS62" i="18"/>
  <c r="BI62" i="18" s="1"/>
  <c r="AF63" i="18"/>
  <c r="AN64" i="18"/>
  <c r="BW64" i="18" s="1"/>
  <c r="BX62" i="18"/>
  <c r="AZ63" i="18"/>
  <c r="AZ64" i="18" s="1"/>
  <c r="AW62" i="18"/>
  <c r="AW64" i="18" s="1"/>
  <c r="BE62" i="18"/>
  <c r="AX62" i="18"/>
  <c r="AI64" i="18"/>
  <c r="BD64" i="18"/>
  <c r="BS62" i="18"/>
  <c r="CA62" i="18"/>
  <c r="CD57" i="36"/>
  <c r="CP58" i="36"/>
  <c r="BH57" i="36"/>
  <c r="CS57" i="36"/>
  <c r="CT57" i="36"/>
  <c r="BK57" i="36"/>
  <c r="CM57" i="36"/>
  <c r="CU57" i="36"/>
  <c r="CN57" i="36"/>
  <c r="BH58" i="36"/>
  <c r="CA58" i="36" s="1"/>
  <c r="CQ58" i="36"/>
  <c r="BM58" i="36"/>
  <c r="BM59" i="36" s="1"/>
  <c r="CU58" i="36"/>
  <c r="BE59" i="36"/>
  <c r="CR59" i="36" s="1"/>
  <c r="BF59" i="36"/>
  <c r="CS59" i="36" s="1"/>
  <c r="AS59" i="36"/>
  <c r="CL59" i="36" s="1"/>
  <c r="BG59" i="36"/>
  <c r="CT59" i="36" s="1"/>
  <c r="AT59" i="36"/>
  <c r="CM59" i="36" s="1"/>
  <c r="AU59" i="36"/>
  <c r="CN59" i="36" s="1"/>
  <c r="BY58" i="36"/>
  <c r="BY59" i="36" s="1"/>
  <c r="CS58" i="36"/>
  <c r="BD59" i="36"/>
  <c r="CQ59" i="36" s="1"/>
  <c r="AW59" i="36"/>
  <c r="CP59" i="36" s="1"/>
  <c r="AV59" i="36"/>
  <c r="CO59" i="36" s="1"/>
  <c r="CU59" i="36"/>
  <c r="BX58" i="36"/>
  <c r="CR58" i="36"/>
  <c r="BK58" i="36"/>
  <c r="AT26" i="34"/>
  <c r="BJ22" i="34"/>
  <c r="BY22" i="34"/>
  <c r="BS23" i="34"/>
  <c r="BZ22" i="34"/>
  <c r="BT23" i="34"/>
  <c r="AV22" i="34"/>
  <c r="BF22" i="34" s="1"/>
  <c r="BS22" i="34"/>
  <c r="CA22" i="34"/>
  <c r="AW23" i="34"/>
  <c r="AW24" i="34" s="1"/>
  <c r="AW26" i="34" s="1"/>
  <c r="BT22" i="34"/>
  <c r="CA23" i="34"/>
  <c r="AU24" i="34"/>
  <c r="BS24" i="34"/>
  <c r="CA24" i="34"/>
  <c r="BE26" i="34"/>
  <c r="AM24" i="34"/>
  <c r="AZ23" i="34"/>
  <c r="AZ24" i="34" s="1"/>
  <c r="BW23" i="34"/>
  <c r="AO24" i="34"/>
  <c r="AP24" i="34"/>
  <c r="AS23" i="34"/>
  <c r="AS24" i="34" s="1"/>
  <c r="P35" i="32" s="1"/>
  <c r="BB23" i="34"/>
  <c r="BB24" i="34" s="1"/>
  <c r="BJ23" i="34"/>
  <c r="BJ24" i="34" s="1"/>
  <c r="AG35" i="32" s="1"/>
  <c r="BY23" i="34"/>
  <c r="AI24" i="34"/>
  <c r="AQ24" i="34"/>
  <c r="AX26" i="34"/>
  <c r="AN24" i="34"/>
  <c r="AH24" i="34"/>
  <c r="BU24" i="34"/>
  <c r="BM5" i="20"/>
  <c r="BM18" i="20"/>
  <c r="BM16" i="20"/>
  <c r="BM14" i="20"/>
  <c r="CN147" i="20"/>
  <c r="CM147" i="20"/>
  <c r="CL147" i="20"/>
  <c r="CK147" i="20"/>
  <c r="CJ147" i="20"/>
  <c r="CI147" i="20"/>
  <c r="CH147" i="20"/>
  <c r="CG147" i="20"/>
  <c r="CF147" i="20"/>
  <c r="CE147" i="20"/>
  <c r="CD147" i="20"/>
  <c r="CA147" i="20"/>
  <c r="BZ147" i="20"/>
  <c r="BY147" i="20"/>
  <c r="BX147" i="20"/>
  <c r="BW147" i="20"/>
  <c r="BV147" i="20"/>
  <c r="BU147" i="20"/>
  <c r="BT147" i="20"/>
  <c r="BS147" i="20"/>
  <c r="BR147" i="20"/>
  <c r="BQ147" i="20"/>
  <c r="BL147" i="20"/>
  <c r="BE147" i="20"/>
  <c r="BD147" i="20"/>
  <c r="BC147" i="20"/>
  <c r="BB147" i="20"/>
  <c r="BA147" i="20"/>
  <c r="AZ147" i="20"/>
  <c r="AY147" i="20"/>
  <c r="AX147" i="20"/>
  <c r="AW147" i="20"/>
  <c r="AV147" i="20"/>
  <c r="AU147" i="20"/>
  <c r="AT147" i="20"/>
  <c r="CC146" i="20"/>
  <c r="CO146" i="20" s="1"/>
  <c r="BP146" i="20"/>
  <c r="CB146" i="20" s="1"/>
  <c r="BH146" i="20"/>
  <c r="BF146" i="20"/>
  <c r="AR146" i="20"/>
  <c r="AQ146" i="20"/>
  <c r="AP146" i="20"/>
  <c r="AO146" i="20"/>
  <c r="AN146" i="20"/>
  <c r="AM146" i="20"/>
  <c r="AL146" i="20"/>
  <c r="AK146" i="20"/>
  <c r="AJ146" i="20"/>
  <c r="AI146" i="20"/>
  <c r="AH146" i="20"/>
  <c r="AG146" i="20"/>
  <c r="Q146" i="20"/>
  <c r="BJ146" i="20" s="1"/>
  <c r="CO145" i="20"/>
  <c r="CB145" i="20"/>
  <c r="BH145" i="20"/>
  <c r="BF145" i="20"/>
  <c r="AR145" i="20"/>
  <c r="AQ145" i="20"/>
  <c r="AP145" i="20"/>
  <c r="AO145" i="20"/>
  <c r="AN145" i="20"/>
  <c r="AM145" i="20"/>
  <c r="AL145" i="20"/>
  <c r="AK145" i="20"/>
  <c r="AJ145" i="20"/>
  <c r="AI145" i="20"/>
  <c r="AH145" i="20"/>
  <c r="AG145" i="20"/>
  <c r="Q145" i="20"/>
  <c r="AF145" i="20" s="1"/>
  <c r="CO144" i="20"/>
  <c r="CB144" i="20"/>
  <c r="BH144" i="20"/>
  <c r="BF144" i="20"/>
  <c r="AR144" i="20"/>
  <c r="AQ144" i="20"/>
  <c r="AP144" i="20"/>
  <c r="AP147" i="20" s="1"/>
  <c r="AO144" i="20"/>
  <c r="AO147" i="20" s="1"/>
  <c r="AN144" i="20"/>
  <c r="AM144" i="20"/>
  <c r="AL144" i="20"/>
  <c r="AK144" i="20"/>
  <c r="AJ144" i="20"/>
  <c r="AI144" i="20"/>
  <c r="AH144" i="20"/>
  <c r="AG144" i="20"/>
  <c r="AG147" i="20" s="1"/>
  <c r="Q144" i="20"/>
  <c r="BJ144" i="20" s="1"/>
  <c r="BN140" i="20"/>
  <c r="BM6" i="20"/>
  <c r="AJ22" i="20"/>
  <c r="AW22" i="20" s="1"/>
  <c r="BP147" i="20" l="1"/>
  <c r="CC147" i="20"/>
  <c r="BZ75" i="36"/>
  <c r="CC76" i="36"/>
  <c r="CC89" i="36"/>
  <c r="CA75" i="36"/>
  <c r="CC77" i="36"/>
  <c r="CA67" i="36"/>
  <c r="BX59" i="36"/>
  <c r="CA68" i="36"/>
  <c r="CA78" i="36"/>
  <c r="CA79" i="36"/>
  <c r="K42" i="32"/>
  <c r="CC58" i="36"/>
  <c r="CA71" i="36"/>
  <c r="BX93" i="36"/>
  <c r="CC88" i="36"/>
  <c r="CC73" i="36"/>
  <c r="CC70" i="36"/>
  <c r="BK59" i="36"/>
  <c r="AN147" i="20"/>
  <c r="K20" i="32"/>
  <c r="CC69" i="36"/>
  <c r="CA69" i="36"/>
  <c r="BG23" i="34"/>
  <c r="CB23" i="34"/>
  <c r="BI24" i="34"/>
  <c r="BH25" i="34" s="1"/>
  <c r="BG24" i="34"/>
  <c r="AD35" i="32" s="1"/>
  <c r="CB22" i="34"/>
  <c r="BG25" i="34"/>
  <c r="CC57" i="36"/>
  <c r="BH59" i="36"/>
  <c r="CA57" i="36"/>
  <c r="CA59" i="36" s="1"/>
  <c r="BI83" i="18"/>
  <c r="BI85" i="18"/>
  <c r="BG80" i="18"/>
  <c r="BG62" i="18"/>
  <c r="BG82" i="18"/>
  <c r="BG86" i="18"/>
  <c r="BG84" i="18"/>
  <c r="BI81" i="18"/>
  <c r="BI89" i="18"/>
  <c r="AF21" i="32" s="1"/>
  <c r="AS64" i="18"/>
  <c r="AS91" i="18"/>
  <c r="BF85" i="18"/>
  <c r="CB82" i="18"/>
  <c r="BF84" i="18"/>
  <c r="BF82" i="18"/>
  <c r="CB88" i="18"/>
  <c r="AL147" i="20"/>
  <c r="CB147" i="20"/>
  <c r="BI61" i="18"/>
  <c r="BG61" i="18"/>
  <c r="BZ89" i="36"/>
  <c r="BK80" i="36"/>
  <c r="BK82" i="36" s="1"/>
  <c r="BZ91" i="36"/>
  <c r="CV88" i="36"/>
  <c r="BY80" i="36"/>
  <c r="BY82" i="36" s="1"/>
  <c r="BJ80" i="36"/>
  <c r="BJ82" i="36" s="1"/>
  <c r="BZ90" i="36"/>
  <c r="CV93" i="36"/>
  <c r="CV89" i="36"/>
  <c r="BL93" i="36"/>
  <c r="CV92" i="36"/>
  <c r="BZ88" i="36"/>
  <c r="CV73" i="36"/>
  <c r="BZ73" i="36"/>
  <c r="CV74" i="36"/>
  <c r="CV90" i="36"/>
  <c r="BZ92" i="36"/>
  <c r="CC92" i="36" s="1"/>
  <c r="BH93" i="36"/>
  <c r="M42" i="32" s="1"/>
  <c r="T42" i="32" s="1"/>
  <c r="CV91" i="36"/>
  <c r="CV78" i="36"/>
  <c r="CV75" i="36"/>
  <c r="BZ77" i="36"/>
  <c r="BX80" i="36"/>
  <c r="BX82" i="36" s="1"/>
  <c r="BZ78" i="36"/>
  <c r="BZ76" i="36"/>
  <c r="BZ74" i="36"/>
  <c r="BZ67" i="36"/>
  <c r="BZ57" i="36"/>
  <c r="CV76" i="36"/>
  <c r="BW80" i="36"/>
  <c r="BW82" i="36" s="1"/>
  <c r="BZ79" i="36"/>
  <c r="CV77" i="36"/>
  <c r="BZ68" i="36"/>
  <c r="CV71" i="36"/>
  <c r="CV57" i="36"/>
  <c r="CV69" i="36"/>
  <c r="CV67" i="36"/>
  <c r="BZ69" i="36"/>
  <c r="BN80" i="36"/>
  <c r="BN82" i="36" s="1"/>
  <c r="BZ70" i="36"/>
  <c r="BH80" i="36"/>
  <c r="BV80" i="36"/>
  <c r="BV82" i="36" s="1"/>
  <c r="CV68" i="36"/>
  <c r="CV70" i="36"/>
  <c r="CV79" i="36"/>
  <c r="CS80" i="36"/>
  <c r="CQ80" i="36"/>
  <c r="BM82" i="36"/>
  <c r="CN80" i="36"/>
  <c r="CP80" i="36"/>
  <c r="CO80" i="36"/>
  <c r="BL82" i="36"/>
  <c r="CM80" i="36"/>
  <c r="CB84" i="18"/>
  <c r="CB85" i="18"/>
  <c r="CB81" i="18"/>
  <c r="CB71" i="18"/>
  <c r="CB80" i="18"/>
  <c r="AZ89" i="18"/>
  <c r="CB78" i="18"/>
  <c r="BF83" i="18"/>
  <c r="CB83" i="18"/>
  <c r="BB89" i="18"/>
  <c r="D21" i="32"/>
  <c r="CD79" i="18"/>
  <c r="BK79" i="18"/>
  <c r="CB86" i="18"/>
  <c r="BF74" i="18"/>
  <c r="BG74" i="18" s="1"/>
  <c r="CB63" i="18"/>
  <c r="BF71" i="18"/>
  <c r="BF80" i="18"/>
  <c r="BF78" i="18"/>
  <c r="CB74" i="18"/>
  <c r="AF89" i="18"/>
  <c r="BF81" i="18"/>
  <c r="BF86" i="18"/>
  <c r="BF60" i="18"/>
  <c r="BI60" i="18" s="1"/>
  <c r="BF88" i="18"/>
  <c r="CB59" i="18"/>
  <c r="AF64" i="18"/>
  <c r="AW89" i="18"/>
  <c r="BR89" i="18"/>
  <c r="CB89" i="18" s="1"/>
  <c r="BF61" i="18"/>
  <c r="CB62" i="18"/>
  <c r="CB60" i="18"/>
  <c r="CB61" i="18"/>
  <c r="BF59" i="18"/>
  <c r="BN62" i="18"/>
  <c r="BE64" i="18"/>
  <c r="AX64" i="18"/>
  <c r="BF63" i="18"/>
  <c r="BI63" i="18" s="1"/>
  <c r="BR64" i="18"/>
  <c r="CB64" i="18" s="1"/>
  <c r="CV58" i="36"/>
  <c r="CV59" i="36"/>
  <c r="BZ58" i="36"/>
  <c r="BG22" i="34"/>
  <c r="BZ24" i="34"/>
  <c r="BD26" i="34"/>
  <c r="BX24" i="34"/>
  <c r="BB26" i="34"/>
  <c r="AV26" i="34"/>
  <c r="BR24" i="34"/>
  <c r="BF23" i="34"/>
  <c r="BV24" i="34"/>
  <c r="AZ26" i="34"/>
  <c r="AU26" i="34"/>
  <c r="BW24" i="34"/>
  <c r="BA26" i="34"/>
  <c r="BC26" i="34"/>
  <c r="BY24" i="34"/>
  <c r="AJ147" i="20"/>
  <c r="AI147" i="20"/>
  <c r="AH147" i="20"/>
  <c r="AH148" i="20" s="1"/>
  <c r="AH151" i="20" s="1"/>
  <c r="AK147" i="20"/>
  <c r="BF147" i="20"/>
  <c r="AR147" i="20"/>
  <c r="AM147" i="20"/>
  <c r="AQ147" i="20"/>
  <c r="AF146" i="20"/>
  <c r="BS22" i="20"/>
  <c r="AS145" i="20"/>
  <c r="BG145" i="20" s="1"/>
  <c r="BH147" i="20"/>
  <c r="AS144" i="20"/>
  <c r="BI144" i="20" s="1"/>
  <c r="AS146" i="20"/>
  <c r="BI146" i="20" s="1"/>
  <c r="CO147" i="20"/>
  <c r="AF144" i="20"/>
  <c r="BJ145" i="20"/>
  <c r="BJ147" i="20" s="1"/>
  <c r="BM17" i="20"/>
  <c r="AO42" i="32" l="1"/>
  <c r="CA94" i="36"/>
  <c r="CC59" i="36"/>
  <c r="CB60" i="36" s="1"/>
  <c r="BH90" i="18"/>
  <c r="BI91" i="18"/>
  <c r="M43" i="32"/>
  <c r="CA81" i="36"/>
  <c r="P40" i="32"/>
  <c r="P20" i="32"/>
  <c r="V21" i="32"/>
  <c r="BZ59" i="36"/>
  <c r="Y40" i="32" s="1"/>
  <c r="M21" i="32"/>
  <c r="BI64" i="18"/>
  <c r="CC91" i="36"/>
  <c r="CC90" i="36"/>
  <c r="BZ93" i="36"/>
  <c r="CA93" i="36"/>
  <c r="AD42" i="32" s="1"/>
  <c r="BZ82" i="36"/>
  <c r="BZ80" i="36"/>
  <c r="V43" i="32" s="1"/>
  <c r="CV80" i="36"/>
  <c r="BG60" i="18"/>
  <c r="BG71" i="18"/>
  <c r="BL69" i="18"/>
  <c r="BG88" i="18"/>
  <c r="BL89" i="18"/>
  <c r="BN89" i="18" s="1"/>
  <c r="BG63" i="18"/>
  <c r="BL64" i="18"/>
  <c r="BN64" i="18" s="1"/>
  <c r="BF62" i="18"/>
  <c r="AT64" i="18"/>
  <c r="CC60" i="36"/>
  <c r="BF24" i="34"/>
  <c r="Y35" i="32" s="1"/>
  <c r="CB24" i="34"/>
  <c r="BF26" i="34"/>
  <c r="BI145" i="20"/>
  <c r="BI147" i="20" s="1"/>
  <c r="AS147" i="20"/>
  <c r="BG146" i="20"/>
  <c r="BG144" i="20"/>
  <c r="AF147" i="20"/>
  <c r="BM19" i="38"/>
  <c r="BM18" i="38"/>
  <c r="BM17" i="38"/>
  <c r="BN17" i="38" s="1"/>
  <c r="BM20" i="38"/>
  <c r="BN18" i="38"/>
  <c r="BN19" i="38"/>
  <c r="BL20" i="38"/>
  <c r="BH20" i="38"/>
  <c r="AT17" i="38"/>
  <c r="BL22" i="20"/>
  <c r="BN22" i="20" s="1"/>
  <c r="BM9" i="20"/>
  <c r="BM10" i="20"/>
  <c r="BM11" i="20"/>
  <c r="BM13" i="20"/>
  <c r="T20" i="32" l="1"/>
  <c r="BG147" i="20"/>
  <c r="AC40" i="32"/>
  <c r="BZ60" i="36"/>
  <c r="T40" i="32"/>
  <c r="AC21" i="32"/>
  <c r="BG64" i="18"/>
  <c r="CC94" i="36"/>
  <c r="BZ94" i="36"/>
  <c r="BZ81" i="36"/>
  <c r="CC93" i="36"/>
  <c r="CC80" i="36"/>
  <c r="CB81" i="36" s="1"/>
  <c r="CA80" i="36"/>
  <c r="BF64" i="18"/>
  <c r="BF25" i="34"/>
  <c r="BI25" i="34"/>
  <c r="BI26" i="34" s="1"/>
  <c r="BN16" i="38"/>
  <c r="BN20" i="38" s="1"/>
  <c r="DI49" i="36"/>
  <c r="DI48" i="36"/>
  <c r="DI47" i="36"/>
  <c r="DI46" i="36"/>
  <c r="DI45" i="36"/>
  <c r="DI44" i="36"/>
  <c r="DI35" i="36"/>
  <c r="DI34" i="36"/>
  <c r="DI33" i="36"/>
  <c r="DI32" i="36"/>
  <c r="DI31" i="36"/>
  <c r="DI30" i="36"/>
  <c r="DI29" i="36"/>
  <c r="DI28" i="36"/>
  <c r="DI27" i="36"/>
  <c r="DI26" i="36"/>
  <c r="DI25" i="36"/>
  <c r="DI24" i="36"/>
  <c r="DI23" i="36"/>
  <c r="DI22" i="36"/>
  <c r="DI13" i="36"/>
  <c r="DI12" i="36"/>
  <c r="DI11" i="36"/>
  <c r="DI10" i="36"/>
  <c r="DI9" i="36"/>
  <c r="DI8" i="36"/>
  <c r="DI43" i="36"/>
  <c r="DI42" i="36"/>
  <c r="CF40" i="36"/>
  <c r="DI21" i="36"/>
  <c r="DI20" i="36"/>
  <c r="CF18" i="36"/>
  <c r="DI7" i="36"/>
  <c r="DI6" i="36"/>
  <c r="CO15" i="34"/>
  <c r="CO13" i="34"/>
  <c r="BL11" i="34"/>
  <c r="CO6" i="34"/>
  <c r="CO5" i="34"/>
  <c r="CO19" i="18"/>
  <c r="BM19" i="18"/>
  <c r="CO18" i="18"/>
  <c r="CA18" i="18"/>
  <c r="BZ18" i="18"/>
  <c r="BY18" i="18"/>
  <c r="BX18" i="18"/>
  <c r="BW18" i="18"/>
  <c r="BV18" i="18"/>
  <c r="BU18" i="18"/>
  <c r="BT18" i="18"/>
  <c r="BS18" i="18"/>
  <c r="BR18" i="18"/>
  <c r="BL18" i="18" s="1"/>
  <c r="BM18" i="18"/>
  <c r="CO17" i="18"/>
  <c r="BM17" i="18"/>
  <c r="CO51" i="18"/>
  <c r="BM51" i="18"/>
  <c r="CO50" i="18"/>
  <c r="BM50" i="18"/>
  <c r="CO43" i="18"/>
  <c r="BM43" i="18"/>
  <c r="CO42" i="18"/>
  <c r="BM42" i="18"/>
  <c r="CO35" i="18"/>
  <c r="BM35" i="18"/>
  <c r="CO34" i="18"/>
  <c r="BM34" i="18"/>
  <c r="CO27" i="18"/>
  <c r="BM27" i="18"/>
  <c r="CO26" i="18"/>
  <c r="CA26" i="18"/>
  <c r="BZ26" i="18"/>
  <c r="BY26" i="18"/>
  <c r="BX26" i="18"/>
  <c r="BW26" i="18"/>
  <c r="BV26" i="18"/>
  <c r="BU26" i="18"/>
  <c r="BT26" i="18"/>
  <c r="BS26" i="18"/>
  <c r="BR26" i="18"/>
  <c r="BL26" i="18" s="1"/>
  <c r="BM26" i="18"/>
  <c r="CO16" i="18"/>
  <c r="BM16" i="18"/>
  <c r="CO15" i="18"/>
  <c r="BM15" i="18"/>
  <c r="CO8" i="18"/>
  <c r="BM8" i="18"/>
  <c r="CO7" i="18"/>
  <c r="BM7" i="18"/>
  <c r="CO6" i="18"/>
  <c r="BM6" i="18"/>
  <c r="CO5" i="18"/>
  <c r="BM5" i="18"/>
  <c r="CO34" i="38"/>
  <c r="CA34" i="38"/>
  <c r="BZ34" i="38"/>
  <c r="BY34" i="38"/>
  <c r="BX34" i="38"/>
  <c r="BW34" i="38"/>
  <c r="BV34" i="38"/>
  <c r="BU34" i="38"/>
  <c r="BT34" i="38"/>
  <c r="CO33" i="38"/>
  <c r="CA33" i="38"/>
  <c r="BZ33" i="38"/>
  <c r="BY33" i="38"/>
  <c r="BX33" i="38"/>
  <c r="BW33" i="38"/>
  <c r="BV33" i="38"/>
  <c r="BU33" i="38"/>
  <c r="BT33" i="38"/>
  <c r="CO32" i="38"/>
  <c r="CA32" i="38"/>
  <c r="BZ32" i="38"/>
  <c r="BY32" i="38"/>
  <c r="BX32" i="38"/>
  <c r="BW32" i="38"/>
  <c r="BV32" i="38"/>
  <c r="BU32" i="38"/>
  <c r="BT32" i="38"/>
  <c r="BR32" i="38"/>
  <c r="CO20" i="38"/>
  <c r="CA20" i="38"/>
  <c r="BZ20" i="38"/>
  <c r="BY20" i="38"/>
  <c r="BX20" i="38"/>
  <c r="BW20" i="38"/>
  <c r="BV20" i="38"/>
  <c r="BU20" i="38"/>
  <c r="BT20" i="38"/>
  <c r="BS20" i="38"/>
  <c r="BR20" i="38"/>
  <c r="CB20" i="38" s="1"/>
  <c r="CO19" i="38"/>
  <c r="CA19" i="38"/>
  <c r="BZ19" i="38"/>
  <c r="BY19" i="38"/>
  <c r="BX19" i="38"/>
  <c r="BW19" i="38"/>
  <c r="BV19" i="38"/>
  <c r="BU19" i="38"/>
  <c r="BT19" i="38"/>
  <c r="BS19" i="38"/>
  <c r="BR19" i="38"/>
  <c r="CB19" i="38" s="1"/>
  <c r="CO18" i="38"/>
  <c r="CA18" i="38"/>
  <c r="BZ18" i="38"/>
  <c r="BY18" i="38"/>
  <c r="BX18" i="38"/>
  <c r="BW18" i="38"/>
  <c r="BV18" i="38"/>
  <c r="BU18" i="38"/>
  <c r="BT18" i="38"/>
  <c r="BS18" i="38"/>
  <c r="BR18" i="38"/>
  <c r="CB18" i="38" s="1"/>
  <c r="CO9" i="38"/>
  <c r="CA9" i="38"/>
  <c r="BZ9" i="38"/>
  <c r="BY9" i="38"/>
  <c r="BX9" i="38"/>
  <c r="BW9" i="38"/>
  <c r="BV9" i="38"/>
  <c r="BU9" i="38"/>
  <c r="BT9" i="38"/>
  <c r="BS9" i="38"/>
  <c r="BR9" i="38"/>
  <c r="CB9" i="38" s="1"/>
  <c r="CO8" i="38"/>
  <c r="CA8" i="38"/>
  <c r="BZ8" i="38"/>
  <c r="BY8" i="38"/>
  <c r="BX8" i="38"/>
  <c r="BW8" i="38"/>
  <c r="BV8" i="38"/>
  <c r="BU8" i="38"/>
  <c r="BT8" i="38"/>
  <c r="BS8" i="38"/>
  <c r="BR8" i="38"/>
  <c r="CB8" i="38" s="1"/>
  <c r="CO17" i="38"/>
  <c r="CA17" i="38"/>
  <c r="BZ17" i="38"/>
  <c r="BY17" i="38"/>
  <c r="BX17" i="38"/>
  <c r="BW17" i="38"/>
  <c r="BV17" i="38"/>
  <c r="BU17" i="38"/>
  <c r="BT17" i="38"/>
  <c r="BS17" i="38"/>
  <c r="BR17" i="38"/>
  <c r="CB17" i="38" s="1"/>
  <c r="CO16" i="38"/>
  <c r="CA16" i="38"/>
  <c r="BZ16" i="38"/>
  <c r="BY16" i="38"/>
  <c r="BX16" i="38"/>
  <c r="BW16" i="38"/>
  <c r="BV16" i="38"/>
  <c r="BU16" i="38"/>
  <c r="BT16" i="38"/>
  <c r="BS16" i="38"/>
  <c r="BR16" i="38"/>
  <c r="CB16" i="38" s="1"/>
  <c r="BL14" i="38"/>
  <c r="CO7" i="38"/>
  <c r="CA7" i="38"/>
  <c r="BZ7" i="38"/>
  <c r="BY7" i="38"/>
  <c r="BX7" i="38"/>
  <c r="BW7" i="38"/>
  <c r="BV7" i="38"/>
  <c r="BU7" i="38"/>
  <c r="BT7" i="38"/>
  <c r="BS7" i="38"/>
  <c r="BR7" i="38"/>
  <c r="CB7" i="38" s="1"/>
  <c r="CO6" i="38"/>
  <c r="CA6" i="38"/>
  <c r="BZ6" i="38"/>
  <c r="BY6" i="38"/>
  <c r="BX6" i="38"/>
  <c r="BW6" i="38"/>
  <c r="BV6" i="38"/>
  <c r="BU6" i="38"/>
  <c r="BT6" i="38"/>
  <c r="BS6" i="38"/>
  <c r="BR6" i="38"/>
  <c r="CB6" i="38" s="1"/>
  <c r="BL4" i="38"/>
  <c r="CO31" i="38"/>
  <c r="CA31" i="38"/>
  <c r="BZ31" i="38"/>
  <c r="BY31" i="38"/>
  <c r="BX31" i="38"/>
  <c r="BW31" i="38"/>
  <c r="BV31" i="38"/>
  <c r="BU31" i="38"/>
  <c r="BT31" i="38"/>
  <c r="BR31" i="38"/>
  <c r="CO30" i="38"/>
  <c r="CA30" i="38"/>
  <c r="BZ30" i="38"/>
  <c r="BY30" i="38"/>
  <c r="BX30" i="38"/>
  <c r="BW30" i="38"/>
  <c r="BV30" i="38"/>
  <c r="BU30" i="38"/>
  <c r="BT30" i="38"/>
  <c r="BR30" i="38"/>
  <c r="BL28" i="38"/>
  <c r="CC95" i="36" l="1"/>
  <c r="CB94" i="36"/>
  <c r="AE42" i="32"/>
  <c r="CC81" i="36"/>
  <c r="AD43" i="32"/>
  <c r="AD21" i="32"/>
  <c r="AO40" i="32"/>
  <c r="AD20" i="32"/>
  <c r="BI65" i="18"/>
  <c r="BI66" i="18" s="1"/>
  <c r="Y20" i="32"/>
  <c r="BF65" i="18"/>
  <c r="BH65" i="18"/>
  <c r="CC82" i="36"/>
  <c r="BN26" i="18"/>
  <c r="BL24" i="18"/>
  <c r="CB26" i="18"/>
  <c r="BN18" i="18"/>
  <c r="CB18" i="18"/>
  <c r="AC20" i="32" l="1"/>
  <c r="AF20" i="32" s="1"/>
  <c r="AE20" i="32" s="1"/>
  <c r="AE40" i="32"/>
  <c r="AO20" i="32"/>
  <c r="BL3" i="34"/>
  <c r="Q1" i="20" l="1"/>
  <c r="AF1" i="20" s="1"/>
  <c r="AI5" i="20"/>
  <c r="CO1" i="20"/>
  <c r="BM1" i="20"/>
  <c r="BJ1" i="20"/>
  <c r="BH1" i="20"/>
  <c r="AR1" i="20"/>
  <c r="CA1" i="20" s="1"/>
  <c r="AQ1" i="20"/>
  <c r="BZ1" i="20" s="1"/>
  <c r="AP1" i="20"/>
  <c r="BY1" i="20" s="1"/>
  <c r="AO1" i="20"/>
  <c r="BX1" i="20" s="1"/>
  <c r="AN1" i="20"/>
  <c r="BW1" i="20" s="1"/>
  <c r="AM1" i="20"/>
  <c r="BV1" i="20" s="1"/>
  <c r="AL1" i="20"/>
  <c r="BU1" i="20" s="1"/>
  <c r="AK1" i="20"/>
  <c r="BT1" i="20" s="1"/>
  <c r="AJ1" i="20"/>
  <c r="BS1" i="20" s="1"/>
  <c r="AI1" i="20"/>
  <c r="BR1" i="20" s="1"/>
  <c r="AH1" i="20"/>
  <c r="AU1" i="20" s="1"/>
  <c r="AG1" i="20"/>
  <c r="AT1" i="20" s="1"/>
  <c r="A52" i="20"/>
  <c r="A53" i="20" s="1"/>
  <c r="A55" i="20" s="1"/>
  <c r="AI12" i="20"/>
  <c r="BL83" i="20"/>
  <c r="BL34" i="20"/>
  <c r="Q11" i="20"/>
  <c r="AF11" i="20" s="1"/>
  <c r="CN118" i="20"/>
  <c r="CM118" i="20"/>
  <c r="CL118" i="20"/>
  <c r="CK118" i="20"/>
  <c r="CJ118" i="20"/>
  <c r="CI118" i="20"/>
  <c r="CH118" i="20"/>
  <c r="CG118" i="20"/>
  <c r="CF117" i="20"/>
  <c r="CF116" i="20"/>
  <c r="CF115" i="20"/>
  <c r="CF114" i="20"/>
  <c r="CF113" i="20"/>
  <c r="CF112" i="20"/>
  <c r="CF111" i="20"/>
  <c r="CF110" i="20"/>
  <c r="CC109" i="20"/>
  <c r="CO109" i="20" s="1"/>
  <c r="CF108" i="20"/>
  <c r="CF107" i="20"/>
  <c r="CF106" i="20"/>
  <c r="CF105" i="20"/>
  <c r="CF104" i="20"/>
  <c r="CF103" i="20"/>
  <c r="CF102" i="20"/>
  <c r="CF101" i="20"/>
  <c r="CF100" i="20"/>
  <c r="CF99" i="20"/>
  <c r="CF98" i="20"/>
  <c r="CF97" i="20"/>
  <c r="CF96" i="20"/>
  <c r="CF95" i="20"/>
  <c r="CF94" i="20"/>
  <c r="CF93" i="20"/>
  <c r="CF92" i="20"/>
  <c r="CF91" i="20"/>
  <c r="CF90" i="20"/>
  <c r="CF89" i="20"/>
  <c r="CF88" i="20"/>
  <c r="CF87" i="20"/>
  <c r="CF83" i="20"/>
  <c r="CE83" i="20"/>
  <c r="CD83" i="20"/>
  <c r="CC83" i="20"/>
  <c r="CO60" i="20"/>
  <c r="CO59" i="20"/>
  <c r="CO58" i="20"/>
  <c r="CI57" i="20"/>
  <c r="CG57" i="20"/>
  <c r="CN34" i="20"/>
  <c r="CM34" i="20"/>
  <c r="CL34" i="20"/>
  <c r="CK34" i="20"/>
  <c r="CJ34" i="20"/>
  <c r="CI34" i="20"/>
  <c r="CH34" i="20"/>
  <c r="CG34" i="20"/>
  <c r="CF34" i="20"/>
  <c r="CE34" i="20"/>
  <c r="CD34" i="20"/>
  <c r="CC33" i="20"/>
  <c r="CO33" i="20" s="1"/>
  <c r="CO32" i="20"/>
  <c r="CO31" i="20"/>
  <c r="CC30" i="20"/>
  <c r="CO30" i="20" s="1"/>
  <c r="CN23" i="20"/>
  <c r="CM23" i="20"/>
  <c r="CL23" i="20"/>
  <c r="CK23" i="20"/>
  <c r="CJ23" i="20"/>
  <c r="CI23" i="20"/>
  <c r="CH23" i="20"/>
  <c r="CG23" i="20"/>
  <c r="CO22" i="20"/>
  <c r="CO21" i="20"/>
  <c r="CA118" i="20"/>
  <c r="BZ118" i="20"/>
  <c r="BY118" i="20"/>
  <c r="BX118" i="20"/>
  <c r="BW118" i="20"/>
  <c r="BV118" i="20"/>
  <c r="BU118" i="20"/>
  <c r="BT118" i="20"/>
  <c r="BS117" i="20"/>
  <c r="CE117" i="20" s="1"/>
  <c r="BR117" i="20"/>
  <c r="CD117" i="20" s="1"/>
  <c r="BQ117" i="20"/>
  <c r="BS116" i="20"/>
  <c r="BR116" i="20"/>
  <c r="CD116" i="20" s="1"/>
  <c r="BQ116" i="20"/>
  <c r="BS115" i="20"/>
  <c r="CE115" i="20" s="1"/>
  <c r="BR115" i="20"/>
  <c r="CD115" i="20" s="1"/>
  <c r="BQ115" i="20"/>
  <c r="CC115" i="20" s="1"/>
  <c r="BP115" i="20"/>
  <c r="BS114" i="20"/>
  <c r="CE114" i="20" s="1"/>
  <c r="BR114" i="20"/>
  <c r="CD114" i="20" s="1"/>
  <c r="BQ114" i="20"/>
  <c r="CC114" i="20" s="1"/>
  <c r="BP114" i="20"/>
  <c r="BS113" i="20"/>
  <c r="CE113" i="20" s="1"/>
  <c r="BR113" i="20"/>
  <c r="CD113" i="20" s="1"/>
  <c r="BQ113" i="20"/>
  <c r="BS112" i="20"/>
  <c r="CE112" i="20" s="1"/>
  <c r="BR112" i="20"/>
  <c r="CD112" i="20" s="1"/>
  <c r="BQ112" i="20"/>
  <c r="CC112" i="20" s="1"/>
  <c r="BP112" i="20"/>
  <c r="BS111" i="20"/>
  <c r="CE111" i="20" s="1"/>
  <c r="BR111" i="20"/>
  <c r="CD111" i="20" s="1"/>
  <c r="BQ111" i="20"/>
  <c r="CC111" i="20" s="1"/>
  <c r="BP111" i="20"/>
  <c r="BS110" i="20"/>
  <c r="CE110" i="20" s="1"/>
  <c r="BR110" i="20"/>
  <c r="CD110" i="20" s="1"/>
  <c r="BQ110" i="20"/>
  <c r="CC110" i="20" s="1"/>
  <c r="BP110" i="20"/>
  <c r="BP109" i="20"/>
  <c r="CB109" i="20" s="1"/>
  <c r="BS108" i="20"/>
  <c r="CE108" i="20" s="1"/>
  <c r="BR108" i="20"/>
  <c r="CD108" i="20" s="1"/>
  <c r="BQ108" i="20"/>
  <c r="CC108" i="20" s="1"/>
  <c r="BP108" i="20"/>
  <c r="BS107" i="20"/>
  <c r="CE107" i="20" s="1"/>
  <c r="BR107" i="20"/>
  <c r="CD107" i="20" s="1"/>
  <c r="BQ107" i="20"/>
  <c r="CC107" i="20" s="1"/>
  <c r="BP107" i="20"/>
  <c r="BS106" i="20"/>
  <c r="CE106" i="20" s="1"/>
  <c r="BR106" i="20"/>
  <c r="CD106" i="20" s="1"/>
  <c r="BQ106" i="20"/>
  <c r="CC106" i="20" s="1"/>
  <c r="BP106" i="20"/>
  <c r="BS105" i="20"/>
  <c r="CE105" i="20" s="1"/>
  <c r="BR105" i="20"/>
  <c r="CD105" i="20" s="1"/>
  <c r="BQ105" i="20"/>
  <c r="CC105" i="20" s="1"/>
  <c r="BP105" i="20"/>
  <c r="BS104" i="20"/>
  <c r="CE104" i="20" s="1"/>
  <c r="BR104" i="20"/>
  <c r="CD104" i="20" s="1"/>
  <c r="BQ104" i="20"/>
  <c r="CC104" i="20" s="1"/>
  <c r="BP104" i="20"/>
  <c r="BS103" i="20"/>
  <c r="CE103" i="20" s="1"/>
  <c r="BR103" i="20"/>
  <c r="CD103" i="20" s="1"/>
  <c r="BQ103" i="20"/>
  <c r="CC103" i="20" s="1"/>
  <c r="BP103" i="20"/>
  <c r="BS102" i="20"/>
  <c r="CE102" i="20" s="1"/>
  <c r="BR102" i="20"/>
  <c r="CD102" i="20" s="1"/>
  <c r="BQ102" i="20"/>
  <c r="CC102" i="20" s="1"/>
  <c r="BP102" i="20"/>
  <c r="BS101" i="20"/>
  <c r="CE101" i="20" s="1"/>
  <c r="BR101" i="20"/>
  <c r="CD101" i="20" s="1"/>
  <c r="BQ101" i="20"/>
  <c r="CC101" i="20" s="1"/>
  <c r="BP101" i="20"/>
  <c r="BS100" i="20"/>
  <c r="CE100" i="20" s="1"/>
  <c r="BR100" i="20"/>
  <c r="CD100" i="20" s="1"/>
  <c r="BQ100" i="20"/>
  <c r="CC100" i="20" s="1"/>
  <c r="BP100" i="20"/>
  <c r="BS99" i="20"/>
  <c r="CE99" i="20" s="1"/>
  <c r="BR99" i="20"/>
  <c r="CD99" i="20" s="1"/>
  <c r="BQ99" i="20"/>
  <c r="CC99" i="20" s="1"/>
  <c r="BP99" i="20"/>
  <c r="BS98" i="20"/>
  <c r="CE98" i="20" s="1"/>
  <c r="BR98" i="20"/>
  <c r="CD98" i="20" s="1"/>
  <c r="BQ98" i="20"/>
  <c r="CC98" i="20" s="1"/>
  <c r="BP98" i="20"/>
  <c r="BS97" i="20"/>
  <c r="BR97" i="20"/>
  <c r="CD97" i="20" s="1"/>
  <c r="BQ97" i="20"/>
  <c r="CC97" i="20" s="1"/>
  <c r="BP97" i="20"/>
  <c r="BS96" i="20"/>
  <c r="CE96" i="20" s="1"/>
  <c r="BR96" i="20"/>
  <c r="CD96" i="20" s="1"/>
  <c r="BQ96" i="20"/>
  <c r="CC96" i="20" s="1"/>
  <c r="BP96" i="20"/>
  <c r="BS95" i="20"/>
  <c r="CE95" i="20" s="1"/>
  <c r="BR95" i="20"/>
  <c r="CD95" i="20" s="1"/>
  <c r="BQ95" i="20"/>
  <c r="CC95" i="20" s="1"/>
  <c r="BP95" i="20"/>
  <c r="BS94" i="20"/>
  <c r="CE94" i="20" s="1"/>
  <c r="BR94" i="20"/>
  <c r="CD94" i="20" s="1"/>
  <c r="BQ94" i="20"/>
  <c r="CC94" i="20" s="1"/>
  <c r="BP94" i="20"/>
  <c r="BS93" i="20"/>
  <c r="CE93" i="20" s="1"/>
  <c r="BR93" i="20"/>
  <c r="CD93" i="20" s="1"/>
  <c r="BQ93" i="20"/>
  <c r="CC93" i="20" s="1"/>
  <c r="BP93" i="20"/>
  <c r="BS92" i="20"/>
  <c r="CE92" i="20" s="1"/>
  <c r="BR92" i="20"/>
  <c r="CD92" i="20" s="1"/>
  <c r="BQ92" i="20"/>
  <c r="CC92" i="20" s="1"/>
  <c r="BP92" i="20"/>
  <c r="BS91" i="20"/>
  <c r="CE91" i="20" s="1"/>
  <c r="BR91" i="20"/>
  <c r="CD91" i="20" s="1"/>
  <c r="BQ91" i="20"/>
  <c r="CC91" i="20" s="1"/>
  <c r="BP91" i="20"/>
  <c r="BS90" i="20"/>
  <c r="CE90" i="20" s="1"/>
  <c r="BR90" i="20"/>
  <c r="CD90" i="20" s="1"/>
  <c r="BQ90" i="20"/>
  <c r="CC90" i="20" s="1"/>
  <c r="BP90" i="20"/>
  <c r="BS89" i="20"/>
  <c r="CE89" i="20" s="1"/>
  <c r="BR89" i="20"/>
  <c r="CD89" i="20" s="1"/>
  <c r="BQ89" i="20"/>
  <c r="CC89" i="20" s="1"/>
  <c r="BP89" i="20"/>
  <c r="BS88" i="20"/>
  <c r="CE88" i="20" s="1"/>
  <c r="BR88" i="20"/>
  <c r="CD88" i="20" s="1"/>
  <c r="BQ88" i="20"/>
  <c r="CC88" i="20" s="1"/>
  <c r="BP88" i="20"/>
  <c r="BS87" i="20"/>
  <c r="CE87" i="20" s="1"/>
  <c r="BR87" i="20"/>
  <c r="CD87" i="20" s="1"/>
  <c r="BQ87" i="20"/>
  <c r="CC87" i="20" s="1"/>
  <c r="BP87" i="20"/>
  <c r="BS83" i="20"/>
  <c r="BR83" i="20"/>
  <c r="BQ83" i="20"/>
  <c r="BP83" i="20"/>
  <c r="CB60" i="20"/>
  <c r="CB59" i="20"/>
  <c r="CB58" i="20"/>
  <c r="CA43" i="20"/>
  <c r="CM43" i="20" s="1"/>
  <c r="CA34" i="20"/>
  <c r="BZ34" i="20"/>
  <c r="BY34" i="20"/>
  <c r="BX34" i="20"/>
  <c r="BW34" i="20"/>
  <c r="BV34" i="20"/>
  <c r="BU34" i="20"/>
  <c r="BT34" i="20"/>
  <c r="BS34" i="20"/>
  <c r="BR34" i="20"/>
  <c r="BQ34" i="20"/>
  <c r="BP33" i="20"/>
  <c r="CB33" i="20" s="1"/>
  <c r="CB32" i="20"/>
  <c r="CB31" i="20"/>
  <c r="BP30" i="20"/>
  <c r="CI36" i="20" l="1"/>
  <c r="BF1" i="20"/>
  <c r="CB1" i="20"/>
  <c r="AS1" i="20"/>
  <c r="BL1" i="20"/>
  <c r="BN1" i="20" s="1"/>
  <c r="CG120" i="20"/>
  <c r="CO15" i="20"/>
  <c r="CO8" i="20"/>
  <c r="CK120" i="20"/>
  <c r="CI120" i="20"/>
  <c r="CE36" i="20"/>
  <c r="CM36" i="20"/>
  <c r="CO88" i="20"/>
  <c r="CO94" i="20"/>
  <c r="CO96" i="20"/>
  <c r="CO104" i="20"/>
  <c r="CB113" i="20"/>
  <c r="CM120" i="20"/>
  <c r="CD36" i="20"/>
  <c r="CL36" i="20"/>
  <c r="CO102" i="20"/>
  <c r="CC34" i="20"/>
  <c r="CC36" i="20" s="1"/>
  <c r="CG36" i="20"/>
  <c r="CH36" i="20"/>
  <c r="CO106" i="20"/>
  <c r="CO115" i="20"/>
  <c r="CO11" i="20"/>
  <c r="CO14" i="20"/>
  <c r="CO17" i="20"/>
  <c r="CB89" i="20"/>
  <c r="CB114" i="20"/>
  <c r="CH120" i="20"/>
  <c r="CK36" i="20"/>
  <c r="CL120" i="20"/>
  <c r="CF23" i="20"/>
  <c r="CO9" i="20"/>
  <c r="CO98" i="20"/>
  <c r="CO18" i="20"/>
  <c r="CF36" i="20"/>
  <c r="CO90" i="20"/>
  <c r="CO10" i="20"/>
  <c r="CO13" i="20"/>
  <c r="CO16" i="20"/>
  <c r="CO19" i="20"/>
  <c r="CB88" i="20"/>
  <c r="CB90" i="20"/>
  <c r="CB96" i="20"/>
  <c r="CO113" i="20"/>
  <c r="CO89" i="20"/>
  <c r="CO91" i="20"/>
  <c r="CO93" i="20"/>
  <c r="CO95" i="20"/>
  <c r="CO99" i="20"/>
  <c r="CO101" i="20"/>
  <c r="CO103" i="20"/>
  <c r="CO105" i="20"/>
  <c r="CO107" i="20"/>
  <c r="CB110" i="20"/>
  <c r="CO114" i="20"/>
  <c r="CO7" i="20"/>
  <c r="CO12" i="20"/>
  <c r="CO34" i="20"/>
  <c r="CO35" i="20" s="1"/>
  <c r="CF118" i="20"/>
  <c r="CF120" i="20" s="1"/>
  <c r="CJ36" i="20"/>
  <c r="CD118" i="20"/>
  <c r="CJ120" i="20"/>
  <c r="CC23" i="20"/>
  <c r="CO112" i="20"/>
  <c r="CO110" i="20"/>
  <c r="CO100" i="20"/>
  <c r="CO111" i="20"/>
  <c r="CO20" i="20"/>
  <c r="CO117" i="20"/>
  <c r="CC118" i="20"/>
  <c r="CO92" i="20"/>
  <c r="CO108" i="20"/>
  <c r="CB97" i="20"/>
  <c r="CB116" i="20"/>
  <c r="CB92" i="20"/>
  <c r="CO87" i="20"/>
  <c r="CE97" i="20"/>
  <c r="CO97" i="20" s="1"/>
  <c r="BP34" i="20"/>
  <c r="CO6" i="20"/>
  <c r="CB99" i="20"/>
  <c r="CB94" i="20"/>
  <c r="CE116" i="20"/>
  <c r="CO116" i="20" s="1"/>
  <c r="CB105" i="20"/>
  <c r="CB101" i="20"/>
  <c r="CB103" i="20"/>
  <c r="BS118" i="20"/>
  <c r="CB91" i="20"/>
  <c r="CB112" i="20"/>
  <c r="CB107" i="20"/>
  <c r="BR118" i="20"/>
  <c r="CB98" i="20"/>
  <c r="CB100" i="20"/>
  <c r="CB104" i="20"/>
  <c r="CB30" i="20"/>
  <c r="CB34" i="20" s="1"/>
  <c r="CB106" i="20"/>
  <c r="CB108" i="20"/>
  <c r="CB117" i="20"/>
  <c r="CB115" i="20"/>
  <c r="BP118" i="20"/>
  <c r="BQ118" i="20"/>
  <c r="CB93" i="20"/>
  <c r="CB95" i="20"/>
  <c r="CB102" i="20"/>
  <c r="CB111" i="20"/>
  <c r="CB87" i="20"/>
  <c r="BI1" i="20" l="1"/>
  <c r="BG1" i="20"/>
  <c r="CD120" i="20"/>
  <c r="CC120" i="20"/>
  <c r="CE118" i="20"/>
  <c r="CE120" i="20" s="1"/>
  <c r="CO118" i="20"/>
  <c r="CO119" i="20" s="1"/>
  <c r="CE23" i="20"/>
  <c r="CB35" i="20"/>
  <c r="CN36" i="20"/>
  <c r="CO36" i="20" s="1"/>
  <c r="CB118" i="20"/>
  <c r="CB119" i="20" l="1"/>
  <c r="CN120" i="20"/>
  <c r="CO120" i="20" s="1"/>
  <c r="CB11" i="36"/>
  <c r="BG11" i="36"/>
  <c r="CT11" i="36" s="1"/>
  <c r="BF11" i="36"/>
  <c r="BE11" i="36"/>
  <c r="BD11" i="36"/>
  <c r="CQ11" i="36" s="1"/>
  <c r="AW11" i="36"/>
  <c r="AV11" i="36"/>
  <c r="AU11" i="36"/>
  <c r="AT11" i="36"/>
  <c r="AS11" i="36"/>
  <c r="AR11" i="36"/>
  <c r="AQ11" i="36"/>
  <c r="V11" i="36"/>
  <c r="CD11" i="36" s="1"/>
  <c r="CB12" i="36"/>
  <c r="BG12" i="36"/>
  <c r="CT12" i="36" s="1"/>
  <c r="BF12" i="36"/>
  <c r="BE12" i="36"/>
  <c r="BD12" i="36"/>
  <c r="AW12" i="36"/>
  <c r="CP12" i="36" s="1"/>
  <c r="AV12" i="36"/>
  <c r="AU12" i="36"/>
  <c r="AT12" i="36"/>
  <c r="AS12" i="36"/>
  <c r="AR12" i="36"/>
  <c r="AQ12" i="36"/>
  <c r="V12" i="36"/>
  <c r="CD12" i="36" s="1"/>
  <c r="AG47" i="32"/>
  <c r="C47" i="32"/>
  <c r="AL46" i="32"/>
  <c r="AD46" i="32"/>
  <c r="X46" i="32"/>
  <c r="O46" i="32"/>
  <c r="K46" i="32"/>
  <c r="BV12" i="36" l="1"/>
  <c r="BW11" i="36"/>
  <c r="CU11" i="36"/>
  <c r="BN12" i="36"/>
  <c r="CO12" i="36"/>
  <c r="BW12" i="36"/>
  <c r="CQ12" i="36"/>
  <c r="BX12" i="36"/>
  <c r="CR12" i="36"/>
  <c r="BX11" i="36"/>
  <c r="CR11" i="36"/>
  <c r="BY12" i="36"/>
  <c r="CS12" i="36"/>
  <c r="BY11" i="36"/>
  <c r="CS11" i="36"/>
  <c r="CU12" i="36"/>
  <c r="BV11" i="36"/>
  <c r="CP11" i="36"/>
  <c r="BN11" i="36"/>
  <c r="CO11" i="36"/>
  <c r="BH11" i="36"/>
  <c r="CC11" i="36" s="1"/>
  <c r="CB10" i="36"/>
  <c r="AP11" i="36"/>
  <c r="BH12" i="36"/>
  <c r="CC12" i="36" s="1"/>
  <c r="AP12" i="36"/>
  <c r="AC46" i="32"/>
  <c r="AL47" i="32"/>
  <c r="T46" i="32"/>
  <c r="BZ12" i="36" l="1"/>
  <c r="CV11" i="36"/>
  <c r="CV12" i="36"/>
  <c r="BZ11" i="36"/>
  <c r="AO46" i="32"/>
  <c r="AO47" i="32"/>
  <c r="AF46" i="32"/>
  <c r="CA12" i="36" l="1"/>
  <c r="CA11" i="36"/>
  <c r="AE46" i="32"/>
  <c r="BI35" i="36" l="1"/>
  <c r="V21" i="36"/>
  <c r="AP21" i="36" s="1"/>
  <c r="V22" i="36"/>
  <c r="AP22" i="36" s="1"/>
  <c r="V23" i="36"/>
  <c r="AP23" i="36" s="1"/>
  <c r="V24" i="36"/>
  <c r="AP24" i="36" s="1"/>
  <c r="V25" i="36"/>
  <c r="AP25" i="36" s="1"/>
  <c r="V26" i="36"/>
  <c r="AP26" i="36" s="1"/>
  <c r="V27" i="36"/>
  <c r="AP27" i="36" s="1"/>
  <c r="V28" i="36"/>
  <c r="AP28" i="36" s="1"/>
  <c r="V29" i="36"/>
  <c r="AP29" i="36" s="1"/>
  <c r="V30" i="36"/>
  <c r="AP30" i="36" s="1"/>
  <c r="V31" i="36"/>
  <c r="AP31" i="36" s="1"/>
  <c r="V32" i="36"/>
  <c r="AP32" i="36" s="1"/>
  <c r="V33" i="36"/>
  <c r="AP33" i="36" s="1"/>
  <c r="V34" i="36"/>
  <c r="AP34" i="36" s="1"/>
  <c r="V20" i="36"/>
  <c r="AP20" i="36" s="1"/>
  <c r="AF27" i="18"/>
  <c r="AF32" i="38"/>
  <c r="AG18" i="20"/>
  <c r="AT11" i="20"/>
  <c r="AT18" i="20" l="1"/>
  <c r="AG18" i="18"/>
  <c r="BH7" i="18"/>
  <c r="BH5" i="18"/>
  <c r="BH6" i="18"/>
  <c r="AG50" i="18"/>
  <c r="AT50" i="18" s="1"/>
  <c r="AG93" i="20"/>
  <c r="AG113" i="20"/>
  <c r="Q109" i="20"/>
  <c r="AF109" i="20" s="1"/>
  <c r="AG109" i="20"/>
  <c r="AT109" i="20" s="1"/>
  <c r="BF109" i="20" s="1"/>
  <c r="AG106" i="20"/>
  <c r="AG100" i="20"/>
  <c r="BH8" i="18" l="1"/>
  <c r="AP35" i="36"/>
  <c r="AS109" i="20"/>
  <c r="BG109" i="20" s="1"/>
  <c r="BJ109" i="20"/>
  <c r="C44" i="32" l="1"/>
  <c r="C36" i="32"/>
  <c r="C22" i="32"/>
  <c r="S30" i="32"/>
  <c r="J30" i="32"/>
  <c r="BH88" i="20"/>
  <c r="BH89" i="20"/>
  <c r="BH90" i="20"/>
  <c r="BH91" i="20"/>
  <c r="BH92" i="20"/>
  <c r="BH93" i="20"/>
  <c r="BH94" i="20"/>
  <c r="BH95" i="20"/>
  <c r="BH96" i="20"/>
  <c r="BH97" i="20"/>
  <c r="BH98" i="20"/>
  <c r="BH99" i="20"/>
  <c r="BH100" i="20"/>
  <c r="BH101" i="20"/>
  <c r="BH102" i="20"/>
  <c r="BH103" i="20"/>
  <c r="BH104" i="20"/>
  <c r="BH105" i="20"/>
  <c r="BH106" i="20"/>
  <c r="BH107" i="20"/>
  <c r="BH108" i="20"/>
  <c r="BH109" i="20"/>
  <c r="BI109" i="20" s="1"/>
  <c r="BH110" i="20"/>
  <c r="BH111" i="20"/>
  <c r="BH112" i="20"/>
  <c r="BH113" i="20"/>
  <c r="BH114" i="20"/>
  <c r="BH115" i="20"/>
  <c r="BH116" i="20"/>
  <c r="BH117" i="20"/>
  <c r="BH87" i="20"/>
  <c r="AR117" i="20"/>
  <c r="AQ117" i="20"/>
  <c r="AP117" i="20"/>
  <c r="AO117" i="20"/>
  <c r="BL117" i="20" s="1"/>
  <c r="AN117" i="20"/>
  <c r="AM117" i="20"/>
  <c r="AL117" i="20"/>
  <c r="AK117" i="20"/>
  <c r="AJ117" i="20"/>
  <c r="AI117" i="20"/>
  <c r="AH117" i="20"/>
  <c r="AU117" i="20" s="1"/>
  <c r="AG117" i="20"/>
  <c r="Q117" i="20"/>
  <c r="AR116" i="20"/>
  <c r="AQ116" i="20"/>
  <c r="AP116" i="20"/>
  <c r="AO116" i="20"/>
  <c r="BL116" i="20" s="1"/>
  <c r="AN116" i="20"/>
  <c r="AM116" i="20"/>
  <c r="AL116" i="20"/>
  <c r="AK116" i="20"/>
  <c r="AJ116" i="20"/>
  <c r="AI116" i="20"/>
  <c r="AH116" i="20"/>
  <c r="AU116" i="20" s="1"/>
  <c r="AG116" i="20"/>
  <c r="Q116" i="20"/>
  <c r="AR111" i="20"/>
  <c r="AQ111" i="20"/>
  <c r="AP111" i="20"/>
  <c r="AO111" i="20"/>
  <c r="BL111" i="20" s="1"/>
  <c r="AN111" i="20"/>
  <c r="AM111" i="20"/>
  <c r="AL111" i="20"/>
  <c r="AK111" i="20"/>
  <c r="AJ111" i="20"/>
  <c r="AI111" i="20"/>
  <c r="AH111" i="20"/>
  <c r="AU111" i="20" s="1"/>
  <c r="AG111" i="20"/>
  <c r="AT111" i="20" s="1"/>
  <c r="Q111" i="20"/>
  <c r="AR110" i="20"/>
  <c r="AQ110" i="20"/>
  <c r="AP110" i="20"/>
  <c r="AO110" i="20"/>
  <c r="BL110" i="20" s="1"/>
  <c r="AN110" i="20"/>
  <c r="AM110" i="20"/>
  <c r="AL110" i="20"/>
  <c r="AK110" i="20"/>
  <c r="AJ110" i="20"/>
  <c r="AI110" i="20"/>
  <c r="AH110" i="20"/>
  <c r="AU110" i="20" s="1"/>
  <c r="AG110" i="20"/>
  <c r="AT110" i="20" s="1"/>
  <c r="Q110" i="20"/>
  <c r="AR108" i="20"/>
  <c r="AQ108" i="20"/>
  <c r="AP108" i="20"/>
  <c r="AO108" i="20"/>
  <c r="BL108" i="20" s="1"/>
  <c r="AN108" i="20"/>
  <c r="AM108" i="20"/>
  <c r="AL108" i="20"/>
  <c r="AK108" i="20"/>
  <c r="AJ108" i="20"/>
  <c r="AI108" i="20"/>
  <c r="AH108" i="20"/>
  <c r="AU108" i="20" s="1"/>
  <c r="AG108" i="20"/>
  <c r="Q108" i="20"/>
  <c r="AR107" i="20"/>
  <c r="AQ107" i="20"/>
  <c r="AP107" i="20"/>
  <c r="AO107" i="20"/>
  <c r="BL107" i="20" s="1"/>
  <c r="AN107" i="20"/>
  <c r="AM107" i="20"/>
  <c r="AL107" i="20"/>
  <c r="AK107" i="20"/>
  <c r="AJ107" i="20"/>
  <c r="AI107" i="20"/>
  <c r="AH107" i="20"/>
  <c r="AU107" i="20" s="1"/>
  <c r="AG107" i="20"/>
  <c r="AT107" i="20" s="1"/>
  <c r="Q107" i="20"/>
  <c r="AT106" i="20"/>
  <c r="AR106" i="20"/>
  <c r="AQ106" i="20"/>
  <c r="AP106" i="20"/>
  <c r="AO106" i="20"/>
  <c r="BL106" i="20" s="1"/>
  <c r="AN106" i="20"/>
  <c r="AM106" i="20"/>
  <c r="AL106" i="20"/>
  <c r="AK106" i="20"/>
  <c r="AJ106" i="20"/>
  <c r="AI106" i="20"/>
  <c r="AH106" i="20"/>
  <c r="AU106" i="20" s="1"/>
  <c r="Q106" i="20"/>
  <c r="AR105" i="20"/>
  <c r="AQ105" i="20"/>
  <c r="AP105" i="20"/>
  <c r="AO105" i="20"/>
  <c r="BL105" i="20" s="1"/>
  <c r="AN105" i="20"/>
  <c r="AM105" i="20"/>
  <c r="AL105" i="20"/>
  <c r="AK105" i="20"/>
  <c r="AJ105" i="20"/>
  <c r="AI105" i="20"/>
  <c r="AH105" i="20"/>
  <c r="AU105" i="20" s="1"/>
  <c r="AG105" i="20"/>
  <c r="AT105" i="20" s="1"/>
  <c r="Q105" i="20"/>
  <c r="AF105" i="20" s="1"/>
  <c r="AR114" i="20"/>
  <c r="AQ114" i="20"/>
  <c r="AP114" i="20"/>
  <c r="AO114" i="20"/>
  <c r="BL114" i="20" s="1"/>
  <c r="AN114" i="20"/>
  <c r="AM114" i="20"/>
  <c r="AL114" i="20"/>
  <c r="AK114" i="20"/>
  <c r="AJ114" i="20"/>
  <c r="AI114" i="20"/>
  <c r="AH114" i="20"/>
  <c r="AU114" i="20" s="1"/>
  <c r="AG114" i="20"/>
  <c r="AT114" i="20" s="1"/>
  <c r="Q114" i="20"/>
  <c r="AR113" i="20"/>
  <c r="AQ113" i="20"/>
  <c r="AP113" i="20"/>
  <c r="AO113" i="20"/>
  <c r="BL113" i="20" s="1"/>
  <c r="AN113" i="20"/>
  <c r="AM113" i="20"/>
  <c r="AL113" i="20"/>
  <c r="AK113" i="20"/>
  <c r="AJ113" i="20"/>
  <c r="AI113" i="20"/>
  <c r="AH113" i="20"/>
  <c r="AU113" i="20" s="1"/>
  <c r="Q113" i="20"/>
  <c r="AR112" i="20"/>
  <c r="AQ112" i="20"/>
  <c r="AP112" i="20"/>
  <c r="AO112" i="20"/>
  <c r="BL112" i="20" s="1"/>
  <c r="AN112" i="20"/>
  <c r="AM112" i="20"/>
  <c r="AL112" i="20"/>
  <c r="AK112" i="20"/>
  <c r="AJ112" i="20"/>
  <c r="AI112" i="20"/>
  <c r="AH112" i="20"/>
  <c r="AU112" i="20" s="1"/>
  <c r="AG112" i="20"/>
  <c r="Q112" i="20"/>
  <c r="AF112" i="20" s="1"/>
  <c r="AR104" i="20"/>
  <c r="AQ104" i="20"/>
  <c r="AP104" i="20"/>
  <c r="AO104" i="20"/>
  <c r="BL104" i="20" s="1"/>
  <c r="AN104" i="20"/>
  <c r="AM104" i="20"/>
  <c r="AL104" i="20"/>
  <c r="AK104" i="20"/>
  <c r="AJ104" i="20"/>
  <c r="AI104" i="20"/>
  <c r="AH104" i="20"/>
  <c r="AU104" i="20" s="1"/>
  <c r="AG104" i="20"/>
  <c r="Q104" i="20"/>
  <c r="AF104" i="20" s="1"/>
  <c r="AR103" i="20"/>
  <c r="AQ103" i="20"/>
  <c r="AP103" i="20"/>
  <c r="AO103" i="20"/>
  <c r="BL103" i="20" s="1"/>
  <c r="AN103" i="20"/>
  <c r="AM103" i="20"/>
  <c r="AL103" i="20"/>
  <c r="AK103" i="20"/>
  <c r="AJ103" i="20"/>
  <c r="AI103" i="20"/>
  <c r="AH103" i="20"/>
  <c r="AU103" i="20" s="1"/>
  <c r="AG103" i="20"/>
  <c r="Q103" i="20"/>
  <c r="AF103" i="20" s="1"/>
  <c r="AR102" i="20"/>
  <c r="AQ102" i="20"/>
  <c r="AP102" i="20"/>
  <c r="AO102" i="20"/>
  <c r="BL102" i="20" s="1"/>
  <c r="AN102" i="20"/>
  <c r="AM102" i="20"/>
  <c r="AL102" i="20"/>
  <c r="AK102" i="20"/>
  <c r="AJ102" i="20"/>
  <c r="AI102" i="20"/>
  <c r="AH102" i="20"/>
  <c r="AU102" i="20" s="1"/>
  <c r="AG102" i="20"/>
  <c r="Q102" i="20"/>
  <c r="AF102" i="20" s="1"/>
  <c r="BE118" i="20"/>
  <c r="BV120" i="20" s="1"/>
  <c r="BD118" i="20"/>
  <c r="BU120" i="20" s="1"/>
  <c r="BC118" i="20"/>
  <c r="BT120" i="20" s="1"/>
  <c r="BB118" i="20"/>
  <c r="BS120" i="20" s="1"/>
  <c r="BA118" i="20"/>
  <c r="BR120" i="20" s="1"/>
  <c r="AZ118" i="20"/>
  <c r="BQ120" i="20" s="1"/>
  <c r="AY118" i="20"/>
  <c r="BP120" i="20" s="1"/>
  <c r="AX118" i="20"/>
  <c r="AR115" i="20"/>
  <c r="AQ115" i="20"/>
  <c r="AP115" i="20"/>
  <c r="AO115" i="20"/>
  <c r="BL115" i="20" s="1"/>
  <c r="AN115" i="20"/>
  <c r="AM115" i="20"/>
  <c r="AL115" i="20"/>
  <c r="AK115" i="20"/>
  <c r="AJ115" i="20"/>
  <c r="AI115" i="20"/>
  <c r="AH115" i="20"/>
  <c r="AU115" i="20" s="1"/>
  <c r="AG115" i="20"/>
  <c r="AT115" i="20" s="1"/>
  <c r="Q115" i="20"/>
  <c r="AR101" i="20"/>
  <c r="AQ101" i="20"/>
  <c r="AP101" i="20"/>
  <c r="AO101" i="20"/>
  <c r="BL101" i="20" s="1"/>
  <c r="AN101" i="20"/>
  <c r="AM101" i="20"/>
  <c r="AL101" i="20"/>
  <c r="AK101" i="20"/>
  <c r="AJ101" i="20"/>
  <c r="AI101" i="20"/>
  <c r="AH101" i="20"/>
  <c r="AU101" i="20" s="1"/>
  <c r="AG101" i="20"/>
  <c r="AT101" i="20" s="1"/>
  <c r="Q101" i="20"/>
  <c r="AT100" i="20"/>
  <c r="AR100" i="20"/>
  <c r="AQ100" i="20"/>
  <c r="AP100" i="20"/>
  <c r="AO100" i="20"/>
  <c r="BL100" i="20" s="1"/>
  <c r="AN100" i="20"/>
  <c r="AM100" i="20"/>
  <c r="AL100" i="20"/>
  <c r="AK100" i="20"/>
  <c r="AJ100" i="20"/>
  <c r="AI100" i="20"/>
  <c r="AH100" i="20"/>
  <c r="AU100" i="20" s="1"/>
  <c r="Q100" i="20"/>
  <c r="AF100" i="20" s="1"/>
  <c r="AR99" i="20"/>
  <c r="AQ99" i="20"/>
  <c r="AP99" i="20"/>
  <c r="AO99" i="20"/>
  <c r="BL99" i="20" s="1"/>
  <c r="AN99" i="20"/>
  <c r="AM99" i="20"/>
  <c r="AL99" i="20"/>
  <c r="AK99" i="20"/>
  <c r="AJ99" i="20"/>
  <c r="AI99" i="20"/>
  <c r="AH99" i="20"/>
  <c r="AU99" i="20" s="1"/>
  <c r="AG99" i="20"/>
  <c r="AT99" i="20" s="1"/>
  <c r="Q99" i="20"/>
  <c r="AF99" i="20" s="1"/>
  <c r="AR98" i="20"/>
  <c r="AQ98" i="20"/>
  <c r="AP98" i="20"/>
  <c r="AO98" i="20"/>
  <c r="BL98" i="20" s="1"/>
  <c r="AN98" i="20"/>
  <c r="AM98" i="20"/>
  <c r="AL98" i="20"/>
  <c r="AK98" i="20"/>
  <c r="AJ98" i="20"/>
  <c r="AI98" i="20"/>
  <c r="AH98" i="20"/>
  <c r="AU98" i="20" s="1"/>
  <c r="AG98" i="20"/>
  <c r="AT98" i="20" s="1"/>
  <c r="Q98" i="20"/>
  <c r="AF98" i="20" s="1"/>
  <c r="AR97" i="20"/>
  <c r="AQ97" i="20"/>
  <c r="AP97" i="20"/>
  <c r="AO97" i="20"/>
  <c r="BL97" i="20" s="1"/>
  <c r="AN97" i="20"/>
  <c r="AM97" i="20"/>
  <c r="AL97" i="20"/>
  <c r="AK97" i="20"/>
  <c r="AJ97" i="20"/>
  <c r="AI97" i="20"/>
  <c r="AH97" i="20"/>
  <c r="AU97" i="20" s="1"/>
  <c r="AG97" i="20"/>
  <c r="AT97" i="20" s="1"/>
  <c r="Q97" i="20"/>
  <c r="AF97" i="20" s="1"/>
  <c r="AR96" i="20"/>
  <c r="AQ96" i="20"/>
  <c r="AP96" i="20"/>
  <c r="AO96" i="20"/>
  <c r="BL96" i="20" s="1"/>
  <c r="AN96" i="20"/>
  <c r="AM96" i="20"/>
  <c r="AL96" i="20"/>
  <c r="AK96" i="20"/>
  <c r="AJ96" i="20"/>
  <c r="AI96" i="20"/>
  <c r="AH96" i="20"/>
  <c r="AU96" i="20" s="1"/>
  <c r="AG96" i="20"/>
  <c r="AT96" i="20" s="1"/>
  <c r="Q96" i="20"/>
  <c r="AF96" i="20" s="1"/>
  <c r="AR95" i="20"/>
  <c r="AQ95" i="20"/>
  <c r="AP95" i="20"/>
  <c r="AO95" i="20"/>
  <c r="BL95" i="20" s="1"/>
  <c r="AN95" i="20"/>
  <c r="AM95" i="20"/>
  <c r="AL95" i="20"/>
  <c r="AK95" i="20"/>
  <c r="AJ95" i="20"/>
  <c r="AI95" i="20"/>
  <c r="AH95" i="20"/>
  <c r="AU95" i="20" s="1"/>
  <c r="AG95" i="20"/>
  <c r="AT95" i="20" s="1"/>
  <c r="Q95" i="20"/>
  <c r="AF95" i="20" s="1"/>
  <c r="AR94" i="20"/>
  <c r="AQ94" i="20"/>
  <c r="AP94" i="20"/>
  <c r="AO94" i="20"/>
  <c r="BL94" i="20" s="1"/>
  <c r="AN94" i="20"/>
  <c r="AM94" i="20"/>
  <c r="AL94" i="20"/>
  <c r="AK94" i="20"/>
  <c r="AJ94" i="20"/>
  <c r="AI94" i="20"/>
  <c r="AH94" i="20"/>
  <c r="AU94" i="20" s="1"/>
  <c r="AG94" i="20"/>
  <c r="AT94" i="20" s="1"/>
  <c r="Q94" i="20"/>
  <c r="AF94" i="20" s="1"/>
  <c r="AT93" i="20"/>
  <c r="AR93" i="20"/>
  <c r="AQ93" i="20"/>
  <c r="AP93" i="20"/>
  <c r="AO93" i="20"/>
  <c r="BL93" i="20" s="1"/>
  <c r="AN93" i="20"/>
  <c r="AM93" i="20"/>
  <c r="AL93" i="20"/>
  <c r="AK93" i="20"/>
  <c r="AJ93" i="20"/>
  <c r="AI93" i="20"/>
  <c r="AH93" i="20"/>
  <c r="AU93" i="20" s="1"/>
  <c r="Q93" i="20"/>
  <c r="AF93" i="20" s="1"/>
  <c r="AR92" i="20"/>
  <c r="AQ92" i="20"/>
  <c r="AP92" i="20"/>
  <c r="AO92" i="20"/>
  <c r="BL92" i="20" s="1"/>
  <c r="AN92" i="20"/>
  <c r="AM92" i="20"/>
  <c r="AL92" i="20"/>
  <c r="AK92" i="20"/>
  <c r="AJ92" i="20"/>
  <c r="AI92" i="20"/>
  <c r="AH92" i="20"/>
  <c r="AU92" i="20" s="1"/>
  <c r="AG92" i="20"/>
  <c r="AT92" i="20" s="1"/>
  <c r="Q92" i="20"/>
  <c r="AF92" i="20" s="1"/>
  <c r="AR91" i="20"/>
  <c r="AQ91" i="20"/>
  <c r="AP91" i="20"/>
  <c r="AO91" i="20"/>
  <c r="BL91" i="20" s="1"/>
  <c r="AN91" i="20"/>
  <c r="AM91" i="20"/>
  <c r="AL91" i="20"/>
  <c r="AK91" i="20"/>
  <c r="AJ91" i="20"/>
  <c r="AI91" i="20"/>
  <c r="AH91" i="20"/>
  <c r="AU91" i="20" s="1"/>
  <c r="AG91" i="20"/>
  <c r="AT91" i="20" s="1"/>
  <c r="Q91" i="20"/>
  <c r="AF91" i="20" s="1"/>
  <c r="AR90" i="20"/>
  <c r="AQ90" i="20"/>
  <c r="AP90" i="20"/>
  <c r="AO90" i="20"/>
  <c r="BL90" i="20" s="1"/>
  <c r="AN90" i="20"/>
  <c r="AM90" i="20"/>
  <c r="AL90" i="20"/>
  <c r="AK90" i="20"/>
  <c r="AJ90" i="20"/>
  <c r="AI90" i="20"/>
  <c r="AH90" i="20"/>
  <c r="AU90" i="20" s="1"/>
  <c r="AG90" i="20"/>
  <c r="AT90" i="20" s="1"/>
  <c r="Q90" i="20"/>
  <c r="AF90" i="20" s="1"/>
  <c r="AR89" i="20"/>
  <c r="AQ89" i="20"/>
  <c r="AP89" i="20"/>
  <c r="AO89" i="20"/>
  <c r="BL89" i="20" s="1"/>
  <c r="AN89" i="20"/>
  <c r="AM89" i="20"/>
  <c r="AL89" i="20"/>
  <c r="AK89" i="20"/>
  <c r="AJ89" i="20"/>
  <c r="AI89" i="20"/>
  <c r="AH89" i="20"/>
  <c r="AU89" i="20" s="1"/>
  <c r="AG89" i="20"/>
  <c r="AT89" i="20" s="1"/>
  <c r="Q89" i="20"/>
  <c r="AF89" i="20" s="1"/>
  <c r="AR88" i="20"/>
  <c r="AQ88" i="20"/>
  <c r="AP88" i="20"/>
  <c r="AO88" i="20"/>
  <c r="BL88" i="20" s="1"/>
  <c r="AN88" i="20"/>
  <c r="AM88" i="20"/>
  <c r="AL88" i="20"/>
  <c r="AK88" i="20"/>
  <c r="AJ88" i="20"/>
  <c r="AI88" i="20"/>
  <c r="AH88" i="20"/>
  <c r="AU88" i="20" s="1"/>
  <c r="AG88" i="20"/>
  <c r="AT88" i="20" s="1"/>
  <c r="Q88" i="20"/>
  <c r="AF88" i="20" s="1"/>
  <c r="AR87" i="20"/>
  <c r="AQ87" i="20"/>
  <c r="AP87" i="20"/>
  <c r="AO87" i="20"/>
  <c r="BL87" i="20" s="1"/>
  <c r="AN87" i="20"/>
  <c r="AM87" i="20"/>
  <c r="AL87" i="20"/>
  <c r="AK87" i="20"/>
  <c r="AJ87" i="20"/>
  <c r="AI87" i="20"/>
  <c r="AH87" i="20"/>
  <c r="AU87" i="20" s="1"/>
  <c r="AG87" i="20"/>
  <c r="AT87" i="20" s="1"/>
  <c r="Q87" i="20"/>
  <c r="AF87" i="20" s="1"/>
  <c r="AS83" i="20"/>
  <c r="AU83" i="20" s="1"/>
  <c r="CQ59" i="20"/>
  <c r="CT59" i="20" s="1"/>
  <c r="BH59" i="20"/>
  <c r="AR59" i="20"/>
  <c r="BE59" i="20" s="1"/>
  <c r="AQ59" i="20"/>
  <c r="BD59" i="20" s="1"/>
  <c r="AP59" i="20"/>
  <c r="BC59" i="20" s="1"/>
  <c r="AO59" i="20"/>
  <c r="BB59" i="20" s="1"/>
  <c r="AN59" i="20"/>
  <c r="BA59" i="20" s="1"/>
  <c r="AM59" i="20"/>
  <c r="AZ59" i="20" s="1"/>
  <c r="AL59" i="20"/>
  <c r="AY59" i="20" s="1"/>
  <c r="AK59" i="20"/>
  <c r="AX59" i="20" s="1"/>
  <c r="AJ59" i="20"/>
  <c r="AW59" i="20" s="1"/>
  <c r="AI59" i="20"/>
  <c r="AV59" i="20" s="1"/>
  <c r="AH59" i="20"/>
  <c r="BL59" i="20" s="1"/>
  <c r="BM59" i="20" s="1"/>
  <c r="BN59" i="20" s="1"/>
  <c r="AG59" i="20"/>
  <c r="Q59" i="20"/>
  <c r="AF59" i="20" s="1"/>
  <c r="BH55" i="20"/>
  <c r="AR55" i="20"/>
  <c r="BE55" i="20" s="1"/>
  <c r="AQ55" i="20"/>
  <c r="BD55" i="20" s="1"/>
  <c r="AP55" i="20"/>
  <c r="BC55" i="20" s="1"/>
  <c r="AO55" i="20"/>
  <c r="BB55" i="20" s="1"/>
  <c r="AN55" i="20"/>
  <c r="BA55" i="20" s="1"/>
  <c r="AM55" i="20"/>
  <c r="AZ55" i="20" s="1"/>
  <c r="AL55" i="20"/>
  <c r="AY55" i="20" s="1"/>
  <c r="AK55" i="20"/>
  <c r="AX55" i="20" s="1"/>
  <c r="AJ55" i="20"/>
  <c r="AW55" i="20" s="1"/>
  <c r="AI55" i="20"/>
  <c r="AV55" i="20" s="1"/>
  <c r="AH55" i="20"/>
  <c r="AT55" i="20"/>
  <c r="Q55" i="20"/>
  <c r="BH53" i="20"/>
  <c r="AR53" i="20"/>
  <c r="BE53" i="20" s="1"/>
  <c r="AQ53" i="20"/>
  <c r="BD53" i="20" s="1"/>
  <c r="AP53" i="20"/>
  <c r="BC53" i="20" s="1"/>
  <c r="AO53" i="20"/>
  <c r="BB53" i="20" s="1"/>
  <c r="AN53" i="20"/>
  <c r="BA53" i="20" s="1"/>
  <c r="AM53" i="20"/>
  <c r="AZ53" i="20" s="1"/>
  <c r="AL53" i="20"/>
  <c r="AY53" i="20" s="1"/>
  <c r="AK53" i="20"/>
  <c r="AX53" i="20" s="1"/>
  <c r="AJ53" i="20"/>
  <c r="AW53" i="20" s="1"/>
  <c r="AI53" i="20"/>
  <c r="AV53" i="20" s="1"/>
  <c r="AH53" i="20"/>
  <c r="AG53" i="20"/>
  <c r="Q53" i="20"/>
  <c r="BH79" i="20"/>
  <c r="AR79" i="20"/>
  <c r="AQ79" i="20"/>
  <c r="AP79" i="20"/>
  <c r="AO79" i="20"/>
  <c r="AN79" i="20"/>
  <c r="AM79" i="20"/>
  <c r="AL79" i="20"/>
  <c r="AY79" i="20" s="1"/>
  <c r="AK79" i="20"/>
  <c r="AX79" i="20" s="1"/>
  <c r="AJ79" i="20"/>
  <c r="AW79" i="20" s="1"/>
  <c r="AI79" i="20"/>
  <c r="AV79" i="20" s="1"/>
  <c r="AH79" i="20"/>
  <c r="AU79" i="20" s="1"/>
  <c r="AG79" i="20"/>
  <c r="AT79" i="20" s="1"/>
  <c r="Q79" i="20"/>
  <c r="AU53" i="20" l="1"/>
  <c r="BL53" i="20"/>
  <c r="BF59" i="20"/>
  <c r="AU55" i="20"/>
  <c r="BL55" i="20"/>
  <c r="BN55" i="20" s="1"/>
  <c r="BG59" i="20"/>
  <c r="AT53" i="20"/>
  <c r="BN53" i="20" s="1"/>
  <c r="AZ79" i="20"/>
  <c r="BQ79" i="20" s="1"/>
  <c r="BQ80" i="20" s="1"/>
  <c r="BE79" i="20"/>
  <c r="BE80" i="20" s="1"/>
  <c r="BU55" i="20"/>
  <c r="CG55" i="20" s="1"/>
  <c r="AT80" i="20"/>
  <c r="BB79" i="20"/>
  <c r="BB80" i="20" s="1"/>
  <c r="BL79" i="20"/>
  <c r="BL80" i="20" s="1"/>
  <c r="BU53" i="20"/>
  <c r="CG53" i="20" s="1"/>
  <c r="BT55" i="20"/>
  <c r="CF55" i="20" s="1"/>
  <c r="BR53" i="20"/>
  <c r="CD53" i="20" s="1"/>
  <c r="BV55" i="20"/>
  <c r="CH55" i="20" s="1"/>
  <c r="BA79" i="20"/>
  <c r="BT53" i="20"/>
  <c r="CF53" i="20" s="1"/>
  <c r="BC79" i="20"/>
  <c r="BT79" i="20" s="1"/>
  <c r="BV53" i="20"/>
  <c r="CH53" i="20" s="1"/>
  <c r="BL118" i="20"/>
  <c r="BD79" i="20"/>
  <c r="BU79" i="20" s="1"/>
  <c r="BU80" i="20" s="1"/>
  <c r="BS55" i="20"/>
  <c r="CE55" i="20" s="1"/>
  <c r="AV100" i="20"/>
  <c r="BQ53" i="20"/>
  <c r="CC53" i="20" s="1"/>
  <c r="AW114" i="20"/>
  <c r="AV106" i="20"/>
  <c r="CU59" i="20"/>
  <c r="CV59" i="20" s="1"/>
  <c r="AV89" i="20"/>
  <c r="AW110" i="20"/>
  <c r="BS53" i="20"/>
  <c r="CE53" i="20" s="1"/>
  <c r="BY55" i="20"/>
  <c r="CK55" i="20" s="1"/>
  <c r="AW89" i="20"/>
  <c r="AV94" i="20"/>
  <c r="AW97" i="20"/>
  <c r="AV115" i="20"/>
  <c r="AW104" i="20"/>
  <c r="AV113" i="20"/>
  <c r="AV116" i="20"/>
  <c r="AW112" i="20"/>
  <c r="AW107" i="20"/>
  <c r="BY79" i="20"/>
  <c r="BY80" i="20" s="1"/>
  <c r="AW92" i="20"/>
  <c r="AV97" i="20"/>
  <c r="BP55" i="20"/>
  <c r="AV91" i="20"/>
  <c r="AW94" i="20"/>
  <c r="AV99" i="20"/>
  <c r="AW115" i="20"/>
  <c r="AW113" i="20"/>
  <c r="AV108" i="20"/>
  <c r="AW116" i="20"/>
  <c r="BP53" i="20"/>
  <c r="AV114" i="20"/>
  <c r="AV92" i="20"/>
  <c r="AW100" i="20"/>
  <c r="AV88" i="20"/>
  <c r="AW91" i="20"/>
  <c r="AV93" i="20"/>
  <c r="AV96" i="20"/>
  <c r="AW99" i="20"/>
  <c r="AV103" i="20"/>
  <c r="AV105" i="20"/>
  <c r="AW108" i="20"/>
  <c r="AV95" i="20"/>
  <c r="AV102" i="20"/>
  <c r="AW95" i="20"/>
  <c r="BR55" i="20"/>
  <c r="CD55" i="20" s="1"/>
  <c r="AW88" i="20"/>
  <c r="AW93" i="20"/>
  <c r="AW96" i="20"/>
  <c r="AV101" i="20"/>
  <c r="AW103" i="20"/>
  <c r="AW105" i="20"/>
  <c r="AV111" i="20"/>
  <c r="AV87" i="20"/>
  <c r="AW90" i="20"/>
  <c r="AW98" i="20"/>
  <c r="AV117" i="20"/>
  <c r="AW87" i="20"/>
  <c r="AW102" i="20"/>
  <c r="AV110" i="20"/>
  <c r="AW117" i="20"/>
  <c r="BP79" i="20"/>
  <c r="BP80" i="20" s="1"/>
  <c r="AV104" i="20"/>
  <c r="AW106" i="20"/>
  <c r="BY53" i="20"/>
  <c r="CK53" i="20" s="1"/>
  <c r="AV90" i="20"/>
  <c r="AV98" i="20"/>
  <c r="AW101" i="20"/>
  <c r="AV112" i="20"/>
  <c r="AV107" i="20"/>
  <c r="AW111" i="20"/>
  <c r="BJ117" i="20"/>
  <c r="AF117" i="20"/>
  <c r="BJ110" i="20"/>
  <c r="AF110" i="20"/>
  <c r="BJ115" i="20"/>
  <c r="AF115" i="20"/>
  <c r="BJ116" i="20"/>
  <c r="AF116" i="20"/>
  <c r="BJ106" i="20"/>
  <c r="AF106" i="20"/>
  <c r="BJ113" i="20"/>
  <c r="AF113" i="20"/>
  <c r="BJ108" i="20"/>
  <c r="AF108" i="20"/>
  <c r="BJ114" i="20"/>
  <c r="AF114" i="20"/>
  <c r="BJ101" i="20"/>
  <c r="AF101" i="20"/>
  <c r="BJ111" i="20"/>
  <c r="AF111" i="20"/>
  <c r="BJ107" i="20"/>
  <c r="AF107" i="20"/>
  <c r="BJ79" i="20"/>
  <c r="AF79" i="20"/>
  <c r="AF80" i="20" s="1"/>
  <c r="BJ55" i="20"/>
  <c r="CA55" i="20" s="1"/>
  <c r="CM55" i="20" s="1"/>
  <c r="AF55" i="20"/>
  <c r="BJ53" i="20"/>
  <c r="CA53" i="20" s="1"/>
  <c r="CM53" i="20" s="1"/>
  <c r="AF53" i="20"/>
  <c r="AG118" i="20"/>
  <c r="AT108" i="20"/>
  <c r="AS108" i="20"/>
  <c r="BH118" i="20"/>
  <c r="AS106" i="20"/>
  <c r="AS105" i="20"/>
  <c r="BJ105" i="20"/>
  <c r="AS116" i="20"/>
  <c r="AS117" i="20"/>
  <c r="AS102" i="20"/>
  <c r="AS103" i="20"/>
  <c r="AS104" i="20"/>
  <c r="AS112" i="20"/>
  <c r="AS113" i="20"/>
  <c r="AS107" i="20"/>
  <c r="AS110" i="20"/>
  <c r="AS111" i="20"/>
  <c r="AT102" i="20"/>
  <c r="BJ102" i="20"/>
  <c r="AT103" i="20"/>
  <c r="BJ103" i="20"/>
  <c r="AT104" i="20"/>
  <c r="BJ104" i="20"/>
  <c r="AT112" i="20"/>
  <c r="BJ112" i="20"/>
  <c r="AL80" i="20"/>
  <c r="AH118" i="20"/>
  <c r="AP118" i="20"/>
  <c r="AS114" i="20"/>
  <c r="AS95" i="20"/>
  <c r="AJ118" i="20"/>
  <c r="AR118" i="20"/>
  <c r="AL118" i="20"/>
  <c r="AY120" i="20" s="1"/>
  <c r="BJ87" i="20"/>
  <c r="BJ88" i="20"/>
  <c r="BJ89" i="20"/>
  <c r="BJ90" i="20"/>
  <c r="BJ91" i="20"/>
  <c r="BJ92" i="20"/>
  <c r="AS99" i="20"/>
  <c r="AM118" i="20"/>
  <c r="AS98" i="20"/>
  <c r="BJ100" i="20"/>
  <c r="AN118" i="20"/>
  <c r="AS87" i="20"/>
  <c r="AS88" i="20"/>
  <c r="AS89" i="20"/>
  <c r="AS90" i="20"/>
  <c r="AS91" i="20"/>
  <c r="AS92" i="20"/>
  <c r="AS97" i="20"/>
  <c r="AO118" i="20"/>
  <c r="AU118" i="20"/>
  <c r="AS96" i="20"/>
  <c r="AI118" i="20"/>
  <c r="AQ118" i="20"/>
  <c r="AK118" i="20"/>
  <c r="AX120" i="20" s="1"/>
  <c r="AS94" i="20"/>
  <c r="AV83" i="20"/>
  <c r="AW83" i="20"/>
  <c r="AS100" i="20"/>
  <c r="AS101" i="20"/>
  <c r="AS115" i="20"/>
  <c r="AS93" i="20"/>
  <c r="BJ93" i="20"/>
  <c r="BJ94" i="20"/>
  <c r="BJ95" i="20"/>
  <c r="BJ96" i="20"/>
  <c r="BJ97" i="20"/>
  <c r="BJ98" i="20"/>
  <c r="BJ99" i="20"/>
  <c r="AT83" i="20"/>
  <c r="BJ59" i="20"/>
  <c r="AS59" i="20"/>
  <c r="AK80" i="20"/>
  <c r="AS55" i="20"/>
  <c r="BI55" i="20" s="1"/>
  <c r="AJ80" i="20"/>
  <c r="AR80" i="20"/>
  <c r="AS53" i="20"/>
  <c r="BI53" i="20" s="1"/>
  <c r="AI80" i="20"/>
  <c r="AQ80" i="20"/>
  <c r="AW80" i="20"/>
  <c r="AX80" i="20"/>
  <c r="AS79" i="20"/>
  <c r="AY80" i="20"/>
  <c r="AV80" i="20"/>
  <c r="AU80" i="20"/>
  <c r="AN80" i="20"/>
  <c r="AG80" i="20"/>
  <c r="AO80" i="20"/>
  <c r="AH80" i="20"/>
  <c r="AP80" i="20"/>
  <c r="AM80" i="20"/>
  <c r="BE34" i="20"/>
  <c r="BV36" i="20" s="1"/>
  <c r="BD34" i="20"/>
  <c r="BU36" i="20" s="1"/>
  <c r="BC34" i="20"/>
  <c r="BT36" i="20" s="1"/>
  <c r="BB34" i="20"/>
  <c r="BS36" i="20" s="1"/>
  <c r="BA34" i="20"/>
  <c r="BR36" i="20" s="1"/>
  <c r="AZ34" i="20"/>
  <c r="BQ36" i="20" s="1"/>
  <c r="AY34" i="20"/>
  <c r="BP36" i="20" s="1"/>
  <c r="AX34" i="20"/>
  <c r="BH33" i="20"/>
  <c r="AR33" i="20"/>
  <c r="AQ33" i="20"/>
  <c r="AP33" i="20"/>
  <c r="AO33" i="20"/>
  <c r="AN33" i="20"/>
  <c r="AM33" i="20"/>
  <c r="AL33" i="20"/>
  <c r="AK33" i="20"/>
  <c r="AJ33" i="20"/>
  <c r="AI33" i="20"/>
  <c r="AH33" i="20"/>
  <c r="AG33" i="20"/>
  <c r="BF33" i="20" s="1"/>
  <c r="Q33" i="20"/>
  <c r="BH32" i="20"/>
  <c r="AR32" i="20"/>
  <c r="AQ32" i="20"/>
  <c r="AP32" i="20"/>
  <c r="AO32" i="20"/>
  <c r="AN32" i="20"/>
  <c r="AM32" i="20"/>
  <c r="AL32" i="20"/>
  <c r="AK32" i="20"/>
  <c r="AJ32" i="20"/>
  <c r="AI32" i="20"/>
  <c r="AH32" i="20"/>
  <c r="AG32" i="20"/>
  <c r="Q32" i="20"/>
  <c r="BH31" i="20"/>
  <c r="AR31" i="20"/>
  <c r="AQ31" i="20"/>
  <c r="AP31" i="20"/>
  <c r="AO31" i="20"/>
  <c r="AN31" i="20"/>
  <c r="AM31" i="20"/>
  <c r="AL31" i="20"/>
  <c r="AK31" i="20"/>
  <c r="AJ31" i="20"/>
  <c r="AI31" i="20"/>
  <c r="AH31" i="20"/>
  <c r="AG31" i="20"/>
  <c r="Q31" i="20"/>
  <c r="BH30" i="20"/>
  <c r="AR30" i="20"/>
  <c r="AQ30" i="20"/>
  <c r="AP30" i="20"/>
  <c r="AO30" i="20"/>
  <c r="AN30" i="20"/>
  <c r="AM30" i="20"/>
  <c r="AL30" i="20"/>
  <c r="AK30" i="20"/>
  <c r="AJ30" i="20"/>
  <c r="AI30" i="20"/>
  <c r="AH30" i="20"/>
  <c r="AG30" i="20"/>
  <c r="BF30" i="20" s="1"/>
  <c r="Q30" i="20"/>
  <c r="AR20" i="20"/>
  <c r="CA20" i="20" s="1"/>
  <c r="AQ20" i="20"/>
  <c r="BZ20" i="20" s="1"/>
  <c r="AP20" i="20"/>
  <c r="BY20" i="20" s="1"/>
  <c r="AO20" i="20"/>
  <c r="BX20" i="20" s="1"/>
  <c r="AN20" i="20"/>
  <c r="BW20" i="20" s="1"/>
  <c r="AM20" i="20"/>
  <c r="BV20" i="20" s="1"/>
  <c r="AL20" i="20"/>
  <c r="BU20" i="20" s="1"/>
  <c r="AK20" i="20"/>
  <c r="BT20" i="20" s="1"/>
  <c r="AJ20" i="20"/>
  <c r="AI20" i="20"/>
  <c r="AH20" i="20"/>
  <c r="AU20" i="20" s="1"/>
  <c r="AG20" i="20"/>
  <c r="Q20" i="20"/>
  <c r="AF20" i="20" s="1"/>
  <c r="AR19" i="20"/>
  <c r="CA19" i="20" s="1"/>
  <c r="AQ19" i="20"/>
  <c r="BZ19" i="20" s="1"/>
  <c r="AP19" i="20"/>
  <c r="BY19" i="20" s="1"/>
  <c r="AO19" i="20"/>
  <c r="BX19" i="20" s="1"/>
  <c r="AN19" i="20"/>
  <c r="BW19" i="20" s="1"/>
  <c r="AM19" i="20"/>
  <c r="BV19" i="20" s="1"/>
  <c r="AL19" i="20"/>
  <c r="BU19" i="20" s="1"/>
  <c r="AK19" i="20"/>
  <c r="BT19" i="20" s="1"/>
  <c r="AJ19" i="20"/>
  <c r="AI19" i="20"/>
  <c r="AH19" i="20"/>
  <c r="AU19" i="20" s="1"/>
  <c r="AG19" i="20"/>
  <c r="Q19" i="20"/>
  <c r="AF19" i="20" s="1"/>
  <c r="AR18" i="20"/>
  <c r="CA18" i="20" s="1"/>
  <c r="AQ18" i="20"/>
  <c r="BZ18" i="20" s="1"/>
  <c r="AP18" i="20"/>
  <c r="BY18" i="20" s="1"/>
  <c r="AO18" i="20"/>
  <c r="BX18" i="20" s="1"/>
  <c r="AN18" i="20"/>
  <c r="BW18" i="20" s="1"/>
  <c r="AM18" i="20"/>
  <c r="BV18" i="20" s="1"/>
  <c r="AL18" i="20"/>
  <c r="BU18" i="20" s="1"/>
  <c r="AK18" i="20"/>
  <c r="BT18" i="20" s="1"/>
  <c r="AJ18" i="20"/>
  <c r="AI18" i="20"/>
  <c r="AH18" i="20"/>
  <c r="Q18" i="20"/>
  <c r="AF18" i="20" s="1"/>
  <c r="AR17" i="20"/>
  <c r="CA17" i="20" s="1"/>
  <c r="AQ17" i="20"/>
  <c r="BZ17" i="20" s="1"/>
  <c r="AP17" i="20"/>
  <c r="BY17" i="20" s="1"/>
  <c r="AO17" i="20"/>
  <c r="BX17" i="20" s="1"/>
  <c r="AN17" i="20"/>
  <c r="BW17" i="20" s="1"/>
  <c r="AM17" i="20"/>
  <c r="BV17" i="20" s="1"/>
  <c r="AL17" i="20"/>
  <c r="BU17" i="20" s="1"/>
  <c r="AK17" i="20"/>
  <c r="AJ17" i="20"/>
  <c r="AI17" i="20"/>
  <c r="AH17" i="20"/>
  <c r="AU17" i="20" s="1"/>
  <c r="AG17" i="20"/>
  <c r="Q17" i="20"/>
  <c r="AF17" i="20" s="1"/>
  <c r="AR16" i="20"/>
  <c r="CA16" i="20" s="1"/>
  <c r="AQ16" i="20"/>
  <c r="BZ16" i="20" s="1"/>
  <c r="AP16" i="20"/>
  <c r="BY16" i="20" s="1"/>
  <c r="AO16" i="20"/>
  <c r="BX16" i="20" s="1"/>
  <c r="AN16" i="20"/>
  <c r="BW16" i="20" s="1"/>
  <c r="AM16" i="20"/>
  <c r="BV16" i="20" s="1"/>
  <c r="AL16" i="20"/>
  <c r="BU16" i="20" s="1"/>
  <c r="AK16" i="20"/>
  <c r="BT16" i="20" s="1"/>
  <c r="AJ16" i="20"/>
  <c r="AI16" i="20"/>
  <c r="AH16" i="20"/>
  <c r="AU16" i="20" s="1"/>
  <c r="AG16" i="20"/>
  <c r="Q16" i="20"/>
  <c r="AF16" i="20" s="1"/>
  <c r="AR15" i="20"/>
  <c r="CA15" i="20" s="1"/>
  <c r="AQ15" i="20"/>
  <c r="BZ15" i="20" s="1"/>
  <c r="AP15" i="20"/>
  <c r="BY15" i="20" s="1"/>
  <c r="AO15" i="20"/>
  <c r="BX15" i="20" s="1"/>
  <c r="AN15" i="20"/>
  <c r="BW15" i="20" s="1"/>
  <c r="AM15" i="20"/>
  <c r="BV15" i="20" s="1"/>
  <c r="AL15" i="20"/>
  <c r="AK15" i="20"/>
  <c r="AJ15" i="20"/>
  <c r="AW15" i="20" s="1"/>
  <c r="AI15" i="20"/>
  <c r="AH15" i="20"/>
  <c r="AU15" i="20" s="1"/>
  <c r="AG15" i="20"/>
  <c r="Q15" i="20"/>
  <c r="AF15" i="20" s="1"/>
  <c r="AR14" i="20"/>
  <c r="CA14" i="20" s="1"/>
  <c r="AQ14" i="20"/>
  <c r="BZ14" i="20" s="1"/>
  <c r="AP14" i="20"/>
  <c r="BY14" i="20" s="1"/>
  <c r="AO14" i="20"/>
  <c r="BX14" i="20" s="1"/>
  <c r="AN14" i="20"/>
  <c r="BW14" i="20" s="1"/>
  <c r="AM14" i="20"/>
  <c r="BV14" i="20" s="1"/>
  <c r="AL14" i="20"/>
  <c r="BU14" i="20" s="1"/>
  <c r="AK14" i="20"/>
  <c r="BT14" i="20" s="1"/>
  <c r="AJ14" i="20"/>
  <c r="AI14" i="20"/>
  <c r="AH14" i="20"/>
  <c r="AU14" i="20" s="1"/>
  <c r="AG14" i="20"/>
  <c r="Q14" i="20"/>
  <c r="AF14" i="20" s="1"/>
  <c r="Q21" i="20"/>
  <c r="AF21" i="20" s="1"/>
  <c r="AG21" i="20"/>
  <c r="AH21" i="20"/>
  <c r="AI21" i="20"/>
  <c r="AJ21" i="20"/>
  <c r="BS21" i="20" s="1"/>
  <c r="AK21" i="20"/>
  <c r="BT21" i="20" s="1"/>
  <c r="AL21" i="20"/>
  <c r="BU21" i="20" s="1"/>
  <c r="AM21" i="20"/>
  <c r="BV21" i="20" s="1"/>
  <c r="AN21" i="20"/>
  <c r="BW21" i="20" s="1"/>
  <c r="AO21" i="20"/>
  <c r="BX21" i="20" s="1"/>
  <c r="AP21" i="20"/>
  <c r="BY21" i="20" s="1"/>
  <c r="AQ21" i="20"/>
  <c r="BZ21" i="20" s="1"/>
  <c r="AR21" i="20"/>
  <c r="CA21" i="20" s="1"/>
  <c r="AR13" i="20"/>
  <c r="CA13" i="20" s="1"/>
  <c r="AQ13" i="20"/>
  <c r="BZ13" i="20" s="1"/>
  <c r="AP13" i="20"/>
  <c r="BY13" i="20" s="1"/>
  <c r="AO13" i="20"/>
  <c r="BX13" i="20" s="1"/>
  <c r="AN13" i="20"/>
  <c r="BW13" i="20" s="1"/>
  <c r="AM13" i="20"/>
  <c r="BV13" i="20" s="1"/>
  <c r="AL13" i="20"/>
  <c r="BU13" i="20" s="1"/>
  <c r="AK13" i="20"/>
  <c r="AJ13" i="20"/>
  <c r="AI13" i="20"/>
  <c r="AH13" i="20"/>
  <c r="AU13" i="20" s="1"/>
  <c r="AG13" i="20"/>
  <c r="Q13" i="20"/>
  <c r="AF13" i="20" s="1"/>
  <c r="AT118" i="20" l="1"/>
  <c r="AS13" i="20"/>
  <c r="BG53" i="20"/>
  <c r="AH35" i="20"/>
  <c r="AT19" i="20"/>
  <c r="AS19" i="20"/>
  <c r="AT25" i="20" s="1"/>
  <c r="BF25" i="20" s="1"/>
  <c r="AT16" i="20"/>
  <c r="BF16" i="20" s="1"/>
  <c r="AS16" i="20"/>
  <c r="AU18" i="20"/>
  <c r="AS18" i="20"/>
  <c r="AT21" i="20"/>
  <c r="BF21" i="20" s="1"/>
  <c r="AS21" i="20"/>
  <c r="BG21" i="20" s="1"/>
  <c r="AT15" i="20"/>
  <c r="AS15" i="20"/>
  <c r="BI15" i="20" s="1"/>
  <c r="AT20" i="20"/>
  <c r="AS20" i="20"/>
  <c r="AT14" i="20"/>
  <c r="AS14" i="20"/>
  <c r="BU15" i="20"/>
  <c r="AY15" i="20"/>
  <c r="AY23" i="20" s="1"/>
  <c r="AT13" i="20"/>
  <c r="AZ80" i="20"/>
  <c r="BQ82" i="20" s="1"/>
  <c r="AT17" i="20"/>
  <c r="AS17" i="20"/>
  <c r="BI59" i="20"/>
  <c r="BL18" i="20"/>
  <c r="BN18" i="20" s="1"/>
  <c r="BT15" i="20"/>
  <c r="AX15" i="20"/>
  <c r="BS20" i="20"/>
  <c r="AW20" i="20"/>
  <c r="BF31" i="20"/>
  <c r="BS19" i="20"/>
  <c r="AW19" i="20"/>
  <c r="BS15" i="20"/>
  <c r="BS17" i="20"/>
  <c r="AW17" i="20"/>
  <c r="BT13" i="20"/>
  <c r="AX13" i="20"/>
  <c r="BT17" i="20"/>
  <c r="BS13" i="20"/>
  <c r="AW13" i="20"/>
  <c r="BL13" i="20" s="1"/>
  <c r="BN13" i="20" s="1"/>
  <c r="AW14" i="20"/>
  <c r="BL14" i="20" s="1"/>
  <c r="BN14" i="20" s="1"/>
  <c r="BS14" i="20"/>
  <c r="BS18" i="20"/>
  <c r="BS16" i="20"/>
  <c r="BL16" i="20" s="1"/>
  <c r="BN16" i="20" s="1"/>
  <c r="BV79" i="20"/>
  <c r="BV80" i="20" s="1"/>
  <c r="BV82" i="20" s="1"/>
  <c r="BR19" i="20"/>
  <c r="BR13" i="20"/>
  <c r="BR15" i="20"/>
  <c r="BR14" i="20"/>
  <c r="BR21" i="20"/>
  <c r="CB21" i="20" s="1"/>
  <c r="BR20" i="20"/>
  <c r="BR17" i="20"/>
  <c r="BR16" i="20"/>
  <c r="BR18" i="20"/>
  <c r="BC80" i="20"/>
  <c r="BC82" i="20" s="1"/>
  <c r="BL82" i="20"/>
  <c r="BS79" i="20"/>
  <c r="BS80" i="20" s="1"/>
  <c r="BS82" i="20" s="1"/>
  <c r="BT80" i="20"/>
  <c r="CF79" i="20"/>
  <c r="CF80" i="20" s="1"/>
  <c r="BF116" i="20"/>
  <c r="BG116" i="20" s="1"/>
  <c r="BF55" i="20"/>
  <c r="BG55" i="20" s="1"/>
  <c r="BF92" i="20"/>
  <c r="BG92" i="20" s="1"/>
  <c r="BF79" i="20"/>
  <c r="BW79" i="20" s="1"/>
  <c r="BR79" i="20"/>
  <c r="BR80" i="20" s="1"/>
  <c r="BA80" i="20"/>
  <c r="BA82" i="20" s="1"/>
  <c r="BA120" i="20"/>
  <c r="BQ55" i="20"/>
  <c r="CC55" i="20" s="1"/>
  <c r="BB120" i="20"/>
  <c r="BL120" i="20"/>
  <c r="AZ120" i="20"/>
  <c r="BF53" i="20"/>
  <c r="BD120" i="20"/>
  <c r="BE120" i="20"/>
  <c r="BF114" i="20"/>
  <c r="BI114" i="20" s="1"/>
  <c r="BC120" i="20"/>
  <c r="BF93" i="20"/>
  <c r="BG93" i="20" s="1"/>
  <c r="BF108" i="20"/>
  <c r="BI108" i="20" s="1"/>
  <c r="BF95" i="20"/>
  <c r="BG95" i="20" s="1"/>
  <c r="BF115" i="20"/>
  <c r="BI115" i="20" s="1"/>
  <c r="BF97" i="20"/>
  <c r="BI97" i="20" s="1"/>
  <c r="BF100" i="20"/>
  <c r="BF96" i="20"/>
  <c r="BI96" i="20" s="1"/>
  <c r="BF103" i="20"/>
  <c r="BI103" i="20" s="1"/>
  <c r="BF107" i="20"/>
  <c r="BI107" i="20" s="1"/>
  <c r="BF106" i="20"/>
  <c r="BG106" i="20" s="1"/>
  <c r="CC79" i="20"/>
  <c r="CC80" i="20" s="1"/>
  <c r="CC82" i="20" s="1"/>
  <c r="BF111" i="20"/>
  <c r="BI111" i="20" s="1"/>
  <c r="BP82" i="20"/>
  <c r="BF91" i="20"/>
  <c r="BG91" i="20" s="1"/>
  <c r="BF117" i="20"/>
  <c r="BG117" i="20" s="1"/>
  <c r="BF99" i="20"/>
  <c r="BI99" i="20" s="1"/>
  <c r="BF94" i="20"/>
  <c r="BI94" i="20" s="1"/>
  <c r="AW118" i="20"/>
  <c r="BF105" i="20"/>
  <c r="BG105" i="20" s="1"/>
  <c r="BF113" i="20"/>
  <c r="BG113" i="20" s="1"/>
  <c r="CG79" i="20"/>
  <c r="CG80" i="20" s="1"/>
  <c r="CG82" i="20" s="1"/>
  <c r="AV118" i="20"/>
  <c r="BF89" i="20"/>
  <c r="BI89" i="20" s="1"/>
  <c r="BF90" i="20"/>
  <c r="BI90" i="20" s="1"/>
  <c r="BF98" i="20"/>
  <c r="BG98" i="20" s="1"/>
  <c r="BF110" i="20"/>
  <c r="BG110" i="20" s="1"/>
  <c r="BF101" i="20"/>
  <c r="BG101" i="20" s="1"/>
  <c r="BF87" i="20"/>
  <c r="BF88" i="20"/>
  <c r="BG88" i="20" s="1"/>
  <c r="CK79" i="20"/>
  <c r="CK80" i="20" s="1"/>
  <c r="CK82" i="20" s="1"/>
  <c r="BF102" i="20"/>
  <c r="BG102" i="20" s="1"/>
  <c r="BF112" i="20"/>
  <c r="BG112" i="20" s="1"/>
  <c r="BF104" i="20"/>
  <c r="BI104" i="20" s="1"/>
  <c r="H30" i="32"/>
  <c r="K30" i="32" s="1"/>
  <c r="BY120" i="20"/>
  <c r="BJ80" i="20"/>
  <c r="AG29" i="32" s="1"/>
  <c r="CA79" i="20"/>
  <c r="AF118" i="20"/>
  <c r="E29" i="32"/>
  <c r="BY82" i="20"/>
  <c r="BJ13" i="20"/>
  <c r="AS118" i="20"/>
  <c r="BJ18" i="20"/>
  <c r="BJ30" i="20"/>
  <c r="AF30" i="20"/>
  <c r="BJ20" i="20"/>
  <c r="BJ33" i="20"/>
  <c r="AF33" i="20"/>
  <c r="BJ31" i="20"/>
  <c r="AF31" i="20"/>
  <c r="BJ19" i="20"/>
  <c r="BJ32" i="20"/>
  <c r="AF32" i="20"/>
  <c r="AY82" i="20"/>
  <c r="AU120" i="20"/>
  <c r="AX82" i="20"/>
  <c r="BE82" i="20"/>
  <c r="AV82" i="20"/>
  <c r="AW82" i="20"/>
  <c r="BD80" i="20"/>
  <c r="AU82" i="20"/>
  <c r="BB82" i="20"/>
  <c r="AT82" i="20"/>
  <c r="AP34" i="20"/>
  <c r="AN34" i="20"/>
  <c r="AH34" i="20"/>
  <c r="BH34" i="20"/>
  <c r="AG34" i="20"/>
  <c r="AS30" i="20"/>
  <c r="BI30" i="20" s="1"/>
  <c r="AM34" i="20"/>
  <c r="AS32" i="20"/>
  <c r="AI34" i="20"/>
  <c r="AR34" i="20"/>
  <c r="BJ16" i="20"/>
  <c r="AK34" i="20"/>
  <c r="AS31" i="20"/>
  <c r="BF32" i="20"/>
  <c r="AL34" i="20"/>
  <c r="AO34" i="20"/>
  <c r="BL36" i="20" s="1"/>
  <c r="AQ34" i="20"/>
  <c r="AJ34" i="20"/>
  <c r="AV34" i="20"/>
  <c r="AW34" i="20"/>
  <c r="BJ21" i="20"/>
  <c r="AS33" i="20"/>
  <c r="BI33" i="20" s="1"/>
  <c r="BJ14" i="20"/>
  <c r="BJ17" i="20"/>
  <c r="BJ15" i="20"/>
  <c r="BF18" i="20"/>
  <c r="BF20" i="20" l="1"/>
  <c r="BG15" i="20"/>
  <c r="BG104" i="20"/>
  <c r="BG115" i="20"/>
  <c r="BG90" i="20"/>
  <c r="BF13" i="20"/>
  <c r="BG108" i="20"/>
  <c r="BG99" i="20"/>
  <c r="AX23" i="20"/>
  <c r="AZ82" i="20"/>
  <c r="BF19" i="20"/>
  <c r="BG107" i="20"/>
  <c r="BG114" i="20"/>
  <c r="BG89" i="20"/>
  <c r="BI100" i="20"/>
  <c r="BG100" i="20"/>
  <c r="BG94" i="20"/>
  <c r="BI87" i="20"/>
  <c r="BF118" i="20"/>
  <c r="BF15" i="20"/>
  <c r="BG103" i="20"/>
  <c r="BG119" i="20"/>
  <c r="BF17" i="20"/>
  <c r="BI17" i="20" s="1"/>
  <c r="BL15" i="20"/>
  <c r="BN15" i="20" s="1"/>
  <c r="BK15" i="20"/>
  <c r="BG111" i="20"/>
  <c r="BF14" i="20"/>
  <c r="BG96" i="20"/>
  <c r="BG97" i="20"/>
  <c r="BI31" i="20"/>
  <c r="CB16" i="20"/>
  <c r="CB20" i="20"/>
  <c r="CB19" i="20"/>
  <c r="CE79" i="20"/>
  <c r="CE80" i="20" s="1"/>
  <c r="CE82" i="20" s="1"/>
  <c r="CB15" i="20"/>
  <c r="CH79" i="20"/>
  <c r="CH80" i="20" s="1"/>
  <c r="CH82" i="20" s="1"/>
  <c r="CB13" i="20"/>
  <c r="CB18" i="20"/>
  <c r="BL17" i="20"/>
  <c r="BN17" i="20" s="1"/>
  <c r="BG13" i="20"/>
  <c r="BI13" i="20"/>
  <c r="BI14" i="20"/>
  <c r="BG14" i="20"/>
  <c r="CB14" i="20"/>
  <c r="BI79" i="20"/>
  <c r="CB17" i="20"/>
  <c r="BI116" i="20"/>
  <c r="BR82" i="20"/>
  <c r="CF82" i="20"/>
  <c r="CD79" i="20"/>
  <c r="CD80" i="20" s="1"/>
  <c r="CD82" i="20" s="1"/>
  <c r="BI95" i="20"/>
  <c r="BT82" i="20"/>
  <c r="BX53" i="20"/>
  <c r="CJ53" i="20" s="1"/>
  <c r="BG87" i="20"/>
  <c r="BI92" i="20"/>
  <c r="BI93" i="20"/>
  <c r="BW53" i="20"/>
  <c r="CI53" i="20" s="1"/>
  <c r="BZ55" i="20"/>
  <c r="CL55" i="20" s="1"/>
  <c r="AW120" i="20"/>
  <c r="BW55" i="20"/>
  <c r="CI55" i="20" s="1"/>
  <c r="CI79" i="20"/>
  <c r="CI80" i="20" s="1"/>
  <c r="BW80" i="20"/>
  <c r="BG79" i="20"/>
  <c r="BX79" i="20" s="1"/>
  <c r="AT120" i="20"/>
  <c r="Q30" i="32"/>
  <c r="T30" i="32" s="1"/>
  <c r="AV120" i="20"/>
  <c r="BI98" i="20"/>
  <c r="N29" i="32"/>
  <c r="BI91" i="20"/>
  <c r="BI110" i="20"/>
  <c r="BI101" i="20"/>
  <c r="BI112" i="20"/>
  <c r="BI113" i="20"/>
  <c r="BI105" i="20"/>
  <c r="BI117" i="20"/>
  <c r="BI102" i="20"/>
  <c r="BW120" i="20"/>
  <c r="BI106" i="20"/>
  <c r="BI88" i="20"/>
  <c r="BZ53" i="20"/>
  <c r="CL53" i="20" s="1"/>
  <c r="BX55" i="20"/>
  <c r="CJ55" i="20" s="1"/>
  <c r="CA80" i="20"/>
  <c r="CM79" i="20"/>
  <c r="CM80" i="20" s="1"/>
  <c r="CA120" i="20"/>
  <c r="AG30" i="32"/>
  <c r="J25" i="32"/>
  <c r="BY36" i="20"/>
  <c r="BD82" i="20"/>
  <c r="BF82" i="20" s="1"/>
  <c r="BU82" i="20"/>
  <c r="AF34" i="20"/>
  <c r="BF80" i="20"/>
  <c r="BG32" i="20"/>
  <c r="BG30" i="20"/>
  <c r="BG33" i="20"/>
  <c r="AT34" i="20"/>
  <c r="BI32" i="20"/>
  <c r="BG31" i="20"/>
  <c r="AU34" i="20"/>
  <c r="AS34" i="20"/>
  <c r="BF34" i="20"/>
  <c r="BG16" i="20"/>
  <c r="BI21" i="20"/>
  <c r="BI18" i="20"/>
  <c r="BG19" i="20"/>
  <c r="BG20" i="20"/>
  <c r="BI16" i="20"/>
  <c r="BI20" i="20"/>
  <c r="BG18" i="20"/>
  <c r="BI19" i="20"/>
  <c r="CB6" i="36"/>
  <c r="BG6" i="36"/>
  <c r="BF6" i="36"/>
  <c r="BE6" i="36"/>
  <c r="BD6" i="36"/>
  <c r="AW6" i="36"/>
  <c r="AV6" i="36"/>
  <c r="AU6" i="36"/>
  <c r="AT6" i="36"/>
  <c r="AS6" i="36"/>
  <c r="AR6" i="36"/>
  <c r="AQ6" i="36"/>
  <c r="V6" i="36"/>
  <c r="CB8" i="36"/>
  <c r="BG8" i="36"/>
  <c r="BF8" i="36"/>
  <c r="BE8" i="36"/>
  <c r="BD8" i="36"/>
  <c r="AW8" i="36"/>
  <c r="AV8" i="36"/>
  <c r="AU8" i="36"/>
  <c r="AT8" i="36"/>
  <c r="AS8" i="36"/>
  <c r="AR8" i="36"/>
  <c r="AQ8" i="36"/>
  <c r="BI8" i="36" s="1"/>
  <c r="V8" i="36"/>
  <c r="AP8" i="36" s="1"/>
  <c r="CB7" i="36"/>
  <c r="BG7" i="36"/>
  <c r="BF7" i="36"/>
  <c r="BE7" i="36"/>
  <c r="BD7" i="36"/>
  <c r="AW7" i="36"/>
  <c r="AV7" i="36"/>
  <c r="AU7" i="36"/>
  <c r="AT7" i="36"/>
  <c r="AS7" i="36"/>
  <c r="AR7" i="36"/>
  <c r="BJ7" i="36" s="1"/>
  <c r="AQ7" i="36"/>
  <c r="V7" i="36"/>
  <c r="AP7" i="36" s="1"/>
  <c r="CB42" i="36"/>
  <c r="CU42" i="36"/>
  <c r="BG42" i="36"/>
  <c r="CT42" i="36" s="1"/>
  <c r="BF42" i="36"/>
  <c r="CS42" i="36" s="1"/>
  <c r="BE42" i="36"/>
  <c r="CR42" i="36" s="1"/>
  <c r="BD42" i="36"/>
  <c r="CQ42" i="36" s="1"/>
  <c r="AW42" i="36"/>
  <c r="CP42" i="36" s="1"/>
  <c r="AV42" i="36"/>
  <c r="CO42" i="36" s="1"/>
  <c r="AU42" i="36"/>
  <c r="CN42" i="36" s="1"/>
  <c r="AT42" i="36"/>
  <c r="CM42" i="36" s="1"/>
  <c r="AS42" i="36"/>
  <c r="CL42" i="36" s="1"/>
  <c r="AR42" i="36"/>
  <c r="AQ42" i="36"/>
  <c r="V42" i="36"/>
  <c r="CD34" i="36"/>
  <c r="CB34" i="36"/>
  <c r="BG34" i="36"/>
  <c r="BF34" i="36"/>
  <c r="BE34" i="36"/>
  <c r="BD34" i="36"/>
  <c r="AW34" i="36"/>
  <c r="AV34" i="36"/>
  <c r="AU34" i="36"/>
  <c r="AT34" i="36"/>
  <c r="AS34" i="36"/>
  <c r="AR34" i="36"/>
  <c r="BJ34" i="36" s="1"/>
  <c r="AQ34" i="36"/>
  <c r="CD33" i="36"/>
  <c r="CB33" i="36"/>
  <c r="BG33" i="36"/>
  <c r="BF33" i="36"/>
  <c r="BE33" i="36"/>
  <c r="BD33" i="36"/>
  <c r="AW33" i="36"/>
  <c r="AV33" i="36"/>
  <c r="AU33" i="36"/>
  <c r="AT33" i="36"/>
  <c r="CM33" i="36" s="1"/>
  <c r="AS33" i="36"/>
  <c r="AR33" i="36"/>
  <c r="BJ33" i="36" s="1"/>
  <c r="AQ33" i="36"/>
  <c r="CD32" i="36"/>
  <c r="CB32" i="36"/>
  <c r="BG32" i="36"/>
  <c r="BF32" i="36"/>
  <c r="BE32" i="36"/>
  <c r="BD32" i="36"/>
  <c r="AW32" i="36"/>
  <c r="AV32" i="36"/>
  <c r="AU32" i="36"/>
  <c r="AT32" i="36"/>
  <c r="AS32" i="36"/>
  <c r="AR32" i="36"/>
  <c r="AQ32" i="36"/>
  <c r="CD31" i="36"/>
  <c r="CB31" i="36"/>
  <c r="BG31" i="36"/>
  <c r="BF31" i="36"/>
  <c r="BE31" i="36"/>
  <c r="BD31" i="36"/>
  <c r="AW31" i="36"/>
  <c r="AV31" i="36"/>
  <c r="AU31" i="36"/>
  <c r="AT31" i="36"/>
  <c r="AS31" i="36"/>
  <c r="AR31" i="36"/>
  <c r="BJ31" i="36" s="1"/>
  <c r="AQ31" i="36"/>
  <c r="CD30" i="36"/>
  <c r="CB30" i="36"/>
  <c r="BG30" i="36"/>
  <c r="BF30" i="36"/>
  <c r="BE30" i="36"/>
  <c r="BD30" i="36"/>
  <c r="AW30" i="36"/>
  <c r="AV30" i="36"/>
  <c r="AU30" i="36"/>
  <c r="AT30" i="36"/>
  <c r="AS30" i="36"/>
  <c r="AR30" i="36"/>
  <c r="BJ30" i="36" s="1"/>
  <c r="AQ30" i="36"/>
  <c r="CD29" i="36"/>
  <c r="CB29" i="36"/>
  <c r="BG29" i="36"/>
  <c r="BF29" i="36"/>
  <c r="BE29" i="36"/>
  <c r="BD29" i="36"/>
  <c r="AW29" i="36"/>
  <c r="AV29" i="36"/>
  <c r="AU29" i="36"/>
  <c r="AT29" i="36"/>
  <c r="CM29" i="36" s="1"/>
  <c r="AS29" i="36"/>
  <c r="AR29" i="36"/>
  <c r="BJ29" i="36" s="1"/>
  <c r="AQ29" i="36"/>
  <c r="CD28" i="36"/>
  <c r="CB28" i="36"/>
  <c r="BG28" i="36"/>
  <c r="BF28" i="36"/>
  <c r="BE28" i="36"/>
  <c r="BD28" i="36"/>
  <c r="AW28" i="36"/>
  <c r="AV28" i="36"/>
  <c r="AU28" i="36"/>
  <c r="AT28" i="36"/>
  <c r="AS28" i="36"/>
  <c r="AR28" i="36"/>
  <c r="AQ28" i="36"/>
  <c r="CD27" i="36"/>
  <c r="CB27" i="36"/>
  <c r="BG27" i="36"/>
  <c r="BF27" i="36"/>
  <c r="BE27" i="36"/>
  <c r="BD27" i="36"/>
  <c r="AW27" i="36"/>
  <c r="AV27" i="36"/>
  <c r="AU27" i="36"/>
  <c r="AT27" i="36"/>
  <c r="AS27" i="36"/>
  <c r="AR27" i="36"/>
  <c r="BJ27" i="36" s="1"/>
  <c r="AQ27" i="36"/>
  <c r="CD26" i="36"/>
  <c r="CB26" i="36"/>
  <c r="BG26" i="36"/>
  <c r="BF26" i="36"/>
  <c r="BE26" i="36"/>
  <c r="BD26" i="36"/>
  <c r="AW26" i="36"/>
  <c r="AV26" i="36"/>
  <c r="AU26" i="36"/>
  <c r="AT26" i="36"/>
  <c r="AS26" i="36"/>
  <c r="AR26" i="36"/>
  <c r="BJ26" i="36" s="1"/>
  <c r="AQ26" i="36"/>
  <c r="CD25" i="36"/>
  <c r="CB25" i="36"/>
  <c r="BG25" i="36"/>
  <c r="BF25" i="36"/>
  <c r="BE25" i="36"/>
  <c r="BD25" i="36"/>
  <c r="AW25" i="36"/>
  <c r="AV25" i="36"/>
  <c r="AU25" i="36"/>
  <c r="AT25" i="36"/>
  <c r="AS25" i="36"/>
  <c r="CL25" i="36" s="1"/>
  <c r="AR25" i="36"/>
  <c r="BJ25" i="36" s="1"/>
  <c r="AQ25" i="36"/>
  <c r="CD24" i="36"/>
  <c r="CB24" i="36"/>
  <c r="BG24" i="36"/>
  <c r="BF24" i="36"/>
  <c r="BE24" i="36"/>
  <c r="BD24" i="36"/>
  <c r="AW24" i="36"/>
  <c r="AV24" i="36"/>
  <c r="AU24" i="36"/>
  <c r="AT24" i="36"/>
  <c r="AS24" i="36"/>
  <c r="AR24" i="36"/>
  <c r="BJ24" i="36" s="1"/>
  <c r="AQ24" i="36"/>
  <c r="CD23" i="36"/>
  <c r="CB23" i="36"/>
  <c r="BG23" i="36"/>
  <c r="BF23" i="36"/>
  <c r="BE23" i="36"/>
  <c r="BD23" i="36"/>
  <c r="AW23" i="36"/>
  <c r="AV23" i="36"/>
  <c r="AU23" i="36"/>
  <c r="AT23" i="36"/>
  <c r="AS23" i="36"/>
  <c r="AR23" i="36"/>
  <c r="BJ23" i="36" s="1"/>
  <c r="AQ23" i="36"/>
  <c r="CD20" i="36"/>
  <c r="CB20" i="36"/>
  <c r="CU20" i="36"/>
  <c r="BG20" i="36"/>
  <c r="CT20" i="36" s="1"/>
  <c r="BF20" i="36"/>
  <c r="CS20" i="36" s="1"/>
  <c r="BE20" i="36"/>
  <c r="CR20" i="36" s="1"/>
  <c r="BD20" i="36"/>
  <c r="CQ20" i="36" s="1"/>
  <c r="AW20" i="36"/>
  <c r="CP20" i="36" s="1"/>
  <c r="AV20" i="36"/>
  <c r="CO20" i="36" s="1"/>
  <c r="AU20" i="36"/>
  <c r="CN20" i="36" s="1"/>
  <c r="AT20" i="36"/>
  <c r="CM20" i="36" s="1"/>
  <c r="AS20" i="36"/>
  <c r="CL20" i="36" s="1"/>
  <c r="AR20" i="36"/>
  <c r="AQ20" i="36"/>
  <c r="CD21" i="36"/>
  <c r="CB21" i="36"/>
  <c r="BG21" i="36"/>
  <c r="BF21" i="36"/>
  <c r="BE21" i="36"/>
  <c r="BD21" i="36"/>
  <c r="AW21" i="36"/>
  <c r="AV21" i="36"/>
  <c r="AU21" i="36"/>
  <c r="AT21" i="36"/>
  <c r="AS21" i="36"/>
  <c r="CL21" i="36" s="1"/>
  <c r="AR21" i="36"/>
  <c r="BJ21" i="36" s="1"/>
  <c r="AQ21" i="36"/>
  <c r="BH33" i="38"/>
  <c r="AR33" i="38"/>
  <c r="BE33" i="38" s="1"/>
  <c r="AQ33" i="38"/>
  <c r="BD33" i="38" s="1"/>
  <c r="AP33" i="38"/>
  <c r="BC33" i="38" s="1"/>
  <c r="AO33" i="38"/>
  <c r="BB33" i="38" s="1"/>
  <c r="AN33" i="38"/>
  <c r="BA33" i="38" s="1"/>
  <c r="AM33" i="38"/>
  <c r="AZ33" i="38" s="1"/>
  <c r="AL33" i="38"/>
  <c r="AY33" i="38" s="1"/>
  <c r="AK33" i="38"/>
  <c r="AX33" i="38" s="1"/>
  <c r="AJ33" i="38"/>
  <c r="AI33" i="38"/>
  <c r="AH33" i="38"/>
  <c r="AU33" i="38" s="1"/>
  <c r="AG33" i="38"/>
  <c r="AT33" i="38" s="1"/>
  <c r="Q33" i="38"/>
  <c r="BH32" i="38"/>
  <c r="AR32" i="38"/>
  <c r="BE32" i="38" s="1"/>
  <c r="AQ32" i="38"/>
  <c r="BD32" i="38" s="1"/>
  <c r="AP32" i="38"/>
  <c r="BC32" i="38" s="1"/>
  <c r="AO32" i="38"/>
  <c r="BB32" i="38" s="1"/>
  <c r="AN32" i="38"/>
  <c r="BA32" i="38" s="1"/>
  <c r="AM32" i="38"/>
  <c r="AZ32" i="38" s="1"/>
  <c r="AL32" i="38"/>
  <c r="AY32" i="38" s="1"/>
  <c r="AK32" i="38"/>
  <c r="AX32" i="38" s="1"/>
  <c r="AJ32" i="38"/>
  <c r="AI32" i="38"/>
  <c r="AV32" i="38" s="1"/>
  <c r="AH32" i="38"/>
  <c r="AU32" i="38" s="1"/>
  <c r="AG32" i="38"/>
  <c r="AT32" i="38" s="1"/>
  <c r="Q32" i="38"/>
  <c r="BJ32" i="38" s="1"/>
  <c r="BH31" i="38"/>
  <c r="AR31" i="38"/>
  <c r="BE31" i="38" s="1"/>
  <c r="AQ31" i="38"/>
  <c r="BD31" i="38" s="1"/>
  <c r="AP31" i="38"/>
  <c r="BC31" i="38" s="1"/>
  <c r="AO31" i="38"/>
  <c r="BB31" i="38" s="1"/>
  <c r="AN31" i="38"/>
  <c r="BA31" i="38" s="1"/>
  <c r="AM31" i="38"/>
  <c r="AZ31" i="38" s="1"/>
  <c r="AL31" i="38"/>
  <c r="AY31" i="38" s="1"/>
  <c r="AK31" i="38"/>
  <c r="AX31" i="38" s="1"/>
  <c r="AJ31" i="38"/>
  <c r="AI31" i="38"/>
  <c r="AV31" i="38" s="1"/>
  <c r="AH31" i="38"/>
  <c r="AU31" i="38" s="1"/>
  <c r="AG31" i="38"/>
  <c r="Q31" i="38"/>
  <c r="BH30" i="38"/>
  <c r="AR30" i="38"/>
  <c r="AQ30" i="38"/>
  <c r="BD30" i="38" s="1"/>
  <c r="AP30" i="38"/>
  <c r="BC30" i="38" s="1"/>
  <c r="AO30" i="38"/>
  <c r="BB30" i="38" s="1"/>
  <c r="AN30" i="38"/>
  <c r="AM30" i="38"/>
  <c r="AL30" i="38"/>
  <c r="AY30" i="38" s="1"/>
  <c r="AK30" i="38"/>
  <c r="AX30" i="38" s="1"/>
  <c r="AJ30" i="38"/>
  <c r="BS30" i="38" s="1"/>
  <c r="CB30" i="38" s="1"/>
  <c r="AI30" i="38"/>
  <c r="AH30" i="38"/>
  <c r="AG30" i="38"/>
  <c r="AT30" i="38" s="1"/>
  <c r="Q30" i="38"/>
  <c r="BH19" i="38"/>
  <c r="AR19" i="38"/>
  <c r="BE19" i="38" s="1"/>
  <c r="AQ19" i="38"/>
  <c r="BD19" i="38" s="1"/>
  <c r="AP19" i="38"/>
  <c r="BC19" i="38" s="1"/>
  <c r="AO19" i="38"/>
  <c r="BB19" i="38" s="1"/>
  <c r="AN19" i="38"/>
  <c r="BA19" i="38" s="1"/>
  <c r="AM19" i="38"/>
  <c r="AZ19" i="38" s="1"/>
  <c r="AL19" i="38"/>
  <c r="AY19" i="38" s="1"/>
  <c r="AK19" i="38"/>
  <c r="AX19" i="38" s="1"/>
  <c r="AJ19" i="38"/>
  <c r="AW19" i="38" s="1"/>
  <c r="AI19" i="38"/>
  <c r="AV19" i="38" s="1"/>
  <c r="AH19" i="38"/>
  <c r="AG19" i="38"/>
  <c r="Q19" i="38"/>
  <c r="AF19" i="38" s="1"/>
  <c r="BH18" i="38"/>
  <c r="AR18" i="38"/>
  <c r="BE18" i="38" s="1"/>
  <c r="AQ18" i="38"/>
  <c r="BD18" i="38" s="1"/>
  <c r="AP18" i="38"/>
  <c r="BC18" i="38" s="1"/>
  <c r="AO18" i="38"/>
  <c r="BB18" i="38" s="1"/>
  <c r="AN18" i="38"/>
  <c r="BA18" i="38" s="1"/>
  <c r="AM18" i="38"/>
  <c r="AZ18" i="38" s="1"/>
  <c r="AL18" i="38"/>
  <c r="AY18" i="38" s="1"/>
  <c r="AK18" i="38"/>
  <c r="AX18" i="38" s="1"/>
  <c r="AJ18" i="38"/>
  <c r="AW18" i="38" s="1"/>
  <c r="AI18" i="38"/>
  <c r="AV18" i="38" s="1"/>
  <c r="AH18" i="38"/>
  <c r="AG18" i="38"/>
  <c r="Q18" i="38"/>
  <c r="AF18" i="38" s="1"/>
  <c r="BH7" i="38"/>
  <c r="BF7" i="38"/>
  <c r="AR7" i="38"/>
  <c r="AQ7" i="38"/>
  <c r="AP7" i="38"/>
  <c r="AO7" i="38"/>
  <c r="AN7" i="38"/>
  <c r="AM7" i="38"/>
  <c r="AL7" i="38"/>
  <c r="AK7" i="38"/>
  <c r="AJ7" i="38"/>
  <c r="AI7" i="38"/>
  <c r="AH7" i="38"/>
  <c r="AG7" i="38"/>
  <c r="Q7" i="38"/>
  <c r="BH6" i="36" l="1"/>
  <c r="BG17" i="20"/>
  <c r="BG118" i="20"/>
  <c r="BG120" i="20" s="1"/>
  <c r="AW31" i="38"/>
  <c r="BS31" i="38"/>
  <c r="CB31" i="38" s="1"/>
  <c r="AW32" i="38"/>
  <c r="BS32" i="38"/>
  <c r="CB32" i="38" s="1"/>
  <c r="BM7" i="36"/>
  <c r="CF7" i="36" s="1"/>
  <c r="CH7" i="36" s="1"/>
  <c r="BM6" i="36"/>
  <c r="CF6" i="36" s="1"/>
  <c r="AW33" i="38"/>
  <c r="BF33" i="38" s="1"/>
  <c r="BS33" i="38"/>
  <c r="AV33" i="38"/>
  <c r="BR33" i="38"/>
  <c r="CB33" i="38" s="1"/>
  <c r="BJ33" i="38"/>
  <c r="AF33" i="38"/>
  <c r="CV42" i="36"/>
  <c r="CU23" i="36"/>
  <c r="BY26" i="36"/>
  <c r="CS26" i="36"/>
  <c r="BL31" i="36"/>
  <c r="CM31" i="36"/>
  <c r="BI6" i="36"/>
  <c r="BI13" i="36" s="1"/>
  <c r="BX21" i="36"/>
  <c r="CR21" i="36"/>
  <c r="BV24" i="36"/>
  <c r="CP24" i="36"/>
  <c r="CT26" i="36"/>
  <c r="BX29" i="36"/>
  <c r="CR29" i="36"/>
  <c r="BV32" i="36"/>
  <c r="CP32" i="36"/>
  <c r="BX33" i="36"/>
  <c r="CR33" i="36"/>
  <c r="CT34" i="36"/>
  <c r="BW8" i="36"/>
  <c r="CQ8" i="36"/>
  <c r="BY25" i="36"/>
  <c r="CS25" i="36"/>
  <c r="BN27" i="36"/>
  <c r="CO27" i="36"/>
  <c r="BL30" i="36"/>
  <c r="CM30" i="36"/>
  <c r="BY33" i="36"/>
  <c r="CS33" i="36"/>
  <c r="BV21" i="36"/>
  <c r="CP21" i="36"/>
  <c r="BK23" i="36"/>
  <c r="CL23" i="36"/>
  <c r="CT23" i="36"/>
  <c r="BM24" i="36"/>
  <c r="CN24" i="36"/>
  <c r="BV25" i="36"/>
  <c r="CP25" i="36"/>
  <c r="BX26" i="36"/>
  <c r="CR26" i="36"/>
  <c r="BK27" i="36"/>
  <c r="CL27" i="36"/>
  <c r="CT27" i="36"/>
  <c r="BV29" i="36"/>
  <c r="CP29" i="36"/>
  <c r="BX30" i="36"/>
  <c r="CR30" i="36"/>
  <c r="BK31" i="36"/>
  <c r="CL31" i="36"/>
  <c r="CT31" i="36"/>
  <c r="BM32" i="36"/>
  <c r="CN32" i="36"/>
  <c r="BV33" i="36"/>
  <c r="CP33" i="36"/>
  <c r="BX34" i="36"/>
  <c r="CR34" i="36"/>
  <c r="BL7" i="36"/>
  <c r="CU7" i="36"/>
  <c r="BN8" i="36"/>
  <c r="CO8" i="36"/>
  <c r="BW6" i="36"/>
  <c r="CQ6" i="36"/>
  <c r="BL23" i="36"/>
  <c r="CM23" i="36"/>
  <c r="BW25" i="36"/>
  <c r="CQ25" i="36"/>
  <c r="CU27" i="36"/>
  <c r="BW29" i="36"/>
  <c r="CQ29" i="36"/>
  <c r="CU31" i="36"/>
  <c r="BN32" i="36"/>
  <c r="CO32" i="36"/>
  <c r="BY34" i="36"/>
  <c r="CS34" i="36"/>
  <c r="BV8" i="36"/>
  <c r="CP8" i="36"/>
  <c r="BM23" i="36"/>
  <c r="CN23" i="36"/>
  <c r="BK26" i="36"/>
  <c r="CL26" i="36"/>
  <c r="CT30" i="36"/>
  <c r="BK34" i="36"/>
  <c r="CL34" i="36"/>
  <c r="BN7" i="36"/>
  <c r="CO7" i="36"/>
  <c r="BW24" i="36"/>
  <c r="CQ24" i="36"/>
  <c r="CU26" i="36"/>
  <c r="BY29" i="36"/>
  <c r="CS29" i="36"/>
  <c r="CU30" i="36"/>
  <c r="BW32" i="36"/>
  <c r="CQ32" i="36"/>
  <c r="CU34" i="36"/>
  <c r="CT21" i="36"/>
  <c r="BV23" i="36"/>
  <c r="CP23" i="36"/>
  <c r="BX24" i="36"/>
  <c r="CR24" i="36"/>
  <c r="CT25" i="36"/>
  <c r="BM26" i="36"/>
  <c r="CN26" i="36"/>
  <c r="BV27" i="36"/>
  <c r="CP27" i="36"/>
  <c r="BX28" i="36"/>
  <c r="CR28" i="36"/>
  <c r="BK29" i="36"/>
  <c r="CL29" i="36"/>
  <c r="CT29" i="36"/>
  <c r="BM30" i="36"/>
  <c r="CN30" i="36"/>
  <c r="BV31" i="36"/>
  <c r="CP31" i="36"/>
  <c r="BX32" i="36"/>
  <c r="CR32" i="36"/>
  <c r="BK33" i="36"/>
  <c r="CL33" i="36"/>
  <c r="CT33" i="36"/>
  <c r="BM34" i="36"/>
  <c r="CN34" i="36"/>
  <c r="BW7" i="36"/>
  <c r="CQ7" i="36"/>
  <c r="BY8" i="36"/>
  <c r="CS8" i="36"/>
  <c r="BL6" i="36"/>
  <c r="CU6" i="36"/>
  <c r="BN24" i="36"/>
  <c r="CO24" i="36"/>
  <c r="BX25" i="36"/>
  <c r="CR25" i="36"/>
  <c r="BY6" i="36"/>
  <c r="CS6" i="36"/>
  <c r="BY21" i="36"/>
  <c r="CS21" i="36"/>
  <c r="BN23" i="36"/>
  <c r="CO23" i="36"/>
  <c r="BL26" i="36"/>
  <c r="CM26" i="36"/>
  <c r="BW28" i="36"/>
  <c r="CQ28" i="36"/>
  <c r="BN31" i="36"/>
  <c r="CO31" i="36"/>
  <c r="BL34" i="36"/>
  <c r="CM34" i="36"/>
  <c r="BV7" i="36"/>
  <c r="CP7" i="36"/>
  <c r="BL21" i="36"/>
  <c r="CM21" i="36"/>
  <c r="CU21" i="36"/>
  <c r="BW23" i="36"/>
  <c r="CQ23" i="36"/>
  <c r="BY24" i="36"/>
  <c r="CS24" i="36"/>
  <c r="BL25" i="36"/>
  <c r="CM25" i="36"/>
  <c r="CU25" i="36"/>
  <c r="BN26" i="36"/>
  <c r="CO26" i="36"/>
  <c r="BW27" i="36"/>
  <c r="CQ27" i="36"/>
  <c r="BY28" i="36"/>
  <c r="CS28" i="36"/>
  <c r="CU29" i="36"/>
  <c r="BN30" i="36"/>
  <c r="CO30" i="36"/>
  <c r="BW31" i="36"/>
  <c r="CQ31" i="36"/>
  <c r="BY32" i="36"/>
  <c r="CS32" i="36"/>
  <c r="CU33" i="36"/>
  <c r="BN34" i="36"/>
  <c r="CO34" i="36"/>
  <c r="BX7" i="36"/>
  <c r="CR7" i="36"/>
  <c r="CT8" i="36"/>
  <c r="BL27" i="36"/>
  <c r="CM27" i="36"/>
  <c r="BY30" i="36"/>
  <c r="CS30" i="36"/>
  <c r="BX6" i="36"/>
  <c r="CR6" i="36"/>
  <c r="BM27" i="36"/>
  <c r="CN27" i="36"/>
  <c r="BK30" i="36"/>
  <c r="CL30" i="36"/>
  <c r="BX8" i="36"/>
  <c r="CR8" i="36"/>
  <c r="BM21" i="36"/>
  <c r="CN21" i="36"/>
  <c r="BX23" i="36"/>
  <c r="CR23" i="36"/>
  <c r="BK24" i="36"/>
  <c r="CL24" i="36"/>
  <c r="CT24" i="36"/>
  <c r="BM25" i="36"/>
  <c r="CN25" i="36"/>
  <c r="BV26" i="36"/>
  <c r="CP26" i="36"/>
  <c r="BX27" i="36"/>
  <c r="CR27" i="36"/>
  <c r="CT28" i="36"/>
  <c r="BM29" i="36"/>
  <c r="CN29" i="36"/>
  <c r="BV30" i="36"/>
  <c r="CP30" i="36"/>
  <c r="BX31" i="36"/>
  <c r="CR31" i="36"/>
  <c r="BK32" i="36"/>
  <c r="CL32" i="36"/>
  <c r="CT32" i="36"/>
  <c r="BM33" i="36"/>
  <c r="CN33" i="36"/>
  <c r="BV34" i="36"/>
  <c r="CP34" i="36"/>
  <c r="BY7" i="36"/>
  <c r="CS7" i="36"/>
  <c r="CU8" i="36"/>
  <c r="BN6" i="36"/>
  <c r="CO6" i="36"/>
  <c r="BW21" i="36"/>
  <c r="CQ21" i="36"/>
  <c r="BW33" i="36"/>
  <c r="CQ33" i="36"/>
  <c r="CV20" i="36"/>
  <c r="BV28" i="36"/>
  <c r="CP28" i="36"/>
  <c r="BM31" i="36"/>
  <c r="CN31" i="36"/>
  <c r="CT6" i="36"/>
  <c r="BN21" i="36"/>
  <c r="CO21" i="36"/>
  <c r="BY23" i="36"/>
  <c r="CS23" i="36"/>
  <c r="BL24" i="36"/>
  <c r="CM24" i="36"/>
  <c r="CU24" i="36"/>
  <c r="BN25" i="36"/>
  <c r="CO25" i="36"/>
  <c r="BW26" i="36"/>
  <c r="CQ26" i="36"/>
  <c r="BY27" i="36"/>
  <c r="CS27" i="36"/>
  <c r="CU28" i="36"/>
  <c r="BN29" i="36"/>
  <c r="CO29" i="36"/>
  <c r="BW30" i="36"/>
  <c r="CQ30" i="36"/>
  <c r="BY31" i="36"/>
  <c r="CS31" i="36"/>
  <c r="BL32" i="36"/>
  <c r="CM32" i="36"/>
  <c r="CU32" i="36"/>
  <c r="BN33" i="36"/>
  <c r="CO33" i="36"/>
  <c r="BW34" i="36"/>
  <c r="CQ34" i="36"/>
  <c r="BK7" i="36"/>
  <c r="CT7" i="36"/>
  <c r="BM8" i="36"/>
  <c r="BV6" i="36"/>
  <c r="CP6" i="36"/>
  <c r="CO28" i="36"/>
  <c r="CN28" i="36"/>
  <c r="CM28" i="36"/>
  <c r="BJ30" i="38"/>
  <c r="AF30" i="38"/>
  <c r="BZ79" i="20"/>
  <c r="CL79" i="20" s="1"/>
  <c r="CL80" i="20" s="1"/>
  <c r="CL28" i="36"/>
  <c r="CI82" i="20"/>
  <c r="BF120" i="20"/>
  <c r="BW82" i="20"/>
  <c r="S25" i="32"/>
  <c r="Z30" i="32"/>
  <c r="AL30" i="32" s="1"/>
  <c r="AD30" i="32"/>
  <c r="BF119" i="20"/>
  <c r="BI118" i="20"/>
  <c r="BH119" i="20" s="1"/>
  <c r="CB79" i="20"/>
  <c r="CB80" i="20" s="1"/>
  <c r="CM82" i="20"/>
  <c r="CB53" i="20"/>
  <c r="CN53" i="20" s="1"/>
  <c r="CO53" i="20" s="1"/>
  <c r="CB55" i="20"/>
  <c r="CN55" i="20" s="1"/>
  <c r="CO55" i="20" s="1"/>
  <c r="CJ79" i="20"/>
  <c r="CJ80" i="20" s="1"/>
  <c r="BX80" i="20"/>
  <c r="CA82" i="20"/>
  <c r="AB25" i="32"/>
  <c r="BW36" i="20"/>
  <c r="AG25" i="32"/>
  <c r="CA36" i="20"/>
  <c r="BF81" i="20"/>
  <c r="W29" i="32"/>
  <c r="BJ20" i="36"/>
  <c r="BY20" i="36"/>
  <c r="BV42" i="36"/>
  <c r="BV20" i="36"/>
  <c r="BW42" i="36"/>
  <c r="BL20" i="36"/>
  <c r="BW20" i="36"/>
  <c r="BM42" i="36"/>
  <c r="BX42" i="36"/>
  <c r="BN20" i="36"/>
  <c r="BK42" i="36"/>
  <c r="BK20" i="36"/>
  <c r="BL42" i="36"/>
  <c r="BM20" i="36"/>
  <c r="BX20" i="36"/>
  <c r="BJ42" i="36"/>
  <c r="BN42" i="36"/>
  <c r="BY42" i="36"/>
  <c r="BJ31" i="38"/>
  <c r="AG9" i="32" s="1"/>
  <c r="AF31" i="38"/>
  <c r="CD42" i="36"/>
  <c r="AP42" i="36"/>
  <c r="CD6" i="36"/>
  <c r="AP6" i="36"/>
  <c r="BJ7" i="38"/>
  <c r="AF7" i="38"/>
  <c r="BI42" i="36"/>
  <c r="AI34" i="38"/>
  <c r="BR34" i="38" s="1"/>
  <c r="AJ34" i="38"/>
  <c r="BS34" i="38" s="1"/>
  <c r="AR34" i="38"/>
  <c r="BE36" i="38" s="1"/>
  <c r="BD34" i="38"/>
  <c r="BE30" i="38"/>
  <c r="BE34" i="38" s="1"/>
  <c r="AX34" i="38"/>
  <c r="AY34" i="38"/>
  <c r="AO34" i="38"/>
  <c r="AQ34" i="38"/>
  <c r="AK34" i="38"/>
  <c r="AV30" i="38"/>
  <c r="AV34" i="38" s="1"/>
  <c r="AP34" i="38"/>
  <c r="AM34" i="38"/>
  <c r="AH34" i="38"/>
  <c r="AW30" i="38"/>
  <c r="AG34" i="38"/>
  <c r="AN34" i="38"/>
  <c r="AL34" i="38"/>
  <c r="AD29" i="32"/>
  <c r="BH81" i="20"/>
  <c r="BG81" i="20"/>
  <c r="BF35" i="20"/>
  <c r="BF36" i="20"/>
  <c r="BI34" i="20"/>
  <c r="BG34" i="20"/>
  <c r="BX36" i="20" s="1"/>
  <c r="BG35" i="20"/>
  <c r="CC6" i="36"/>
  <c r="CD8" i="36"/>
  <c r="BH8" i="36"/>
  <c r="CC8" i="36" s="1"/>
  <c r="BH7" i="36"/>
  <c r="CC7" i="36" s="1"/>
  <c r="CD7" i="36"/>
  <c r="BL8" i="36"/>
  <c r="BH31" i="36"/>
  <c r="BH33" i="36"/>
  <c r="BH27" i="36"/>
  <c r="BH30" i="36"/>
  <c r="BH34" i="36"/>
  <c r="BH42" i="36"/>
  <c r="BH28" i="36"/>
  <c r="BH32" i="36"/>
  <c r="BH29" i="36"/>
  <c r="BH24" i="36"/>
  <c r="BL29" i="36"/>
  <c r="BJ32" i="36"/>
  <c r="BL33" i="36"/>
  <c r="BH25" i="36"/>
  <c r="BH23" i="36"/>
  <c r="BH26" i="36"/>
  <c r="BH20" i="36"/>
  <c r="BK25" i="36"/>
  <c r="BH21" i="36"/>
  <c r="BK21" i="36"/>
  <c r="BH34" i="38"/>
  <c r="F9" i="32" s="1"/>
  <c r="BF32" i="38"/>
  <c r="AT34" i="38"/>
  <c r="BB34" i="38"/>
  <c r="BF31" i="38"/>
  <c r="AU34" i="38"/>
  <c r="BC34" i="38"/>
  <c r="BJ18" i="38"/>
  <c r="AZ30" i="38"/>
  <c r="AZ34" i="38" s="1"/>
  <c r="AS30" i="38"/>
  <c r="BA30" i="38"/>
  <c r="BA34" i="38" s="1"/>
  <c r="AS31" i="38"/>
  <c r="AS32" i="38"/>
  <c r="AS33" i="38"/>
  <c r="AS18" i="38"/>
  <c r="BI18" i="38" s="1"/>
  <c r="AS19" i="38"/>
  <c r="BI19" i="38" s="1"/>
  <c r="BJ19" i="38"/>
  <c r="BF18" i="38"/>
  <c r="BF19" i="38"/>
  <c r="AS7" i="38"/>
  <c r="AU35" i="18"/>
  <c r="AW34" i="38" l="1"/>
  <c r="CH6" i="36"/>
  <c r="CH13" i="36" s="1"/>
  <c r="CF4" i="36"/>
  <c r="CB34" i="38"/>
  <c r="AF34" i="38"/>
  <c r="AV36" i="38"/>
  <c r="CA7" i="36"/>
  <c r="CA6" i="36"/>
  <c r="BZ26" i="36"/>
  <c r="CA26" i="36" s="1"/>
  <c r="BZ30" i="36"/>
  <c r="CC30" i="36" s="1"/>
  <c r="BZ27" i="36"/>
  <c r="CC27" i="36" s="1"/>
  <c r="BZ28" i="36"/>
  <c r="CC28" i="36" s="1"/>
  <c r="CV34" i="36"/>
  <c r="CV8" i="36"/>
  <c r="BZ34" i="36"/>
  <c r="CA34" i="36" s="1"/>
  <c r="BZ31" i="36"/>
  <c r="CA31" i="36" s="1"/>
  <c r="BZ7" i="36"/>
  <c r="BZ23" i="36"/>
  <c r="CC23" i="36" s="1"/>
  <c r="CV24" i="36"/>
  <c r="BZ21" i="36"/>
  <c r="CC21" i="36" s="1"/>
  <c r="BZ24" i="36"/>
  <c r="CC24" i="36" s="1"/>
  <c r="CV21" i="36"/>
  <c r="BZ33" i="36"/>
  <c r="CA33" i="36" s="1"/>
  <c r="CV32" i="36"/>
  <c r="CV25" i="36"/>
  <c r="CV29" i="36"/>
  <c r="BZ32" i="36"/>
  <c r="CC32" i="36" s="1"/>
  <c r="BZ29" i="36"/>
  <c r="CA29" i="36" s="1"/>
  <c r="CV6" i="36"/>
  <c r="CV30" i="36"/>
  <c r="CV23" i="36"/>
  <c r="CV27" i="36"/>
  <c r="BZ25" i="36"/>
  <c r="CA25" i="36" s="1"/>
  <c r="CV26" i="36"/>
  <c r="CV7" i="36"/>
  <c r="CV33" i="36"/>
  <c r="CV31" i="36"/>
  <c r="BZ6" i="36"/>
  <c r="BZ8" i="36"/>
  <c r="CA8" i="36" s="1"/>
  <c r="CV28" i="36"/>
  <c r="BG19" i="38"/>
  <c r="BG18" i="38"/>
  <c r="BZ80" i="20"/>
  <c r="BZ82" i="20" s="1"/>
  <c r="BI119" i="20"/>
  <c r="BI120" i="20" s="1"/>
  <c r="BX120" i="20"/>
  <c r="BZ120" i="20"/>
  <c r="CJ82" i="20"/>
  <c r="CN79" i="20"/>
  <c r="CN80" i="20" s="1"/>
  <c r="CN82" i="20" s="1"/>
  <c r="CB81" i="20"/>
  <c r="BH35" i="20"/>
  <c r="BZ36" i="20"/>
  <c r="CB36" i="20" s="1"/>
  <c r="BI81" i="20"/>
  <c r="BI82" i="20" s="1"/>
  <c r="BX82" i="20"/>
  <c r="CB82" i="20" s="1"/>
  <c r="BZ42" i="36"/>
  <c r="CA42" i="36" s="1"/>
  <c r="BZ20" i="36"/>
  <c r="CA20" i="36" s="1"/>
  <c r="BD36" i="38"/>
  <c r="AW36" i="38"/>
  <c r="BI35" i="20"/>
  <c r="BI36" i="20" s="1"/>
  <c r="AD25" i="32"/>
  <c r="BA36" i="38"/>
  <c r="BG32" i="38"/>
  <c r="AT36" i="38"/>
  <c r="BF30" i="38"/>
  <c r="AU36" i="38"/>
  <c r="BG31" i="38"/>
  <c r="AX36" i="38"/>
  <c r="BC36" i="38"/>
  <c r="BG33" i="38"/>
  <c r="BI31" i="38"/>
  <c r="AY36" i="38"/>
  <c r="AZ36" i="38"/>
  <c r="BB36" i="38"/>
  <c r="AS34" i="38"/>
  <c r="O9" i="32" s="1"/>
  <c r="AI29" i="32"/>
  <c r="AN25" i="32"/>
  <c r="CB120" i="20" l="1"/>
  <c r="CL82" i="20"/>
  <c r="CO82" i="20" s="1"/>
  <c r="CC26" i="36"/>
  <c r="CA24" i="36"/>
  <c r="CA23" i="36"/>
  <c r="CA27" i="36"/>
  <c r="CA30" i="36"/>
  <c r="CA28" i="36"/>
  <c r="CC29" i="36"/>
  <c r="CA21" i="36"/>
  <c r="CC31" i="36"/>
  <c r="CC20" i="36"/>
  <c r="CC33" i="36"/>
  <c r="CC34" i="36"/>
  <c r="CC25" i="36"/>
  <c r="CC42" i="36"/>
  <c r="CA32" i="36"/>
  <c r="CO79" i="20"/>
  <c r="CO80" i="20" s="1"/>
  <c r="CO81" i="20" s="1"/>
  <c r="BI34" i="38"/>
  <c r="AF9" i="32" s="1"/>
  <c r="BG30" i="38"/>
  <c r="BF34" i="38"/>
  <c r="X9" i="32" s="1"/>
  <c r="BF36" i="38"/>
  <c r="CR58" i="20"/>
  <c r="E23" i="32"/>
  <c r="AJ9" i="32" l="1"/>
  <c r="AC9" i="32"/>
  <c r="BG35" i="38"/>
  <c r="BG34" i="38"/>
  <c r="BF35" i="38"/>
  <c r="CP58" i="20"/>
  <c r="BI35" i="38" l="1"/>
  <c r="BI36" i="38" s="1"/>
  <c r="AD9" i="32"/>
  <c r="CT58" i="20"/>
  <c r="CQ60" i="20"/>
  <c r="AG42" i="18"/>
  <c r="AG12" i="20"/>
  <c r="AG5" i="20"/>
  <c r="AG7" i="20"/>
  <c r="AH50" i="18"/>
  <c r="AU50" i="18" s="1"/>
  <c r="AH18" i="18"/>
  <c r="Q22" i="20"/>
  <c r="AF22" i="20" s="1"/>
  <c r="Q6" i="20"/>
  <c r="AF6" i="20" s="1"/>
  <c r="Q7" i="20"/>
  <c r="AF7" i="20" s="1"/>
  <c r="Q9" i="20"/>
  <c r="AF9" i="20" s="1"/>
  <c r="Q10" i="20"/>
  <c r="AF10" i="20" s="1"/>
  <c r="Q12" i="20"/>
  <c r="AF12" i="20" s="1"/>
  <c r="Q5" i="20"/>
  <c r="AF5" i="20" s="1"/>
  <c r="AT12" i="20" l="1"/>
  <c r="AT7" i="20"/>
  <c r="AF23" i="20"/>
  <c r="AT5" i="20"/>
  <c r="CT60" i="20"/>
  <c r="AF43" i="20" l="1"/>
  <c r="Q50" i="18"/>
  <c r="AF50" i="18" s="1"/>
  <c r="Q51" i="18"/>
  <c r="AF51" i="18" s="1"/>
  <c r="AF52" i="18" l="1"/>
  <c r="CB9" i="36"/>
  <c r="BG9" i="36"/>
  <c r="BF9" i="36"/>
  <c r="BE9" i="36"/>
  <c r="BD9" i="36"/>
  <c r="AW9" i="36"/>
  <c r="AV9" i="36"/>
  <c r="AU9" i="36"/>
  <c r="AT9" i="36"/>
  <c r="AS9" i="36"/>
  <c r="AR9" i="36"/>
  <c r="AQ9" i="36"/>
  <c r="V9" i="36"/>
  <c r="AP9" i="36" s="1"/>
  <c r="BE52" i="18"/>
  <c r="BD52" i="18"/>
  <c r="BC52" i="18"/>
  <c r="BB52" i="18"/>
  <c r="BA52" i="18"/>
  <c r="AZ52" i="18"/>
  <c r="AY52" i="18"/>
  <c r="AX52" i="18"/>
  <c r="AW52" i="18"/>
  <c r="AT43" i="18"/>
  <c r="AT6" i="34"/>
  <c r="BH5" i="34"/>
  <c r="AR5" i="34"/>
  <c r="AQ5" i="34"/>
  <c r="AP5" i="34"/>
  <c r="AO5" i="34"/>
  <c r="AN5" i="34"/>
  <c r="AM5" i="34"/>
  <c r="AL5" i="34"/>
  <c r="AK5" i="34"/>
  <c r="AJ5" i="34"/>
  <c r="AI5" i="34"/>
  <c r="AH5" i="34"/>
  <c r="AH6" i="34" s="1"/>
  <c r="AG5" i="34"/>
  <c r="AG6" i="34" s="1"/>
  <c r="Q5" i="34"/>
  <c r="CU10" i="36"/>
  <c r="BG10" i="36"/>
  <c r="CT10" i="36" s="1"/>
  <c r="BF10" i="36"/>
  <c r="CS10" i="36" s="1"/>
  <c r="BE10" i="36"/>
  <c r="CR10" i="36" s="1"/>
  <c r="BD10" i="36"/>
  <c r="CQ10" i="36" s="1"/>
  <c r="AW10" i="36"/>
  <c r="CP10" i="36" s="1"/>
  <c r="AV10" i="36"/>
  <c r="CO10" i="36" s="1"/>
  <c r="AU10" i="36"/>
  <c r="AT10" i="36"/>
  <c r="AS10" i="36"/>
  <c r="AR10" i="36"/>
  <c r="AQ10" i="36"/>
  <c r="V10" i="36"/>
  <c r="AP10" i="36" s="1"/>
  <c r="V48" i="36"/>
  <c r="AP48" i="36" s="1"/>
  <c r="V47" i="36"/>
  <c r="AP47" i="36" s="1"/>
  <c r="V45" i="36"/>
  <c r="AP45" i="36" s="1"/>
  <c r="CB13" i="36" l="1"/>
  <c r="F38" i="32" s="1"/>
  <c r="AV13" i="36"/>
  <c r="AU13" i="36"/>
  <c r="AP13" i="36"/>
  <c r="BV9" i="36"/>
  <c r="CP9" i="36"/>
  <c r="AW13" i="36"/>
  <c r="CP13" i="36" s="1"/>
  <c r="BN9" i="36"/>
  <c r="CO9" i="36"/>
  <c r="CO13" i="36"/>
  <c r="BX9" i="36"/>
  <c r="CR9" i="36"/>
  <c r="BE13" i="36"/>
  <c r="CR13" i="36" s="1"/>
  <c r="BK9" i="36"/>
  <c r="BK13" i="36" s="1"/>
  <c r="AS13" i="36"/>
  <c r="CT9" i="36"/>
  <c r="BG13" i="36"/>
  <c r="CT13" i="36" s="1"/>
  <c r="AQ13" i="36"/>
  <c r="CV10" i="36"/>
  <c r="BL9" i="36"/>
  <c r="AT13" i="36"/>
  <c r="CU9" i="36"/>
  <c r="CU13" i="36"/>
  <c r="BW9" i="36"/>
  <c r="CQ9" i="36"/>
  <c r="BD13" i="36"/>
  <c r="CQ13" i="36" s="1"/>
  <c r="BY9" i="36"/>
  <c r="CS9" i="36"/>
  <c r="BF13" i="36"/>
  <c r="CS13" i="36" s="1"/>
  <c r="BM9" i="36"/>
  <c r="BJ5" i="34"/>
  <c r="BJ6" i="34" s="1"/>
  <c r="AG33" i="32" s="1"/>
  <c r="AF5" i="34"/>
  <c r="BA5" i="34"/>
  <c r="BA6" i="34" s="1"/>
  <c r="BW5" i="34"/>
  <c r="AO6" i="34"/>
  <c r="BX6" i="34" s="1"/>
  <c r="BX5" i="34"/>
  <c r="AP6" i="34"/>
  <c r="BY6" i="34" s="1"/>
  <c r="BY5" i="34"/>
  <c r="AQ6" i="34"/>
  <c r="BZ6" i="34" s="1"/>
  <c r="BZ5" i="34"/>
  <c r="AR6" i="34"/>
  <c r="CA6" i="34" s="1"/>
  <c r="CA5" i="34"/>
  <c r="AL6" i="34"/>
  <c r="BU6" i="34" s="1"/>
  <c r="BU5" i="34"/>
  <c r="AI6" i="34"/>
  <c r="BR6" i="34" s="1"/>
  <c r="BR5" i="34"/>
  <c r="CB5" i="34" s="1"/>
  <c r="AJ6" i="34"/>
  <c r="BS6" i="34" s="1"/>
  <c r="BS5" i="34"/>
  <c r="AX5" i="34"/>
  <c r="AX6" i="34" s="1"/>
  <c r="BT5" i="34"/>
  <c r="AZ5" i="34"/>
  <c r="AZ6" i="34" s="1"/>
  <c r="BV5" i="34"/>
  <c r="BJ9" i="36"/>
  <c r="BJ13" i="36" s="1"/>
  <c r="AR13" i="36"/>
  <c r="BL10" i="36"/>
  <c r="BY10" i="36"/>
  <c r="AN6" i="34"/>
  <c r="AU5" i="34"/>
  <c r="AU6" i="34" s="1"/>
  <c r="AU8" i="34" s="1"/>
  <c r="BB5" i="34"/>
  <c r="BB6" i="34" s="1"/>
  <c r="AV5" i="34"/>
  <c r="AV6" i="34" s="1"/>
  <c r="AW5" i="34"/>
  <c r="AW6" i="34" s="1"/>
  <c r="AW8" i="34" s="1"/>
  <c r="AT8" i="34"/>
  <c r="BC5" i="34"/>
  <c r="BC6" i="34" s="1"/>
  <c r="BD5" i="34"/>
  <c r="BD6" i="34" s="1"/>
  <c r="AM6" i="34"/>
  <c r="BE5" i="34"/>
  <c r="BE6" i="34" s="1"/>
  <c r="CD9" i="36"/>
  <c r="BH9" i="36"/>
  <c r="CC9" i="36" s="1"/>
  <c r="AF6" i="34"/>
  <c r="AY5" i="34"/>
  <c r="AY6" i="34" s="1"/>
  <c r="BH6" i="34"/>
  <c r="AK6" i="34"/>
  <c r="AS5" i="34"/>
  <c r="AS6" i="34" s="1"/>
  <c r="Q33" i="32" s="1"/>
  <c r="BM10" i="36"/>
  <c r="BN10" i="36"/>
  <c r="BV10" i="36"/>
  <c r="BW10" i="36"/>
  <c r="BH10" i="36"/>
  <c r="CC10" i="36" s="1"/>
  <c r="BX10" i="36"/>
  <c r="AG58" i="20"/>
  <c r="AG63" i="20" s="1"/>
  <c r="BI104" i="36"/>
  <c r="BI103" i="36"/>
  <c r="BI102" i="36"/>
  <c r="BM13" i="36" l="1"/>
  <c r="BX13" i="36"/>
  <c r="BX15" i="36" s="1"/>
  <c r="BJ15" i="36"/>
  <c r="BH13" i="36"/>
  <c r="BK15" i="36"/>
  <c r="CV13" i="36"/>
  <c r="BW13" i="36"/>
  <c r="BW15" i="36" s="1"/>
  <c r="BN13" i="36"/>
  <c r="BN15" i="36" s="1"/>
  <c r="BY13" i="36"/>
  <c r="BY15" i="36" s="1"/>
  <c r="CV9" i="36"/>
  <c r="BL13" i="36"/>
  <c r="BL15" i="36" s="1"/>
  <c r="BZ9" i="36"/>
  <c r="CA9" i="36" s="1"/>
  <c r="BV13" i="36"/>
  <c r="BV15" i="36" s="1"/>
  <c r="BE8" i="34"/>
  <c r="AX8" i="34"/>
  <c r="BT6" i="34"/>
  <c r="AZ8" i="34"/>
  <c r="BV6" i="34"/>
  <c r="BB8" i="34"/>
  <c r="BA8" i="34"/>
  <c r="BW6" i="34"/>
  <c r="CB6" i="34" s="1"/>
  <c r="AV8" i="34"/>
  <c r="H33" i="32"/>
  <c r="BD8" i="34"/>
  <c r="AY8" i="34"/>
  <c r="BC8" i="34"/>
  <c r="AG38" i="32"/>
  <c r="BF5" i="34"/>
  <c r="BF6" i="34" s="1"/>
  <c r="Z33" i="32" s="1"/>
  <c r="BI15" i="36"/>
  <c r="BZ10" i="36"/>
  <c r="A16" i="32"/>
  <c r="A17" i="32" s="1"/>
  <c r="A18" i="32" s="1"/>
  <c r="A19" i="32" s="1"/>
  <c r="A20" i="32" s="1"/>
  <c r="A21" i="32" s="1"/>
  <c r="CA14" i="36" l="1"/>
  <c r="O38" i="32"/>
  <c r="CC13" i="36"/>
  <c r="BZ13" i="36"/>
  <c r="BF8" i="34"/>
  <c r="BG6" i="34"/>
  <c r="BG7" i="34"/>
  <c r="BF7" i="34"/>
  <c r="AL33" i="32" s="1"/>
  <c r="BG5" i="34"/>
  <c r="BI5" i="34"/>
  <c r="BI6" i="34" s="1"/>
  <c r="BH7" i="34" s="1"/>
  <c r="CA10" i="36"/>
  <c r="CA13" i="36" s="1"/>
  <c r="AD38" i="32" s="1"/>
  <c r="X38" i="32" l="1"/>
  <c r="CB14" i="36"/>
  <c r="BI7" i="34"/>
  <c r="AD33" i="32"/>
  <c r="BZ15" i="36"/>
  <c r="BI8" i="34"/>
  <c r="BZ14" i="36"/>
  <c r="Q42" i="18"/>
  <c r="AF42" i="18" s="1"/>
  <c r="Q34" i="18"/>
  <c r="AF34" i="18" s="1"/>
  <c r="AJ38" i="32" l="1"/>
  <c r="CC14" i="36"/>
  <c r="CC15" i="36" s="1"/>
  <c r="AF35" i="18"/>
  <c r="BH18" i="18" l="1"/>
  <c r="BF18" i="18"/>
  <c r="AS18" i="18"/>
  <c r="Q18" i="18"/>
  <c r="AF18" i="18" s="1"/>
  <c r="BG18" i="18" s="1"/>
  <c r="AV35" i="18"/>
  <c r="BK34" i="18"/>
  <c r="BH34" i="18"/>
  <c r="BH35" i="18" s="1"/>
  <c r="AR34" i="18"/>
  <c r="AQ34" i="18"/>
  <c r="AP34" i="18"/>
  <c r="AO34" i="18"/>
  <c r="AN34" i="18"/>
  <c r="AM34" i="18"/>
  <c r="AL34" i="18"/>
  <c r="AK34" i="18"/>
  <c r="AJ34" i="18"/>
  <c r="AI34" i="18"/>
  <c r="AH34" i="18"/>
  <c r="AH35" i="18" s="1"/>
  <c r="AU37" i="18" s="1"/>
  <c r="AG34" i="18"/>
  <c r="AG35" i="18" s="1"/>
  <c r="BJ34" i="18"/>
  <c r="BJ35" i="18" s="1"/>
  <c r="AG17" i="32" s="1"/>
  <c r="Q17" i="18"/>
  <c r="AF17" i="18" s="1"/>
  <c r="Q16" i="18"/>
  <c r="AF16" i="18" s="1"/>
  <c r="BJ50" i="18"/>
  <c r="BH50" i="18"/>
  <c r="AR50" i="18"/>
  <c r="CA50" i="18" s="1"/>
  <c r="AQ50" i="18"/>
  <c r="BZ50" i="18" s="1"/>
  <c r="AP50" i="18"/>
  <c r="BY50" i="18" s="1"/>
  <c r="AO50" i="18"/>
  <c r="BX50" i="18" s="1"/>
  <c r="AN50" i="18"/>
  <c r="BW50" i="18" s="1"/>
  <c r="AM50" i="18"/>
  <c r="BV50" i="18" s="1"/>
  <c r="AL50" i="18"/>
  <c r="BU50" i="18" s="1"/>
  <c r="AK50" i="18"/>
  <c r="BT50" i="18" s="1"/>
  <c r="AJ50" i="18"/>
  <c r="BS50" i="18" s="1"/>
  <c r="AI50" i="18"/>
  <c r="BJ51" i="18"/>
  <c r="AG19" i="32" s="1"/>
  <c r="BH51" i="18"/>
  <c r="AR51" i="18"/>
  <c r="CA51" i="18" s="1"/>
  <c r="AQ51" i="18"/>
  <c r="BZ51" i="18" s="1"/>
  <c r="AP51" i="18"/>
  <c r="BY51" i="18" s="1"/>
  <c r="AO51" i="18"/>
  <c r="BX51" i="18" s="1"/>
  <c r="AN51" i="18"/>
  <c r="BW51" i="18" s="1"/>
  <c r="AM51" i="18"/>
  <c r="BV51" i="18" s="1"/>
  <c r="AL51" i="18"/>
  <c r="BU51" i="18" s="1"/>
  <c r="AK51" i="18"/>
  <c r="BT51" i="18" s="1"/>
  <c r="AJ51" i="18"/>
  <c r="BS51" i="18" s="1"/>
  <c r="AI51" i="18"/>
  <c r="AH51" i="18"/>
  <c r="AU51" i="18" s="1"/>
  <c r="AG51" i="18"/>
  <c r="AT51" i="18" s="1"/>
  <c r="BJ42" i="18"/>
  <c r="BJ43" i="18" s="1"/>
  <c r="AG18" i="32" s="1"/>
  <c r="BH42" i="18"/>
  <c r="AR42" i="18"/>
  <c r="AQ42" i="18"/>
  <c r="AP42" i="18"/>
  <c r="AO42" i="18"/>
  <c r="AN42" i="18"/>
  <c r="AM42" i="18"/>
  <c r="AL42" i="18"/>
  <c r="AK42" i="18"/>
  <c r="AJ42" i="18"/>
  <c r="AI42" i="18"/>
  <c r="AH42" i="18"/>
  <c r="AU42" i="18" s="1"/>
  <c r="AU43" i="18" s="1"/>
  <c r="AV8" i="18"/>
  <c r="AU8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Q7" i="18"/>
  <c r="AF7" i="18" s="1"/>
  <c r="AR6" i="18"/>
  <c r="AQ6" i="18"/>
  <c r="AP6" i="18"/>
  <c r="AO6" i="18"/>
  <c r="AN6" i="18"/>
  <c r="AM6" i="18"/>
  <c r="AL6" i="18"/>
  <c r="AK6" i="18"/>
  <c r="AJ6" i="18"/>
  <c r="AI6" i="18"/>
  <c r="AH6" i="18"/>
  <c r="AG6" i="18"/>
  <c r="Q6" i="18"/>
  <c r="AF6" i="18" s="1"/>
  <c r="AR5" i="18"/>
  <c r="CA5" i="18" s="1"/>
  <c r="AQ5" i="18"/>
  <c r="BZ5" i="18" s="1"/>
  <c r="AP5" i="18"/>
  <c r="BY5" i="18" s="1"/>
  <c r="AO5" i="18"/>
  <c r="BX5" i="18" s="1"/>
  <c r="AN5" i="18"/>
  <c r="BW5" i="18" s="1"/>
  <c r="AM5" i="18"/>
  <c r="BV5" i="18" s="1"/>
  <c r="AL5" i="18"/>
  <c r="BU5" i="18" s="1"/>
  <c r="AK5" i="18"/>
  <c r="BT5" i="18" s="1"/>
  <c r="AJ5" i="18"/>
  <c r="BS5" i="18" s="1"/>
  <c r="AI5" i="18"/>
  <c r="AH5" i="18"/>
  <c r="AG5" i="18"/>
  <c r="Q5" i="18"/>
  <c r="AF5" i="18" s="1"/>
  <c r="BI18" i="18" l="1"/>
  <c r="BB34" i="18"/>
  <c r="BB35" i="18" s="1"/>
  <c r="BX34" i="18"/>
  <c r="BR7" i="18"/>
  <c r="BL7" i="18" s="1"/>
  <c r="BN7" i="18" s="1"/>
  <c r="BV42" i="18"/>
  <c r="AZ42" i="18"/>
  <c r="AZ43" i="18" s="1"/>
  <c r="AI35" i="18"/>
  <c r="AV37" i="18" s="1"/>
  <c r="BR34" i="18"/>
  <c r="BD34" i="18"/>
  <c r="BD35" i="18" s="1"/>
  <c r="BZ34" i="18"/>
  <c r="BC7" i="18"/>
  <c r="BY7" i="18"/>
  <c r="AW7" i="18"/>
  <c r="BS7" i="18"/>
  <c r="BC6" i="18"/>
  <c r="BY6" i="18"/>
  <c r="BW42" i="18"/>
  <c r="BA42" i="18"/>
  <c r="BA43" i="18" s="1"/>
  <c r="BE34" i="18"/>
  <c r="BE35" i="18" s="1"/>
  <c r="CA34" i="18"/>
  <c r="BR6" i="18"/>
  <c r="BD6" i="18"/>
  <c r="BZ6" i="18"/>
  <c r="AY7" i="18"/>
  <c r="BU7" i="18"/>
  <c r="BX42" i="18"/>
  <c r="BB42" i="18"/>
  <c r="BB43" i="18" s="1"/>
  <c r="AX34" i="18"/>
  <c r="AX35" i="18" s="1"/>
  <c r="BT34" i="18"/>
  <c r="BU42" i="18"/>
  <c r="AY42" i="18"/>
  <c r="AY43" i="18" s="1"/>
  <c r="BR50" i="18"/>
  <c r="CB50" i="18" s="1"/>
  <c r="BB6" i="18"/>
  <c r="BX6" i="18"/>
  <c r="AX7" i="18"/>
  <c r="BT7" i="18"/>
  <c r="AW6" i="18"/>
  <c r="BS6" i="18"/>
  <c r="BE6" i="18"/>
  <c r="CA6" i="18"/>
  <c r="AZ7" i="18"/>
  <c r="BV7" i="18"/>
  <c r="BY42" i="18"/>
  <c r="BC42" i="18"/>
  <c r="BC43" i="18" s="1"/>
  <c r="AV51" i="18"/>
  <c r="BF51" i="18" s="1"/>
  <c r="Z19" i="32" s="1"/>
  <c r="AC19" i="32" s="1"/>
  <c r="BR51" i="18"/>
  <c r="CB51" i="18" s="1"/>
  <c r="AY34" i="18"/>
  <c r="AY35" i="18" s="1"/>
  <c r="BU34" i="18"/>
  <c r="BT42" i="18"/>
  <c r="AX42" i="18"/>
  <c r="AX43" i="18" s="1"/>
  <c r="BD7" i="18"/>
  <c r="BZ7" i="18"/>
  <c r="BC34" i="18"/>
  <c r="BC35" i="18" s="1"/>
  <c r="BY34" i="18"/>
  <c r="AW34" i="18"/>
  <c r="AW35" i="18" s="1"/>
  <c r="BS34" i="18"/>
  <c r="AX6" i="18"/>
  <c r="BT6" i="18"/>
  <c r="BA7" i="18"/>
  <c r="BW7" i="18"/>
  <c r="BR42" i="18"/>
  <c r="BL42" i="18" s="1"/>
  <c r="AV42" i="18"/>
  <c r="BZ42" i="18"/>
  <c r="BD42" i="18"/>
  <c r="BD43" i="18" s="1"/>
  <c r="AZ34" i="18"/>
  <c r="AZ35" i="18" s="1"/>
  <c r="BV34" i="18"/>
  <c r="AZ6" i="18"/>
  <c r="BV6" i="18"/>
  <c r="BA6" i="18"/>
  <c r="BW6" i="18"/>
  <c r="BE7" i="18"/>
  <c r="CA7" i="18"/>
  <c r="BR5" i="18"/>
  <c r="CB5" i="18" s="1"/>
  <c r="AY6" i="18"/>
  <c r="BU6" i="18"/>
  <c r="BB7" i="18"/>
  <c r="BX7" i="18"/>
  <c r="BS42" i="18"/>
  <c r="AW42" i="18"/>
  <c r="AW43" i="18" s="1"/>
  <c r="CA42" i="18"/>
  <c r="BE42" i="18"/>
  <c r="BE43" i="18" s="1"/>
  <c r="BA34" i="18"/>
  <c r="BA35" i="18" s="1"/>
  <c r="BW34" i="18"/>
  <c r="AL28" i="32"/>
  <c r="AF8" i="18"/>
  <c r="H17" i="32"/>
  <c r="K17" i="32" s="1"/>
  <c r="AG43" i="18"/>
  <c r="AT45" i="18" s="1"/>
  <c r="AM52" i="18"/>
  <c r="AZ65" i="18" s="1"/>
  <c r="AN52" i="18"/>
  <c r="BA65" i="18" s="1"/>
  <c r="AO52" i="18"/>
  <c r="BB65" i="18" s="1"/>
  <c r="AI43" i="18"/>
  <c r="AP52" i="18"/>
  <c r="BC65" i="18" s="1"/>
  <c r="AR43" i="18"/>
  <c r="AQ43" i="18"/>
  <c r="AJ43" i="18"/>
  <c r="AZ5" i="18"/>
  <c r="AM8" i="18"/>
  <c r="BV8" i="18" s="1"/>
  <c r="BA5" i="18"/>
  <c r="AN8" i="18"/>
  <c r="BW8" i="18" s="1"/>
  <c r="AK43" i="18"/>
  <c r="AH8" i="18"/>
  <c r="BC5" i="18"/>
  <c r="AP8" i="18"/>
  <c r="BY8" i="18" s="1"/>
  <c r="AI8" i="18"/>
  <c r="BD5" i="18"/>
  <c r="AQ8" i="18"/>
  <c r="BZ8" i="18" s="1"/>
  <c r="AM43" i="18"/>
  <c r="AV50" i="18"/>
  <c r="AI52" i="18"/>
  <c r="AQ52" i="18"/>
  <c r="BD65" i="18" s="1"/>
  <c r="BE5" i="18"/>
  <c r="AR8" i="18"/>
  <c r="CA8" i="18" s="1"/>
  <c r="AN43" i="18"/>
  <c r="AG52" i="18"/>
  <c r="AJ52" i="18"/>
  <c r="AW65" i="18" s="1"/>
  <c r="AR52" i="18"/>
  <c r="BE65" i="18" s="1"/>
  <c r="AX5" i="18"/>
  <c r="AK8" i="18"/>
  <c r="BT8" i="18" s="1"/>
  <c r="AO43" i="18"/>
  <c r="AK52" i="18"/>
  <c r="AX65" i="18" s="1"/>
  <c r="BB5" i="18"/>
  <c r="AO8" i="18"/>
  <c r="BX8" i="18" s="1"/>
  <c r="AL43" i="18"/>
  <c r="AW5" i="18"/>
  <c r="AJ8" i="18"/>
  <c r="BS8" i="18" s="1"/>
  <c r="AY5" i="18"/>
  <c r="AL8" i="18"/>
  <c r="BU8" i="18" s="1"/>
  <c r="AH43" i="18"/>
  <c r="AU45" i="18" s="1"/>
  <c r="AP43" i="18"/>
  <c r="AL52" i="18"/>
  <c r="AY65" i="18" s="1"/>
  <c r="BJ52" i="18"/>
  <c r="AH52" i="18"/>
  <c r="BJ16" i="18"/>
  <c r="BJ5" i="18"/>
  <c r="BJ6" i="18"/>
  <c r="BJ18" i="18"/>
  <c r="BH43" i="18"/>
  <c r="I18" i="32" s="1"/>
  <c r="BH52" i="18"/>
  <c r="H19" i="32" s="1"/>
  <c r="K19" i="32" s="1"/>
  <c r="AR35" i="18"/>
  <c r="AJ35" i="18"/>
  <c r="AK35" i="18"/>
  <c r="AM35" i="18"/>
  <c r="AN35" i="18"/>
  <c r="AO35" i="18"/>
  <c r="AL35" i="18"/>
  <c r="AP35" i="18"/>
  <c r="AQ35" i="18"/>
  <c r="AS34" i="18"/>
  <c r="AT34" i="18" s="1"/>
  <c r="AS50" i="18"/>
  <c r="AS51" i="18"/>
  <c r="AS42" i="18"/>
  <c r="BJ7" i="18"/>
  <c r="AS5" i="18"/>
  <c r="AS7" i="18"/>
  <c r="AS6" i="18"/>
  <c r="H15" i="32"/>
  <c r="AW8" i="18" l="1"/>
  <c r="AV52" i="18"/>
  <c r="BL51" i="18"/>
  <c r="BN51" i="18" s="1"/>
  <c r="AT7" i="18"/>
  <c r="AG21" i="32"/>
  <c r="AG20" i="32"/>
  <c r="T19" i="32"/>
  <c r="AL19" i="32"/>
  <c r="BL5" i="18"/>
  <c r="AZ8" i="18"/>
  <c r="AY8" i="18"/>
  <c r="BE8" i="18"/>
  <c r="BE10" i="18" s="1"/>
  <c r="BF6" i="18"/>
  <c r="BG6" i="18" s="1"/>
  <c r="AW45" i="18"/>
  <c r="BS43" i="18"/>
  <c r="CB6" i="18"/>
  <c r="BR35" i="18"/>
  <c r="BR8" i="18"/>
  <c r="CB8" i="18" s="1"/>
  <c r="AW37" i="18"/>
  <c r="BS35" i="18"/>
  <c r="AX8" i="18"/>
  <c r="AX10" i="18" s="1"/>
  <c r="BC8" i="18"/>
  <c r="BC10" i="18" s="1"/>
  <c r="BD45" i="18"/>
  <c r="BZ43" i="18"/>
  <c r="BL6" i="18"/>
  <c r="BN6" i="18" s="1"/>
  <c r="AZ37" i="18"/>
  <c r="BV35" i="18"/>
  <c r="BB45" i="18"/>
  <c r="BX43" i="18"/>
  <c r="AY45" i="18"/>
  <c r="BU43" i="18"/>
  <c r="AX45" i="18"/>
  <c r="BT43" i="18"/>
  <c r="AV43" i="18"/>
  <c r="AV45" i="18" s="1"/>
  <c r="BF42" i="18"/>
  <c r="BF43" i="18" s="1"/>
  <c r="AA18" i="32" s="1"/>
  <c r="AX37" i="18"/>
  <c r="BT35" i="18"/>
  <c r="BF34" i="18"/>
  <c r="BG34" i="18" s="1"/>
  <c r="AT35" i="18"/>
  <c r="AT37" i="18" s="1"/>
  <c r="BD37" i="18"/>
  <c r="BZ35" i="18"/>
  <c r="BE45" i="18"/>
  <c r="CA43" i="18"/>
  <c r="BF7" i="18"/>
  <c r="BG7" i="18" s="1"/>
  <c r="BC37" i="18"/>
  <c r="BY35" i="18"/>
  <c r="BE37" i="18"/>
  <c r="CA35" i="18"/>
  <c r="AZ45" i="18"/>
  <c r="BV43" i="18"/>
  <c r="BR43" i="18"/>
  <c r="BN42" i="18"/>
  <c r="BL40" i="18"/>
  <c r="BL50" i="18"/>
  <c r="CB7" i="18"/>
  <c r="BB37" i="18"/>
  <c r="BX35" i="18"/>
  <c r="BC45" i="18"/>
  <c r="BY43" i="18"/>
  <c r="BB8" i="18"/>
  <c r="BB10" i="18" s="1"/>
  <c r="BA8" i="18"/>
  <c r="BA10" i="18" s="1"/>
  <c r="CB42" i="18"/>
  <c r="BN5" i="18"/>
  <c r="BL3" i="18"/>
  <c r="CB34" i="18"/>
  <c r="AY37" i="18"/>
  <c r="BU35" i="18"/>
  <c r="BA37" i="18"/>
  <c r="BW35" i="18"/>
  <c r="BA45" i="18"/>
  <c r="BW43" i="18"/>
  <c r="BD8" i="18"/>
  <c r="BD10" i="18" s="1"/>
  <c r="BL34" i="18"/>
  <c r="AT5" i="18"/>
  <c r="BF5" i="18" s="1"/>
  <c r="AG15" i="32"/>
  <c r="AV65" i="18"/>
  <c r="AT52" i="18"/>
  <c r="AT65" i="18" s="1"/>
  <c r="BF35" i="18"/>
  <c r="Z17" i="32" s="1"/>
  <c r="K15" i="32"/>
  <c r="K21" i="32"/>
  <c r="K18" i="32"/>
  <c r="AU52" i="18"/>
  <c r="AU65" i="18" s="1"/>
  <c r="BF50" i="18"/>
  <c r="BF52" i="18" s="1"/>
  <c r="BI42" i="18"/>
  <c r="AS43" i="18"/>
  <c r="R18" i="32" s="1"/>
  <c r="BG51" i="18"/>
  <c r="Q15" i="32"/>
  <c r="Q22" i="32" s="1"/>
  <c r="Q48" i="32" s="1"/>
  <c r="AF43" i="18"/>
  <c r="Q17" i="32"/>
  <c r="BI51" i="18"/>
  <c r="AU10" i="18"/>
  <c r="AY10" i="18"/>
  <c r="AZ10" i="18"/>
  <c r="AW10" i="18"/>
  <c r="AV10" i="18"/>
  <c r="AO19" i="32" l="1"/>
  <c r="BI7" i="18"/>
  <c r="BI6" i="18"/>
  <c r="BF8" i="18"/>
  <c r="Z15" i="32" s="1"/>
  <c r="BI35" i="18"/>
  <c r="AT8" i="18"/>
  <c r="AT10" i="18" s="1"/>
  <c r="BF10" i="18" s="1"/>
  <c r="BF45" i="18"/>
  <c r="R51" i="32"/>
  <c r="BL8" i="18"/>
  <c r="BN8" i="18" s="1"/>
  <c r="BN50" i="18"/>
  <c r="BL48" i="18"/>
  <c r="CB35" i="18"/>
  <c r="BL35" i="18"/>
  <c r="BN35" i="18" s="1"/>
  <c r="AC18" i="32"/>
  <c r="CB43" i="18"/>
  <c r="BG42" i="18"/>
  <c r="BL32" i="18"/>
  <c r="BN34" i="18"/>
  <c r="BL43" i="18"/>
  <c r="BN43" i="18" s="1"/>
  <c r="AM18" i="32"/>
  <c r="AL21" i="32"/>
  <c r="AL17" i="32"/>
  <c r="BI50" i="18"/>
  <c r="BI52" i="18" s="1"/>
  <c r="BG50" i="18"/>
  <c r="BG52" i="18" s="1"/>
  <c r="BG5" i="18"/>
  <c r="BG8" i="18" s="1"/>
  <c r="T17" i="32"/>
  <c r="BI43" i="18"/>
  <c r="BH44" i="18" s="1"/>
  <c r="T15" i="32"/>
  <c r="BF44" i="18"/>
  <c r="T21" i="32"/>
  <c r="BG44" i="18"/>
  <c r="BG43" i="18"/>
  <c r="BI8" i="18" l="1"/>
  <c r="AD19" i="32"/>
  <c r="BI53" i="18"/>
  <c r="BI54" i="18" s="1"/>
  <c r="AF19" i="32"/>
  <c r="AE19" i="32" s="1"/>
  <c r="AL15" i="32"/>
  <c r="AM22" i="32"/>
  <c r="T18" i="32"/>
  <c r="BI44" i="18"/>
  <c r="BI45" i="18" s="1"/>
  <c r="AD18" i="32"/>
  <c r="AO21" i="32"/>
  <c r="BF9" i="18"/>
  <c r="BG9" i="18"/>
  <c r="BH9" i="18" l="1"/>
  <c r="AE21" i="32"/>
  <c r="AO18" i="32"/>
  <c r="AF18" i="32"/>
  <c r="AE18" i="32" s="1"/>
  <c r="BI9" i="18"/>
  <c r="BI10" i="18" s="1"/>
  <c r="AD15" i="32"/>
  <c r="AC15" i="32"/>
  <c r="BH17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BJ17" i="18"/>
  <c r="BH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BH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Q15" i="18"/>
  <c r="AF15" i="18" s="1"/>
  <c r="AO15" i="32" l="1"/>
  <c r="BD17" i="18"/>
  <c r="BZ17" i="18"/>
  <c r="BD16" i="18"/>
  <c r="BZ16" i="18"/>
  <c r="AX17" i="18"/>
  <c r="BT17" i="18"/>
  <c r="BB15" i="18"/>
  <c r="BX15" i="18"/>
  <c r="AW16" i="18"/>
  <c r="BS16" i="18"/>
  <c r="BE16" i="18"/>
  <c r="CA16" i="18"/>
  <c r="AY17" i="18"/>
  <c r="BU17" i="18"/>
  <c r="AW17" i="18"/>
  <c r="BS17" i="18"/>
  <c r="AV17" i="18"/>
  <c r="BR17" i="18"/>
  <c r="BL17" i="18" s="1"/>
  <c r="BN17" i="18" s="1"/>
  <c r="BE17" i="18"/>
  <c r="CA17" i="18"/>
  <c r="BA17" i="18"/>
  <c r="BW17" i="18"/>
  <c r="BB16" i="18"/>
  <c r="BX16" i="18"/>
  <c r="BA15" i="18"/>
  <c r="BW15" i="18"/>
  <c r="BC15" i="18"/>
  <c r="BY15" i="18"/>
  <c r="AV15" i="18"/>
  <c r="BR15" i="18"/>
  <c r="BE15" i="18"/>
  <c r="CA15" i="18"/>
  <c r="AZ16" i="18"/>
  <c r="BV16" i="18"/>
  <c r="BB17" i="18"/>
  <c r="BX17" i="18"/>
  <c r="AY15" i="18"/>
  <c r="BU15" i="18"/>
  <c r="AZ15" i="18"/>
  <c r="BV15" i="18"/>
  <c r="BC16" i="18"/>
  <c r="BY16" i="18"/>
  <c r="AV16" i="18"/>
  <c r="BR16" i="18"/>
  <c r="BL16" i="18" s="1"/>
  <c r="BN16" i="18" s="1"/>
  <c r="AX16" i="18"/>
  <c r="BT16" i="18"/>
  <c r="AZ17" i="18"/>
  <c r="BV17" i="18"/>
  <c r="BD15" i="18"/>
  <c r="BZ15" i="18"/>
  <c r="AY16" i="18"/>
  <c r="BU16" i="18"/>
  <c r="AW15" i="18"/>
  <c r="BS15" i="18"/>
  <c r="AX15" i="18"/>
  <c r="BT15" i="18"/>
  <c r="BA16" i="18"/>
  <c r="BW16" i="18"/>
  <c r="BC17" i="18"/>
  <c r="BY17" i="18"/>
  <c r="AP27" i="18"/>
  <c r="BY27" i="18" s="1"/>
  <c r="AJ19" i="18"/>
  <c r="BS19" i="18" s="1"/>
  <c r="AK27" i="18"/>
  <c r="BT27" i="18" s="1"/>
  <c r="AN19" i="18"/>
  <c r="BW19" i="18" s="1"/>
  <c r="AK19" i="18"/>
  <c r="BT19" i="18" s="1"/>
  <c r="AR27" i="18"/>
  <c r="CA27" i="18" s="1"/>
  <c r="AM19" i="18"/>
  <c r="BV19" i="18" s="1"/>
  <c r="AO19" i="18"/>
  <c r="BX19" i="18" s="1"/>
  <c r="AR19" i="18"/>
  <c r="CA19" i="18" s="1"/>
  <c r="AP19" i="18"/>
  <c r="BY19" i="18" s="1"/>
  <c r="AQ27" i="18"/>
  <c r="BZ27" i="18" s="1"/>
  <c r="AL19" i="18"/>
  <c r="BU19" i="18" s="1"/>
  <c r="AI19" i="18"/>
  <c r="AQ19" i="18"/>
  <c r="BZ19" i="18" s="1"/>
  <c r="AO27" i="18"/>
  <c r="BX27" i="18" s="1"/>
  <c r="AN27" i="18"/>
  <c r="BW27" i="18" s="1"/>
  <c r="AM27" i="18"/>
  <c r="BV27" i="18" s="1"/>
  <c r="AY27" i="18"/>
  <c r="AL27" i="18"/>
  <c r="BU27" i="18" s="1"/>
  <c r="AH19" i="18"/>
  <c r="AJ27" i="18"/>
  <c r="BS27" i="18" s="1"/>
  <c r="AV27" i="18"/>
  <c r="AI27" i="18"/>
  <c r="AG27" i="18"/>
  <c r="AU27" i="18"/>
  <c r="AH27" i="18"/>
  <c r="AE15" i="32"/>
  <c r="BJ15" i="18"/>
  <c r="BJ19" i="18" s="1"/>
  <c r="BH19" i="18"/>
  <c r="J16" i="32" s="1"/>
  <c r="BC27" i="18"/>
  <c r="BD27" i="18"/>
  <c r="BE27" i="18"/>
  <c r="AZ27" i="18"/>
  <c r="BB27" i="18"/>
  <c r="BA27" i="18"/>
  <c r="AX27" i="18"/>
  <c r="AW27" i="18"/>
  <c r="AS17" i="18"/>
  <c r="BH27" i="18"/>
  <c r="AS16" i="18"/>
  <c r="AS15" i="18"/>
  <c r="AT15" i="18" s="1"/>
  <c r="BC19" i="18" l="1"/>
  <c r="BE19" i="18"/>
  <c r="AT16" i="18"/>
  <c r="BF16" i="18" s="1"/>
  <c r="BB19" i="18"/>
  <c r="BB21" i="18" s="1"/>
  <c r="BD19" i="18"/>
  <c r="BD21" i="18" s="1"/>
  <c r="AY19" i="18"/>
  <c r="AY21" i="18" s="1"/>
  <c r="BA19" i="18"/>
  <c r="BA21" i="18" s="1"/>
  <c r="AW19" i="18"/>
  <c r="AW21" i="18" s="1"/>
  <c r="AX19" i="18"/>
  <c r="AX21" i="18" s="1"/>
  <c r="BF17" i="18"/>
  <c r="BI17" i="18" s="1"/>
  <c r="AV19" i="18"/>
  <c r="AV21" i="18" s="1"/>
  <c r="AZ19" i="18"/>
  <c r="AZ21" i="18" s="1"/>
  <c r="CB15" i="18"/>
  <c r="BL15" i="18"/>
  <c r="BR27" i="18"/>
  <c r="CB27" i="18" s="1"/>
  <c r="CB16" i="18"/>
  <c r="BR19" i="18"/>
  <c r="CB19" i="18" s="1"/>
  <c r="CB17" i="18"/>
  <c r="BF15" i="18"/>
  <c r="AU19" i="18"/>
  <c r="AU21" i="18" s="1"/>
  <c r="AG16" i="32"/>
  <c r="AG22" i="32" s="1"/>
  <c r="AT19" i="18"/>
  <c r="AT21" i="18" s="1"/>
  <c r="BJ27" i="18"/>
  <c r="S16" i="32"/>
  <c r="S22" i="32" s="1"/>
  <c r="S48" i="32" s="1"/>
  <c r="AT27" i="18"/>
  <c r="AT29" i="18" s="1"/>
  <c r="BD29" i="18"/>
  <c r="AZ29" i="18"/>
  <c r="AX29" i="18"/>
  <c r="K16" i="32"/>
  <c r="AW29" i="18"/>
  <c r="AV29" i="18"/>
  <c r="BE29" i="18"/>
  <c r="BA29" i="18"/>
  <c r="BC29" i="18"/>
  <c r="BC21" i="18"/>
  <c r="AY29" i="18"/>
  <c r="BE21" i="18"/>
  <c r="AU29" i="18"/>
  <c r="BB29" i="18"/>
  <c r="AF19" i="18"/>
  <c r="BG17" i="18" l="1"/>
  <c r="BG19" i="18"/>
  <c r="BL19" i="18"/>
  <c r="BN19" i="18" s="1"/>
  <c r="BL27" i="18"/>
  <c r="BN27" i="18" s="1"/>
  <c r="BN15" i="18"/>
  <c r="BL13" i="18"/>
  <c r="BF19" i="18"/>
  <c r="AB16" i="32" s="1"/>
  <c r="AU30" i="18"/>
  <c r="AS27" i="18"/>
  <c r="T16" i="32"/>
  <c r="T22" i="32" s="1"/>
  <c r="BF27" i="18"/>
  <c r="BF29" i="18"/>
  <c r="BF21" i="18"/>
  <c r="BG20" i="18" l="1"/>
  <c r="P51" i="32"/>
  <c r="AC16" i="32"/>
  <c r="BF20" i="18"/>
  <c r="AN16" i="32"/>
  <c r="AD16" i="32"/>
  <c r="BI19" i="18"/>
  <c r="BH20" i="18" s="1"/>
  <c r="BG27" i="18"/>
  <c r="BI27" i="18"/>
  <c r="BH28" i="18" s="1"/>
  <c r="BG28" i="18"/>
  <c r="BF28" i="18"/>
  <c r="AO16" i="32" l="1"/>
  <c r="BI20" i="18"/>
  <c r="BI21" i="18" s="1"/>
  <c r="BI28" i="18"/>
  <c r="BI29" i="18" s="1"/>
  <c r="AC17" i="32"/>
  <c r="AD17" i="32"/>
  <c r="AD22" i="32" s="1"/>
  <c r="CB43" i="36"/>
  <c r="CU43" i="36"/>
  <c r="BG43" i="36"/>
  <c r="CT43" i="36" s="1"/>
  <c r="BF43" i="36"/>
  <c r="CS43" i="36" s="1"/>
  <c r="BE43" i="36"/>
  <c r="CR43" i="36" s="1"/>
  <c r="BD43" i="36"/>
  <c r="CQ43" i="36" s="1"/>
  <c r="AW43" i="36"/>
  <c r="CP43" i="36" s="1"/>
  <c r="AV43" i="36"/>
  <c r="CO43" i="36" s="1"/>
  <c r="AU43" i="36"/>
  <c r="CN43" i="36" s="1"/>
  <c r="AT43" i="36"/>
  <c r="CM43" i="36" s="1"/>
  <c r="AS43" i="36"/>
  <c r="CL43" i="36" s="1"/>
  <c r="AR43" i="36"/>
  <c r="AQ43" i="36"/>
  <c r="V43" i="36"/>
  <c r="AP43" i="36" s="1"/>
  <c r="AE16" i="32" l="1"/>
  <c r="AO17" i="32"/>
  <c r="AF22" i="32"/>
  <c r="AF48" i="32" s="1"/>
  <c r="CV43" i="36"/>
  <c r="BI43" i="36"/>
  <c r="CD43" i="36"/>
  <c r="BV43" i="36"/>
  <c r="BW43" i="36"/>
  <c r="BJ43" i="36"/>
  <c r="BL43" i="36"/>
  <c r="BX43" i="36"/>
  <c r="BY43" i="36"/>
  <c r="BK43" i="36"/>
  <c r="BM43" i="36"/>
  <c r="BN43" i="36"/>
  <c r="BI36" i="18"/>
  <c r="BH43" i="36"/>
  <c r="BZ43" i="36" l="1"/>
  <c r="CC43" i="36" s="1"/>
  <c r="AE17" i="32"/>
  <c r="AE22" i="32" s="1"/>
  <c r="BI37" i="18"/>
  <c r="CA43" i="36" l="1"/>
  <c r="AL22" i="32"/>
  <c r="AG28" i="34" l="1"/>
  <c r="BH60" i="20" l="1"/>
  <c r="AR60" i="20"/>
  <c r="BE60" i="20" s="1"/>
  <c r="AQ60" i="20"/>
  <c r="BD60" i="20" s="1"/>
  <c r="AP60" i="20"/>
  <c r="BC60" i="20" s="1"/>
  <c r="AO60" i="20"/>
  <c r="BB60" i="20" s="1"/>
  <c r="AN60" i="20"/>
  <c r="BA60" i="20" s="1"/>
  <c r="AM60" i="20"/>
  <c r="AZ60" i="20" s="1"/>
  <c r="AL60" i="20"/>
  <c r="AY60" i="20" s="1"/>
  <c r="AK60" i="20"/>
  <c r="AX60" i="20" s="1"/>
  <c r="AJ60" i="20"/>
  <c r="AW60" i="20" s="1"/>
  <c r="AI60" i="20"/>
  <c r="AV60" i="20" s="1"/>
  <c r="AH60" i="20"/>
  <c r="BL60" i="20" s="1"/>
  <c r="BM60" i="20" s="1"/>
  <c r="AG60" i="20"/>
  <c r="AT60" i="20" s="1"/>
  <c r="Q60" i="20"/>
  <c r="AF60" i="20" s="1"/>
  <c r="BH58" i="20"/>
  <c r="AR58" i="20"/>
  <c r="BE58" i="20" s="1"/>
  <c r="AQ58" i="20"/>
  <c r="BD58" i="20" s="1"/>
  <c r="AP58" i="20"/>
  <c r="BC58" i="20" s="1"/>
  <c r="AO58" i="20"/>
  <c r="BB58" i="20" s="1"/>
  <c r="AN58" i="20"/>
  <c r="BA58" i="20" s="1"/>
  <c r="AM58" i="20"/>
  <c r="AZ58" i="20" s="1"/>
  <c r="AL58" i="20"/>
  <c r="AY58" i="20" s="1"/>
  <c r="AK58" i="20"/>
  <c r="AX58" i="20" s="1"/>
  <c r="AJ58" i="20"/>
  <c r="AW58" i="20" s="1"/>
  <c r="AI58" i="20"/>
  <c r="AV58" i="20" s="1"/>
  <c r="AH58" i="20"/>
  <c r="BL58" i="20" s="1"/>
  <c r="Q58" i="20"/>
  <c r="AF58" i="20" s="1"/>
  <c r="AR51" i="20"/>
  <c r="BE51" i="20" s="1"/>
  <c r="AQ51" i="20"/>
  <c r="BD51" i="20" s="1"/>
  <c r="AP51" i="20"/>
  <c r="BC51" i="20" s="1"/>
  <c r="AO51" i="20"/>
  <c r="BB51" i="20" s="1"/>
  <c r="AN51" i="20"/>
  <c r="BA51" i="20" s="1"/>
  <c r="AM51" i="20"/>
  <c r="AZ51" i="20" s="1"/>
  <c r="AL51" i="20"/>
  <c r="AY51" i="20" s="1"/>
  <c r="AK51" i="20"/>
  <c r="AX51" i="20" s="1"/>
  <c r="AJ51" i="20"/>
  <c r="AW51" i="20" s="1"/>
  <c r="AI51" i="20"/>
  <c r="AV51" i="20" s="1"/>
  <c r="AH51" i="20"/>
  <c r="AG51" i="20"/>
  <c r="Q51" i="20"/>
  <c r="AF51" i="20" s="1"/>
  <c r="BH57" i="20"/>
  <c r="AR57" i="20"/>
  <c r="BE57" i="20" s="1"/>
  <c r="AQ57" i="20"/>
  <c r="BD57" i="20" s="1"/>
  <c r="AP57" i="20"/>
  <c r="BC57" i="20" s="1"/>
  <c r="AO57" i="20"/>
  <c r="BB57" i="20" s="1"/>
  <c r="AN57" i="20"/>
  <c r="BA57" i="20" s="1"/>
  <c r="BR57" i="20" s="1"/>
  <c r="CD57" i="20" s="1"/>
  <c r="AM57" i="20"/>
  <c r="AZ57" i="20" s="1"/>
  <c r="AL57" i="20"/>
  <c r="AY57" i="20" s="1"/>
  <c r="AK57" i="20"/>
  <c r="AX57" i="20" s="1"/>
  <c r="AJ57" i="20"/>
  <c r="AW57" i="20" s="1"/>
  <c r="AI57" i="20"/>
  <c r="AV57" i="20" s="1"/>
  <c r="AH57" i="20"/>
  <c r="BL57" i="20" s="1"/>
  <c r="BM57" i="20" s="1"/>
  <c r="AT57" i="20"/>
  <c r="Q57" i="20"/>
  <c r="AF57" i="20" s="1"/>
  <c r="BH52" i="20"/>
  <c r="AR52" i="20"/>
  <c r="BE52" i="20" s="1"/>
  <c r="AQ52" i="20"/>
  <c r="BD52" i="20" s="1"/>
  <c r="AP52" i="20"/>
  <c r="BC52" i="20" s="1"/>
  <c r="AO52" i="20"/>
  <c r="BB52" i="20" s="1"/>
  <c r="AN52" i="20"/>
  <c r="BA52" i="20" s="1"/>
  <c r="AM52" i="20"/>
  <c r="AZ52" i="20" s="1"/>
  <c r="AL52" i="20"/>
  <c r="AY52" i="20" s="1"/>
  <c r="AK52" i="20"/>
  <c r="AX52" i="20" s="1"/>
  <c r="AJ52" i="20"/>
  <c r="AW52" i="20" s="1"/>
  <c r="AI52" i="20"/>
  <c r="AV52" i="20" s="1"/>
  <c r="AH52" i="20"/>
  <c r="AG52" i="20"/>
  <c r="Q52" i="20"/>
  <c r="AF52" i="20" s="1"/>
  <c r="BH43" i="20"/>
  <c r="AR43" i="20"/>
  <c r="AQ43" i="20"/>
  <c r="AP43" i="20"/>
  <c r="AO43" i="20"/>
  <c r="AN43" i="20"/>
  <c r="AM43" i="20"/>
  <c r="AL43" i="20"/>
  <c r="AY43" i="20" s="1"/>
  <c r="AK43" i="20"/>
  <c r="AX43" i="20" s="1"/>
  <c r="AJ43" i="20"/>
  <c r="AW43" i="20" s="1"/>
  <c r="AI43" i="20"/>
  <c r="AV43" i="20" s="1"/>
  <c r="AH43" i="20"/>
  <c r="AU43" i="20" s="1"/>
  <c r="AG43" i="20"/>
  <c r="AT43" i="20" s="1"/>
  <c r="BH42" i="20"/>
  <c r="AR42" i="20"/>
  <c r="AQ42" i="20"/>
  <c r="AP42" i="20"/>
  <c r="AO42" i="20"/>
  <c r="BL42" i="20" s="1"/>
  <c r="AN42" i="20"/>
  <c r="AM42" i="20"/>
  <c r="AL42" i="20"/>
  <c r="AK42" i="20"/>
  <c r="AJ42" i="20"/>
  <c r="AI42" i="20"/>
  <c r="AH42" i="20"/>
  <c r="AG42" i="20"/>
  <c r="AT42" i="20" s="1"/>
  <c r="Q42" i="20"/>
  <c r="BJ7" i="20"/>
  <c r="AR7" i="20"/>
  <c r="CA7" i="20" s="1"/>
  <c r="AQ7" i="20"/>
  <c r="BZ7" i="20" s="1"/>
  <c r="AP7" i="20"/>
  <c r="BY7" i="20" s="1"/>
  <c r="AO7" i="20"/>
  <c r="BX7" i="20" s="1"/>
  <c r="AN7" i="20"/>
  <c r="BW7" i="20" s="1"/>
  <c r="AM7" i="20"/>
  <c r="BV7" i="20" s="1"/>
  <c r="AL7" i="20"/>
  <c r="BU7" i="20" s="1"/>
  <c r="AK7" i="20"/>
  <c r="BT7" i="20" s="1"/>
  <c r="AJ7" i="20"/>
  <c r="AI7" i="20"/>
  <c r="AH7" i="20"/>
  <c r="BJ6" i="20"/>
  <c r="AR6" i="20"/>
  <c r="CA6" i="20" s="1"/>
  <c r="AQ6" i="20"/>
  <c r="BZ6" i="20" s="1"/>
  <c r="AP6" i="20"/>
  <c r="BY6" i="20" s="1"/>
  <c r="AO6" i="20"/>
  <c r="BX6" i="20" s="1"/>
  <c r="AN6" i="20"/>
  <c r="BW6" i="20" s="1"/>
  <c r="AM6" i="20"/>
  <c r="BV6" i="20" s="1"/>
  <c r="AL6" i="20"/>
  <c r="BU6" i="20" s="1"/>
  <c r="AK6" i="20"/>
  <c r="BT6" i="20" s="1"/>
  <c r="AJ6" i="20"/>
  <c r="AI6" i="20"/>
  <c r="AH6" i="20"/>
  <c r="AU6" i="20" s="1"/>
  <c r="AG6" i="20"/>
  <c r="BJ5" i="20"/>
  <c r="BH5" i="20"/>
  <c r="AR5" i="20"/>
  <c r="CA5" i="20" s="1"/>
  <c r="AQ5" i="20"/>
  <c r="BZ5" i="20" s="1"/>
  <c r="AP5" i="20"/>
  <c r="BY5" i="20" s="1"/>
  <c r="AO5" i="20"/>
  <c r="BX5" i="20" s="1"/>
  <c r="AN5" i="20"/>
  <c r="BW5" i="20" s="1"/>
  <c r="AM5" i="20"/>
  <c r="BV5" i="20" s="1"/>
  <c r="AL5" i="20"/>
  <c r="AK5" i="20"/>
  <c r="AJ5" i="20"/>
  <c r="AH5" i="20"/>
  <c r="BJ12" i="20"/>
  <c r="AR12" i="20"/>
  <c r="CA12" i="20" s="1"/>
  <c r="AQ12" i="20"/>
  <c r="BZ12" i="20" s="1"/>
  <c r="AP12" i="20"/>
  <c r="BY12" i="20" s="1"/>
  <c r="AO12" i="20"/>
  <c r="BX12" i="20" s="1"/>
  <c r="AN12" i="20"/>
  <c r="BW12" i="20" s="1"/>
  <c r="AM12" i="20"/>
  <c r="BV12" i="20" s="1"/>
  <c r="AL12" i="20"/>
  <c r="BU12" i="20" s="1"/>
  <c r="AK12" i="20"/>
  <c r="BT12" i="20" s="1"/>
  <c r="AJ12" i="20"/>
  <c r="AH12" i="20"/>
  <c r="AR11" i="20"/>
  <c r="CA11" i="20" s="1"/>
  <c r="AQ11" i="20"/>
  <c r="BZ11" i="20" s="1"/>
  <c r="AP11" i="20"/>
  <c r="BY11" i="20" s="1"/>
  <c r="AO11" i="20"/>
  <c r="BX11" i="20" s="1"/>
  <c r="AN11" i="20"/>
  <c r="BW11" i="20" s="1"/>
  <c r="AM11" i="20"/>
  <c r="BV11" i="20" s="1"/>
  <c r="AL11" i="20"/>
  <c r="BU11" i="20" s="1"/>
  <c r="AK11" i="20"/>
  <c r="BT11" i="20" s="1"/>
  <c r="AJ11" i="20"/>
  <c r="AI11" i="20"/>
  <c r="AH11" i="20"/>
  <c r="BJ11" i="20"/>
  <c r="BJ10" i="20"/>
  <c r="AR10" i="20"/>
  <c r="CA10" i="20" s="1"/>
  <c r="AQ10" i="20"/>
  <c r="BZ10" i="20" s="1"/>
  <c r="AP10" i="20"/>
  <c r="BY10" i="20" s="1"/>
  <c r="AO10" i="20"/>
  <c r="BX10" i="20" s="1"/>
  <c r="AN10" i="20"/>
  <c r="BW10" i="20" s="1"/>
  <c r="AM10" i="20"/>
  <c r="BV10" i="20" s="1"/>
  <c r="AL10" i="20"/>
  <c r="BU10" i="20" s="1"/>
  <c r="AK10" i="20"/>
  <c r="BT10" i="20" s="1"/>
  <c r="AJ10" i="20"/>
  <c r="AI10" i="20"/>
  <c r="AH10" i="20"/>
  <c r="AU10" i="20" s="1"/>
  <c r="AG10" i="20"/>
  <c r="AR9" i="20"/>
  <c r="CA9" i="20" s="1"/>
  <c r="AQ9" i="20"/>
  <c r="BZ9" i="20" s="1"/>
  <c r="AP9" i="20"/>
  <c r="BY9" i="20" s="1"/>
  <c r="AO9" i="20"/>
  <c r="BX9" i="20" s="1"/>
  <c r="AN9" i="20"/>
  <c r="BW9" i="20" s="1"/>
  <c r="AM9" i="20"/>
  <c r="BV9" i="20" s="1"/>
  <c r="AL9" i="20"/>
  <c r="BU9" i="20" s="1"/>
  <c r="AK9" i="20"/>
  <c r="BT9" i="20" s="1"/>
  <c r="AJ9" i="20"/>
  <c r="AI9" i="20"/>
  <c r="AH9" i="20"/>
  <c r="AU9" i="20" s="1"/>
  <c r="AG9" i="20"/>
  <c r="BJ9" i="20"/>
  <c r="BJ8" i="20"/>
  <c r="AR8" i="20"/>
  <c r="CA8" i="20" s="1"/>
  <c r="AQ8" i="20"/>
  <c r="BZ8" i="20" s="1"/>
  <c r="AP8" i="20"/>
  <c r="BY8" i="20" s="1"/>
  <c r="AO8" i="20"/>
  <c r="BX8" i="20" s="1"/>
  <c r="AN8" i="20"/>
  <c r="BW8" i="20" s="1"/>
  <c r="AM8" i="20"/>
  <c r="BV8" i="20" s="1"/>
  <c r="AL8" i="20"/>
  <c r="BU8" i="20" s="1"/>
  <c r="AK8" i="20"/>
  <c r="BT8" i="20" s="1"/>
  <c r="AJ8" i="20"/>
  <c r="AI8" i="20"/>
  <c r="AH8" i="20"/>
  <c r="AU8" i="20" s="1"/>
  <c r="AG8" i="20"/>
  <c r="AR22" i="20"/>
  <c r="CA22" i="20" s="1"/>
  <c r="AQ22" i="20"/>
  <c r="BZ22" i="20" s="1"/>
  <c r="AP22" i="20"/>
  <c r="BY22" i="20" s="1"/>
  <c r="AO22" i="20"/>
  <c r="BX22" i="20" s="1"/>
  <c r="AN22" i="20"/>
  <c r="BW22" i="20" s="1"/>
  <c r="AM22" i="20"/>
  <c r="BV22" i="20" s="1"/>
  <c r="AL22" i="20"/>
  <c r="BU22" i="20" s="1"/>
  <c r="AK22" i="20"/>
  <c r="BT22" i="20" s="1"/>
  <c r="AI22" i="20"/>
  <c r="AH22" i="20"/>
  <c r="AG22" i="20"/>
  <c r="BJ22" i="20"/>
  <c r="BF57" i="20" l="1"/>
  <c r="BF60" i="20"/>
  <c r="AU52" i="20"/>
  <c r="BL52" i="20"/>
  <c r="BM58" i="20"/>
  <c r="BN58" i="20" s="1"/>
  <c r="AU51" i="20"/>
  <c r="BL51" i="20" s="1"/>
  <c r="AJ64" i="20"/>
  <c r="BF58" i="20"/>
  <c r="AU12" i="20"/>
  <c r="AS12" i="20"/>
  <c r="AT51" i="20"/>
  <c r="AT10" i="20"/>
  <c r="AS10" i="20"/>
  <c r="AU7" i="20"/>
  <c r="BF7" i="20" s="1"/>
  <c r="AS7" i="20"/>
  <c r="AT22" i="20"/>
  <c r="BF22" i="20" s="1"/>
  <c r="AS22" i="20"/>
  <c r="BG22" i="20" s="1"/>
  <c r="AT8" i="20"/>
  <c r="BF8" i="20" s="1"/>
  <c r="AS8" i="20"/>
  <c r="AU11" i="20"/>
  <c r="AS11" i="20"/>
  <c r="AT6" i="20"/>
  <c r="AS6" i="20"/>
  <c r="AT9" i="20"/>
  <c r="AS9" i="20"/>
  <c r="AU5" i="20"/>
  <c r="BF5" i="20" s="1"/>
  <c r="AS5" i="20"/>
  <c r="AT52" i="20"/>
  <c r="AL23" i="20"/>
  <c r="AV61" i="20"/>
  <c r="BD61" i="20"/>
  <c r="AW61" i="20"/>
  <c r="BE61" i="20"/>
  <c r="BS6" i="20"/>
  <c r="AW6" i="20"/>
  <c r="BB61" i="20"/>
  <c r="BS9" i="20"/>
  <c r="AW9" i="20"/>
  <c r="BC61" i="20"/>
  <c r="AY61" i="20"/>
  <c r="BS10" i="20"/>
  <c r="AW10" i="20"/>
  <c r="BS12" i="20"/>
  <c r="AW12" i="20"/>
  <c r="AZ61" i="20"/>
  <c r="BS8" i="20"/>
  <c r="BL8" i="20" s="1"/>
  <c r="BS5" i="20"/>
  <c r="AW5" i="20"/>
  <c r="AJ23" i="20"/>
  <c r="AJ25" i="20" s="1"/>
  <c r="BT5" i="20"/>
  <c r="BT23" i="20" s="1"/>
  <c r="BS11" i="20"/>
  <c r="AW11" i="20"/>
  <c r="AX61" i="20"/>
  <c r="BA61" i="20"/>
  <c r="AK23" i="20"/>
  <c r="AH36" i="20" s="1"/>
  <c r="BS7" i="20"/>
  <c r="BP51" i="20"/>
  <c r="BR11" i="20"/>
  <c r="BL11" i="20" s="1"/>
  <c r="BN11" i="20" s="1"/>
  <c r="BR22" i="20"/>
  <c r="BR10" i="20"/>
  <c r="BU5" i="20"/>
  <c r="BU23" i="20" s="1"/>
  <c r="BR9" i="20"/>
  <c r="BR7" i="20"/>
  <c r="BR6" i="20"/>
  <c r="BL6" i="20" s="1"/>
  <c r="BN6" i="20" s="1"/>
  <c r="BR12" i="20"/>
  <c r="BR8" i="20"/>
  <c r="CA23" i="20"/>
  <c r="BD43" i="20"/>
  <c r="BU43" i="20" s="1"/>
  <c r="CG43" i="20" s="1"/>
  <c r="BS51" i="20"/>
  <c r="BC43" i="20"/>
  <c r="BT43" i="20" s="1"/>
  <c r="CF43" i="20" s="1"/>
  <c r="BZ23" i="20"/>
  <c r="BT51" i="20"/>
  <c r="CF51" i="20" s="1"/>
  <c r="CC52" i="20"/>
  <c r="BS57" i="20"/>
  <c r="CE57" i="20" s="1"/>
  <c r="BU51" i="20"/>
  <c r="CD52" i="20"/>
  <c r="BT57" i="20"/>
  <c r="CF57" i="20" s="1"/>
  <c r="AZ43" i="20"/>
  <c r="BQ43" i="20" s="1"/>
  <c r="CC43" i="20" s="1"/>
  <c r="BS52" i="20"/>
  <c r="CE52" i="20" s="1"/>
  <c r="BA43" i="20"/>
  <c r="BR43" i="20" s="1"/>
  <c r="CD43" i="20" s="1"/>
  <c r="BT52" i="20"/>
  <c r="CF52" i="20" s="1"/>
  <c r="BB43" i="20"/>
  <c r="BS43" i="20" s="1"/>
  <c r="CE43" i="20" s="1"/>
  <c r="BL43" i="20"/>
  <c r="BL44" i="20" s="1"/>
  <c r="BU52" i="20"/>
  <c r="CG52" i="20" s="1"/>
  <c r="CC51" i="20"/>
  <c r="CB22" i="20"/>
  <c r="BV23" i="20"/>
  <c r="BW23" i="20"/>
  <c r="BY23" i="20"/>
  <c r="CB11" i="20"/>
  <c r="BX23" i="20"/>
  <c r="BY52" i="20"/>
  <c r="CK52" i="20" s="1"/>
  <c r="BQ57" i="20"/>
  <c r="BR5" i="20"/>
  <c r="CU58" i="20"/>
  <c r="CV58" i="20" s="1"/>
  <c r="BP43" i="20"/>
  <c r="BV51" i="20"/>
  <c r="BY51" i="20"/>
  <c r="CK51" i="20" s="1"/>
  <c r="BY42" i="20"/>
  <c r="CK42" i="20" s="1"/>
  <c r="BV57" i="20"/>
  <c r="BY43" i="20"/>
  <c r="CK43" i="20" s="1"/>
  <c r="BY57" i="20"/>
  <c r="CK57" i="20" s="1"/>
  <c r="BV52" i="20"/>
  <c r="CH52" i="20" s="1"/>
  <c r="CD51" i="20"/>
  <c r="AF61" i="20"/>
  <c r="CU60" i="20"/>
  <c r="CV60" i="20" s="1"/>
  <c r="CS61" i="20"/>
  <c r="BH44" i="20"/>
  <c r="AG23" i="20"/>
  <c r="AH23" i="20"/>
  <c r="AI23" i="20"/>
  <c r="AQ23" i="20"/>
  <c r="AP23" i="20"/>
  <c r="AR23" i="20"/>
  <c r="AN23" i="20"/>
  <c r="AO23" i="20"/>
  <c r="AM23" i="20"/>
  <c r="BJ42" i="20"/>
  <c r="AF42" i="20"/>
  <c r="BJ58" i="20"/>
  <c r="BJ60" i="20"/>
  <c r="BJ51" i="20"/>
  <c r="CA51" i="20" s="1"/>
  <c r="CM51" i="20" s="1"/>
  <c r="AG44" i="20"/>
  <c r="BB42" i="20"/>
  <c r="AO44" i="20"/>
  <c r="AU42" i="20"/>
  <c r="AH44" i="20"/>
  <c r="BC42" i="20"/>
  <c r="AP44" i="20"/>
  <c r="AI61" i="20"/>
  <c r="AQ61" i="20"/>
  <c r="AV42" i="20"/>
  <c r="AI44" i="20"/>
  <c r="BD42" i="20"/>
  <c r="AQ44" i="20"/>
  <c r="AJ61" i="20"/>
  <c r="AR61" i="20"/>
  <c r="AW42" i="20"/>
  <c r="AJ44" i="20"/>
  <c r="BE42" i="20"/>
  <c r="AR44" i="20"/>
  <c r="AK61" i="20"/>
  <c r="AP61" i="20"/>
  <c r="AY42" i="20"/>
  <c r="AL44" i="20"/>
  <c r="AX42" i="20"/>
  <c r="AK44" i="20"/>
  <c r="AL61" i="20"/>
  <c r="AM61" i="20"/>
  <c r="AZ42" i="20"/>
  <c r="AM44" i="20"/>
  <c r="AN61" i="20"/>
  <c r="BA42" i="20"/>
  <c r="AN44" i="20"/>
  <c r="AO61" i="20"/>
  <c r="BE43" i="20"/>
  <c r="BH23" i="20"/>
  <c r="AS60" i="20"/>
  <c r="BI60" i="20" s="1"/>
  <c r="AS52" i="20"/>
  <c r="BJ52" i="20"/>
  <c r="CA52" i="20" s="1"/>
  <c r="CM52" i="20" s="1"/>
  <c r="AS51" i="20"/>
  <c r="BI51" i="20" s="1"/>
  <c r="AS57" i="20"/>
  <c r="BJ57" i="20"/>
  <c r="CA57" i="20" s="1"/>
  <c r="CM57" i="20" s="1"/>
  <c r="AS42" i="20"/>
  <c r="AS43" i="20"/>
  <c r="BH74" i="20" l="1"/>
  <c r="BG51" i="20"/>
  <c r="BN51" i="20"/>
  <c r="BL49" i="20"/>
  <c r="BM61" i="20"/>
  <c r="C24" i="32"/>
  <c r="C31" i="32" s="1"/>
  <c r="BK28" i="20"/>
  <c r="BF12" i="20"/>
  <c r="BI12" i="20" s="1"/>
  <c r="BF11" i="20"/>
  <c r="BI11" i="20" s="1"/>
  <c r="AU61" i="20"/>
  <c r="AT61" i="20"/>
  <c r="BG60" i="20"/>
  <c r="BI57" i="20"/>
  <c r="BG57" i="20"/>
  <c r="AT23" i="20"/>
  <c r="BF10" i="20"/>
  <c r="BI10" i="20" s="1"/>
  <c r="BF6" i="20"/>
  <c r="BI6" i="20" s="1"/>
  <c r="BL5" i="20"/>
  <c r="BN5" i="20" s="1"/>
  <c r="AW23" i="20"/>
  <c r="AU23" i="20"/>
  <c r="BF9" i="20"/>
  <c r="BI9" i="20" s="1"/>
  <c r="BI52" i="20"/>
  <c r="BG52" i="20"/>
  <c r="CB10" i="20"/>
  <c r="BN8" i="20"/>
  <c r="BL9" i="20"/>
  <c r="BN9" i="20" s="1"/>
  <c r="CB6" i="20"/>
  <c r="BG5" i="20"/>
  <c r="BL7" i="20"/>
  <c r="BN7" i="20" s="1"/>
  <c r="BI22" i="20"/>
  <c r="CB12" i="20"/>
  <c r="CB9" i="20"/>
  <c r="BL10" i="20"/>
  <c r="BN10" i="20" s="1"/>
  <c r="BO3" i="20"/>
  <c r="BO4" i="20" s="1"/>
  <c r="BS23" i="20"/>
  <c r="CB7" i="20"/>
  <c r="CB8" i="20"/>
  <c r="BF51" i="20"/>
  <c r="BW51" i="20" s="1"/>
  <c r="CI51" i="20" s="1"/>
  <c r="BL46" i="20"/>
  <c r="AT44" i="20"/>
  <c r="AT46" i="20" s="1"/>
  <c r="BF52" i="20"/>
  <c r="AU44" i="20"/>
  <c r="AV44" i="20"/>
  <c r="AV46" i="20" s="1"/>
  <c r="AW44" i="20"/>
  <c r="AW46" i="20" s="1"/>
  <c r="CD61" i="20"/>
  <c r="BP61" i="20"/>
  <c r="CK44" i="20"/>
  <c r="BS61" i="20"/>
  <c r="BU61" i="20"/>
  <c r="CC61" i="20"/>
  <c r="BR61" i="20"/>
  <c r="CK61" i="20"/>
  <c r="CG51" i="20"/>
  <c r="CG61" i="20" s="1"/>
  <c r="CF61" i="20"/>
  <c r="BV61" i="20"/>
  <c r="BV42" i="20"/>
  <c r="CH42" i="20" s="1"/>
  <c r="AX44" i="20"/>
  <c r="CH51" i="20"/>
  <c r="CH61" i="20" s="1"/>
  <c r="BQ61" i="20"/>
  <c r="BY44" i="20"/>
  <c r="BY61" i="20"/>
  <c r="CE51" i="20"/>
  <c r="CE61" i="20" s="1"/>
  <c r="CB5" i="20"/>
  <c r="BR23" i="20"/>
  <c r="BT61" i="20"/>
  <c r="CM61" i="20"/>
  <c r="BC44" i="20"/>
  <c r="BC46" i="20" s="1"/>
  <c r="BT42" i="20"/>
  <c r="CA61" i="20"/>
  <c r="BF43" i="20"/>
  <c r="BV43" i="20"/>
  <c r="E27" i="32"/>
  <c r="E31" i="32" s="1"/>
  <c r="E48" i="32" s="1"/>
  <c r="BD44" i="20"/>
  <c r="BU42" i="20"/>
  <c r="H26" i="32"/>
  <c r="AZ44" i="20"/>
  <c r="AZ46" i="20" s="1"/>
  <c r="BQ42" i="20"/>
  <c r="BB44" i="20"/>
  <c r="BS42" i="20"/>
  <c r="BJ44" i="20"/>
  <c r="CA42" i="20"/>
  <c r="AY44" i="20"/>
  <c r="AY46" i="20" s="1"/>
  <c r="BP42" i="20"/>
  <c r="BA44" i="20"/>
  <c r="BA46" i="20" s="1"/>
  <c r="BR42" i="20"/>
  <c r="BG7" i="20"/>
  <c r="BI5" i="20"/>
  <c r="AS44" i="20"/>
  <c r="AF44" i="20"/>
  <c r="BF42" i="20"/>
  <c r="BE44" i="20"/>
  <c r="AS58" i="20"/>
  <c r="BG58" i="20" s="1"/>
  <c r="BI8" i="20"/>
  <c r="BI7" i="20"/>
  <c r="BG10" i="20"/>
  <c r="BG8" i="20"/>
  <c r="BG9" i="20" l="1"/>
  <c r="BF23" i="20"/>
  <c r="BG6" i="20"/>
  <c r="BG11" i="20"/>
  <c r="BF24" i="20"/>
  <c r="BF37" i="20" s="1"/>
  <c r="BG24" i="20"/>
  <c r="BI23" i="20"/>
  <c r="BL3" i="20"/>
  <c r="BI58" i="20"/>
  <c r="BN52" i="20"/>
  <c r="BN61" i="20" s="1"/>
  <c r="BL61" i="20"/>
  <c r="AG28" i="32"/>
  <c r="AG27" i="32"/>
  <c r="BL23" i="20"/>
  <c r="CB23" i="20"/>
  <c r="BM23" i="20"/>
  <c r="BZ51" i="20"/>
  <c r="CL51" i="20" s="1"/>
  <c r="BX51" i="20"/>
  <c r="CJ51" i="20" s="1"/>
  <c r="BZ52" i="20"/>
  <c r="CL52" i="20" s="1"/>
  <c r="BS63" i="20"/>
  <c r="CM63" i="20"/>
  <c r="BX57" i="20"/>
  <c r="CG63" i="20"/>
  <c r="BW52" i="20"/>
  <c r="CI52" i="20" s="1"/>
  <c r="CI61" i="20" s="1"/>
  <c r="AU46" i="20"/>
  <c r="CD63" i="20"/>
  <c r="CE63" i="20"/>
  <c r="Q26" i="32"/>
  <c r="AX46" i="20"/>
  <c r="CK46" i="20"/>
  <c r="CC63" i="20"/>
  <c r="BY46" i="20"/>
  <c r="CK63" i="20"/>
  <c r="CH63" i="20"/>
  <c r="CF63" i="20"/>
  <c r="BZ57" i="20"/>
  <c r="CL57" i="20" s="1"/>
  <c r="BY63" i="20"/>
  <c r="CD23" i="20"/>
  <c r="CO5" i="20"/>
  <c r="CO23" i="20" s="1"/>
  <c r="BX52" i="20"/>
  <c r="CJ52" i="20" s="1"/>
  <c r="BW43" i="20"/>
  <c r="CI43" i="20" s="1"/>
  <c r="BT44" i="20"/>
  <c r="BT46" i="20" s="1"/>
  <c r="CF42" i="20"/>
  <c r="CF44" i="20" s="1"/>
  <c r="CA44" i="20"/>
  <c r="CA46" i="20" s="1"/>
  <c r="CM42" i="20"/>
  <c r="CM44" i="20" s="1"/>
  <c r="BU44" i="20"/>
  <c r="CG42" i="20"/>
  <c r="CG44" i="20" s="1"/>
  <c r="BS44" i="20"/>
  <c r="BS46" i="20" s="1"/>
  <c r="CE42" i="20"/>
  <c r="CE44" i="20" s="1"/>
  <c r="BR44" i="20"/>
  <c r="BR46" i="20" s="1"/>
  <c r="CD42" i="20"/>
  <c r="CD44" i="20" s="1"/>
  <c r="BQ44" i="20"/>
  <c r="BQ46" i="20" s="1"/>
  <c r="CC42" i="20"/>
  <c r="BV44" i="20"/>
  <c r="BV46" i="20" s="1"/>
  <c r="CH43" i="20"/>
  <c r="CA63" i="20"/>
  <c r="BQ63" i="20"/>
  <c r="AG26" i="32"/>
  <c r="BP44" i="20"/>
  <c r="BP46" i="20" s="1"/>
  <c r="BU63" i="20"/>
  <c r="BG43" i="20"/>
  <c r="BP63" i="20"/>
  <c r="BV63" i="20"/>
  <c r="BB46" i="20"/>
  <c r="BR63" i="20"/>
  <c r="BF44" i="20"/>
  <c r="BW42" i="20"/>
  <c r="BI43" i="20"/>
  <c r="BD46" i="20"/>
  <c r="BT63" i="20"/>
  <c r="U24" i="32"/>
  <c r="AG24" i="32"/>
  <c r="BG42" i="20"/>
  <c r="K28" i="32"/>
  <c r="L24" i="32"/>
  <c r="L31" i="32" s="1"/>
  <c r="L48" i="32" s="1"/>
  <c r="BI42" i="20"/>
  <c r="BE46" i="20"/>
  <c r="BK65" i="20"/>
  <c r="BF61" i="20"/>
  <c r="BG12" i="20"/>
  <c r="BE9" i="38"/>
  <c r="BD9" i="38"/>
  <c r="BC9" i="38"/>
  <c r="BB9" i="38"/>
  <c r="BA9" i="38"/>
  <c r="AZ9" i="38"/>
  <c r="AY9" i="38"/>
  <c r="AX9" i="38"/>
  <c r="AW9" i="38"/>
  <c r="AV9" i="38"/>
  <c r="AU9" i="38"/>
  <c r="AT9" i="38"/>
  <c r="BK29" i="20" l="1"/>
  <c r="BH24" i="20"/>
  <c r="AG31" i="32"/>
  <c r="AD27" i="32"/>
  <c r="BG23" i="20"/>
  <c r="BI24" i="20" s="1"/>
  <c r="BI25" i="20" s="1"/>
  <c r="BN23" i="20"/>
  <c r="BN26" i="20" s="1"/>
  <c r="BW61" i="20"/>
  <c r="CI63" i="20" s="1"/>
  <c r="N27" i="32"/>
  <c r="N31" i="32" s="1"/>
  <c r="CL61" i="20"/>
  <c r="CB51" i="20"/>
  <c r="CN51" i="20" s="1"/>
  <c r="CO51" i="20" s="1"/>
  <c r="BZ61" i="20"/>
  <c r="CJ61" i="20"/>
  <c r="BF46" i="20"/>
  <c r="BX43" i="20"/>
  <c r="CJ43" i="20" s="1"/>
  <c r="CB57" i="20"/>
  <c r="CN57" i="20" s="1"/>
  <c r="CO57" i="20" s="1"/>
  <c r="BX61" i="20"/>
  <c r="CG46" i="20"/>
  <c r="BZ43" i="20"/>
  <c r="CL43" i="20" s="1"/>
  <c r="CB52" i="20"/>
  <c r="CN52" i="20" s="1"/>
  <c r="CO52" i="20" s="1"/>
  <c r="CM46" i="20"/>
  <c r="BW44" i="20"/>
  <c r="BW46" i="20" s="1"/>
  <c r="CI42" i="20"/>
  <c r="CI44" i="20" s="1"/>
  <c r="BU46" i="20"/>
  <c r="CD46" i="20"/>
  <c r="CC44" i="20"/>
  <c r="CC46" i="20" s="1"/>
  <c r="CF46" i="20"/>
  <c r="CE46" i="20"/>
  <c r="CH44" i="20"/>
  <c r="CH46" i="20" s="1"/>
  <c r="Z26" i="32"/>
  <c r="BG44" i="20"/>
  <c r="BX42" i="20"/>
  <c r="BI44" i="20"/>
  <c r="BZ42" i="20"/>
  <c r="W27" i="32"/>
  <c r="AH24" i="32"/>
  <c r="AH31" i="32"/>
  <c r="AB30" i="32"/>
  <c r="K27" i="32"/>
  <c r="AD31" i="32" l="1"/>
  <c r="AD48" i="32" s="1"/>
  <c r="AE27" i="32"/>
  <c r="BW63" i="20"/>
  <c r="T27" i="32"/>
  <c r="BX63" i="20"/>
  <c r="CL63" i="20"/>
  <c r="CJ63" i="20"/>
  <c r="CB61" i="20"/>
  <c r="CB62" i="20" s="1"/>
  <c r="CB42" i="20"/>
  <c r="CN42" i="20" s="1"/>
  <c r="CN61" i="20"/>
  <c r="CO61" i="20"/>
  <c r="CO62" i="20" s="1"/>
  <c r="CB43" i="20"/>
  <c r="CN43" i="20" s="1"/>
  <c r="CO43" i="20" s="1"/>
  <c r="BX44" i="20"/>
  <c r="BX46" i="20" s="1"/>
  <c r="CJ42" i="20"/>
  <c r="CJ44" i="20" s="1"/>
  <c r="BZ44" i="20"/>
  <c r="CL42" i="20"/>
  <c r="CL44" i="20" s="1"/>
  <c r="CI46" i="20"/>
  <c r="BZ63" i="20"/>
  <c r="AI27" i="32"/>
  <c r="AD26" i="32"/>
  <c r="AL26" i="32"/>
  <c r="AC27" i="32"/>
  <c r="AD24" i="32"/>
  <c r="T28" i="32"/>
  <c r="BI62" i="20"/>
  <c r="BI63" i="20" s="1"/>
  <c r="AC28" i="32"/>
  <c r="AL31" i="32" l="1"/>
  <c r="CB63" i="20"/>
  <c r="CN63" i="20"/>
  <c r="CO63" i="20" s="1"/>
  <c r="CB44" i="20"/>
  <c r="CB45" i="20" s="1"/>
  <c r="CL46" i="20"/>
  <c r="CN44" i="20"/>
  <c r="CN46" i="20" s="1"/>
  <c r="BZ46" i="20"/>
  <c r="CB46" i="20" s="1"/>
  <c r="CO42" i="20"/>
  <c r="CO44" i="20" s="1"/>
  <c r="CO45" i="20" s="1"/>
  <c r="CJ46" i="20"/>
  <c r="AO27" i="32"/>
  <c r="AO28" i="32"/>
  <c r="CO46" i="20" l="1"/>
  <c r="AE28" i="32"/>
  <c r="BE1" i="38"/>
  <c r="BD1" i="38"/>
  <c r="BC1" i="38"/>
  <c r="BB1" i="38"/>
  <c r="BA1" i="38"/>
  <c r="AZ1" i="38"/>
  <c r="AY1" i="38"/>
  <c r="AX1" i="38"/>
  <c r="AW1" i="38"/>
  <c r="AV1" i="38"/>
  <c r="AU1" i="38"/>
  <c r="AT1" i="38"/>
  <c r="BF1" i="38" s="1"/>
  <c r="AJ13" i="34" l="1"/>
  <c r="BS13" i="34" s="1"/>
  <c r="AK13" i="34"/>
  <c r="BT13" i="34" s="1"/>
  <c r="AL13" i="34"/>
  <c r="BU13" i="34" s="1"/>
  <c r="AM13" i="34"/>
  <c r="AN13" i="34"/>
  <c r="BW13" i="34" s="1"/>
  <c r="AO13" i="34"/>
  <c r="BX13" i="34" s="1"/>
  <c r="AP13" i="34"/>
  <c r="BY13" i="34" s="1"/>
  <c r="AQ13" i="34"/>
  <c r="AR13" i="34"/>
  <c r="CA13" i="34" s="1"/>
  <c r="AT44" i="36"/>
  <c r="CM44" i="36" s="1"/>
  <c r="AU44" i="36"/>
  <c r="CN44" i="36" s="1"/>
  <c r="AV44" i="36"/>
  <c r="CO44" i="36" s="1"/>
  <c r="AW44" i="36"/>
  <c r="CP44" i="36" s="1"/>
  <c r="BD44" i="36"/>
  <c r="CQ44" i="36" s="1"/>
  <c r="BE44" i="36"/>
  <c r="CR44" i="36" s="1"/>
  <c r="BF44" i="36"/>
  <c r="CS44" i="36" s="1"/>
  <c r="BG44" i="36"/>
  <c r="CT44" i="36" s="1"/>
  <c r="CU44" i="36"/>
  <c r="AT45" i="36"/>
  <c r="AU45" i="36"/>
  <c r="AV45" i="36"/>
  <c r="AW45" i="36"/>
  <c r="BD45" i="36"/>
  <c r="BE45" i="36"/>
  <c r="BF45" i="36"/>
  <c r="BG45" i="36"/>
  <c r="AT46" i="36"/>
  <c r="AU46" i="36"/>
  <c r="AV46" i="36"/>
  <c r="AW46" i="36"/>
  <c r="BD46" i="36"/>
  <c r="BE46" i="36"/>
  <c r="BF46" i="36"/>
  <c r="BG46" i="36"/>
  <c r="AT47" i="36"/>
  <c r="AU47" i="36"/>
  <c r="AV47" i="36"/>
  <c r="AW47" i="36"/>
  <c r="BD47" i="36"/>
  <c r="BE47" i="36"/>
  <c r="BF47" i="36"/>
  <c r="BG47" i="36"/>
  <c r="AT48" i="36"/>
  <c r="AU48" i="36"/>
  <c r="AV48" i="36"/>
  <c r="AW48" i="36"/>
  <c r="BD48" i="36"/>
  <c r="BE48" i="36"/>
  <c r="BF48" i="36"/>
  <c r="BG48" i="36"/>
  <c r="AT22" i="36"/>
  <c r="CM22" i="36" s="1"/>
  <c r="AU22" i="36"/>
  <c r="CN22" i="36" s="1"/>
  <c r="AV22" i="36"/>
  <c r="CO22" i="36" s="1"/>
  <c r="AW22" i="36"/>
  <c r="CP22" i="36" s="1"/>
  <c r="BD22" i="36"/>
  <c r="CQ22" i="36" s="1"/>
  <c r="BE22" i="36"/>
  <c r="CR22" i="36" s="1"/>
  <c r="BF22" i="36"/>
  <c r="CS22" i="36" s="1"/>
  <c r="BG22" i="36"/>
  <c r="CT22" i="36" s="1"/>
  <c r="CU22" i="36"/>
  <c r="AI16" i="38"/>
  <c r="AV16" i="38" s="1"/>
  <c r="AJ16" i="38"/>
  <c r="AW16" i="38" s="1"/>
  <c r="AK16" i="38"/>
  <c r="AL16" i="38"/>
  <c r="AY16" i="38" s="1"/>
  <c r="AM16" i="38"/>
  <c r="AZ16" i="38" s="1"/>
  <c r="AN16" i="38"/>
  <c r="AO16" i="38"/>
  <c r="BB16" i="38" s="1"/>
  <c r="AP16" i="38"/>
  <c r="AQ16" i="38"/>
  <c r="BD16" i="38" s="1"/>
  <c r="AR16" i="38"/>
  <c r="AI17" i="38"/>
  <c r="AV17" i="38" s="1"/>
  <c r="AJ17" i="38"/>
  <c r="AW17" i="38" s="1"/>
  <c r="AK17" i="38"/>
  <c r="AX17" i="38" s="1"/>
  <c r="AL17" i="38"/>
  <c r="AY17" i="38" s="1"/>
  <c r="AM17" i="38"/>
  <c r="AZ17" i="38" s="1"/>
  <c r="AN17" i="38"/>
  <c r="BA17" i="38" s="1"/>
  <c r="AO17" i="38"/>
  <c r="BB17" i="38" s="1"/>
  <c r="AP17" i="38"/>
  <c r="BC17" i="38" s="1"/>
  <c r="AQ17" i="38"/>
  <c r="BD17" i="38" s="1"/>
  <c r="AR17" i="38"/>
  <c r="BE17" i="38" s="1"/>
  <c r="AJ6" i="38"/>
  <c r="AJ9" i="38" s="1"/>
  <c r="AW11" i="38" s="1"/>
  <c r="AK6" i="38"/>
  <c r="AK9" i="38" s="1"/>
  <c r="AX11" i="38" s="1"/>
  <c r="AL6" i="38"/>
  <c r="AL9" i="38" s="1"/>
  <c r="AY11" i="38" s="1"/>
  <c r="AM6" i="38"/>
  <c r="AM9" i="38" s="1"/>
  <c r="AZ11" i="38" s="1"/>
  <c r="AN6" i="38"/>
  <c r="AN9" i="38" s="1"/>
  <c r="BA11" i="38" s="1"/>
  <c r="AO6" i="38"/>
  <c r="AO9" i="38" s="1"/>
  <c r="BB11" i="38" s="1"/>
  <c r="AP6" i="38"/>
  <c r="AP9" i="38" s="1"/>
  <c r="BC11" i="38" s="1"/>
  <c r="AQ6" i="38"/>
  <c r="AQ9" i="38" s="1"/>
  <c r="BD11" i="38" s="1"/>
  <c r="AR6" i="38"/>
  <c r="BY48" i="36" l="1"/>
  <c r="CS48" i="36"/>
  <c r="BM45" i="36"/>
  <c r="CN45" i="36"/>
  <c r="BX48" i="36"/>
  <c r="CR48" i="36"/>
  <c r="CU45" i="36"/>
  <c r="BX47" i="36"/>
  <c r="CR47" i="36"/>
  <c r="CT45" i="36"/>
  <c r="CT48" i="36"/>
  <c r="CU47" i="36"/>
  <c r="BL47" i="36"/>
  <c r="CM47" i="36"/>
  <c r="BM46" i="36"/>
  <c r="CN46" i="36"/>
  <c r="BN45" i="36"/>
  <c r="CO45" i="36"/>
  <c r="CT47" i="36"/>
  <c r="BL46" i="36"/>
  <c r="CM46" i="36"/>
  <c r="CT46" i="36"/>
  <c r="BW47" i="36"/>
  <c r="CQ47" i="36"/>
  <c r="BN48" i="36"/>
  <c r="CO48" i="36"/>
  <c r="BV47" i="36"/>
  <c r="CP47" i="36"/>
  <c r="BW46" i="36"/>
  <c r="CQ46" i="36"/>
  <c r="BX45" i="36"/>
  <c r="CR45" i="36"/>
  <c r="BL45" i="36"/>
  <c r="CM45" i="36"/>
  <c r="BW48" i="36"/>
  <c r="CQ48" i="36"/>
  <c r="BV48" i="36"/>
  <c r="CP48" i="36"/>
  <c r="BY45" i="36"/>
  <c r="CS45" i="36"/>
  <c r="BM48" i="36"/>
  <c r="CN48" i="36"/>
  <c r="BN47" i="36"/>
  <c r="CO47" i="36"/>
  <c r="BV46" i="36"/>
  <c r="CP46" i="36"/>
  <c r="BW45" i="36"/>
  <c r="CQ45" i="36"/>
  <c r="CU46" i="36"/>
  <c r="BY47" i="36"/>
  <c r="CS47" i="36"/>
  <c r="BY46" i="36"/>
  <c r="CS46" i="36"/>
  <c r="BX46" i="36"/>
  <c r="CR46" i="36"/>
  <c r="CU48" i="36"/>
  <c r="BL48" i="36"/>
  <c r="CM48" i="36"/>
  <c r="BM47" i="36"/>
  <c r="CN47" i="36"/>
  <c r="BN46" i="36"/>
  <c r="CO46" i="36"/>
  <c r="BV45" i="36"/>
  <c r="CP45" i="36"/>
  <c r="AZ13" i="34"/>
  <c r="BV13" i="34"/>
  <c r="BD13" i="34"/>
  <c r="BD15" i="34" s="1"/>
  <c r="BZ13" i="34"/>
  <c r="AV49" i="36"/>
  <c r="CO49" i="36" s="1"/>
  <c r="CU35" i="36"/>
  <c r="BW22" i="36"/>
  <c r="BW35" i="36" s="1"/>
  <c r="BD35" i="36"/>
  <c r="CQ35" i="36" s="1"/>
  <c r="BL22" i="36"/>
  <c r="BL35" i="36" s="1"/>
  <c r="AT35" i="36"/>
  <c r="CM35" i="36" s="1"/>
  <c r="BE49" i="36"/>
  <c r="CR49" i="36" s="1"/>
  <c r="AU49" i="36"/>
  <c r="CN49" i="36" s="1"/>
  <c r="BM22" i="36"/>
  <c r="BM35" i="36" s="1"/>
  <c r="AU35" i="36"/>
  <c r="CN35" i="36" s="1"/>
  <c r="BF49" i="36"/>
  <c r="CS49" i="36" s="1"/>
  <c r="BG35" i="36"/>
  <c r="CT35" i="36" s="1"/>
  <c r="BV22" i="36"/>
  <c r="BV35" i="36" s="1"/>
  <c r="AW35" i="36"/>
  <c r="CP35" i="36" s="1"/>
  <c r="CU49" i="36"/>
  <c r="BD49" i="36"/>
  <c r="CQ49" i="36" s="1"/>
  <c r="AT49" i="36"/>
  <c r="CM49" i="36" s="1"/>
  <c r="BX22" i="36"/>
  <c r="BX35" i="36" s="1"/>
  <c r="BE35" i="36"/>
  <c r="CR35" i="36" s="1"/>
  <c r="BY22" i="36"/>
  <c r="BY35" i="36" s="1"/>
  <c r="BF35" i="36"/>
  <c r="CS35" i="36" s="1"/>
  <c r="BN22" i="36"/>
  <c r="BN35" i="36" s="1"/>
  <c r="AV35" i="36"/>
  <c r="CO35" i="36" s="1"/>
  <c r="BG49" i="36"/>
  <c r="CT49" i="36" s="1"/>
  <c r="AW49" i="36"/>
  <c r="CP49" i="36" s="1"/>
  <c r="AR9" i="38"/>
  <c r="BE11" i="38" s="1"/>
  <c r="BL44" i="36"/>
  <c r="BY44" i="36"/>
  <c r="BV44" i="36"/>
  <c r="BX44" i="36"/>
  <c r="BN44" i="36"/>
  <c r="BM44" i="36"/>
  <c r="BW44" i="36"/>
  <c r="AL15" i="34"/>
  <c r="BU15" i="34" s="1"/>
  <c r="AK15" i="34"/>
  <c r="BT15" i="34" s="1"/>
  <c r="AY13" i="34"/>
  <c r="AY15" i="34" s="1"/>
  <c r="AJ15" i="34"/>
  <c r="BS15" i="34" s="1"/>
  <c r="AZ15" i="34"/>
  <c r="AR15" i="34"/>
  <c r="CA15" i="34" s="1"/>
  <c r="BE13" i="34"/>
  <c r="BE15" i="34" s="1"/>
  <c r="AM15" i="34"/>
  <c r="BV15" i="34" s="1"/>
  <c r="AX13" i="34"/>
  <c r="AX15" i="34" s="1"/>
  <c r="AW13" i="34"/>
  <c r="AW15" i="34" s="1"/>
  <c r="AP15" i="34"/>
  <c r="BY15" i="34" s="1"/>
  <c r="BC13" i="34"/>
  <c r="BC15" i="34" s="1"/>
  <c r="AQ15" i="34"/>
  <c r="BZ15" i="34" s="1"/>
  <c r="AO15" i="34"/>
  <c r="BX15" i="34" s="1"/>
  <c r="AN15" i="34"/>
  <c r="BW15" i="34" s="1"/>
  <c r="BB13" i="34"/>
  <c r="BB15" i="34" s="1"/>
  <c r="BA13" i="34"/>
  <c r="BA15" i="34" s="1"/>
  <c r="AV20" i="38"/>
  <c r="AQ20" i="38"/>
  <c r="BB20" i="38"/>
  <c r="AI20" i="38"/>
  <c r="BD20" i="38"/>
  <c r="AW20" i="38"/>
  <c r="AJ20" i="38"/>
  <c r="BE16" i="38"/>
  <c r="BE20" i="38" s="1"/>
  <c r="AR20" i="38"/>
  <c r="AK20" i="38"/>
  <c r="AX16" i="38"/>
  <c r="AX20" i="38" s="1"/>
  <c r="AO20" i="38"/>
  <c r="AZ20" i="38"/>
  <c r="AY20" i="38"/>
  <c r="AM20" i="38"/>
  <c r="AZ22" i="38" s="1"/>
  <c r="AP20" i="38"/>
  <c r="AN20" i="38"/>
  <c r="BC16" i="38"/>
  <c r="BC20" i="38" s="1"/>
  <c r="AL20" i="38"/>
  <c r="BA16" i="38"/>
  <c r="BA20" i="38" s="1"/>
  <c r="BN49" i="36" l="1"/>
  <c r="BN51" i="36" s="1"/>
  <c r="BY49" i="36"/>
  <c r="BW49" i="36"/>
  <c r="BW51" i="36" s="1"/>
  <c r="BV49" i="36"/>
  <c r="BV51" i="36" s="1"/>
  <c r="BL49" i="36"/>
  <c r="BL51" i="36" s="1"/>
  <c r="BM49" i="36"/>
  <c r="BM51" i="36" s="1"/>
  <c r="BB22" i="38"/>
  <c r="BX49" i="36"/>
  <c r="BX51" i="36" s="1"/>
  <c r="BM37" i="36"/>
  <c r="BE22" i="38"/>
  <c r="BA22" i="38"/>
  <c r="BC22" i="38"/>
  <c r="BD22" i="38"/>
  <c r="AW22" i="38"/>
  <c r="AY22" i="38"/>
  <c r="AV22" i="38"/>
  <c r="AX22" i="38"/>
  <c r="BV37" i="36"/>
  <c r="BY51" i="36"/>
  <c r="BW37" i="36"/>
  <c r="BY37" i="36"/>
  <c r="BL37" i="36"/>
  <c r="BX37" i="36"/>
  <c r="BN37" i="36"/>
  <c r="BD17" i="34"/>
  <c r="BA17" i="34"/>
  <c r="AZ17" i="34"/>
  <c r="AX17" i="34"/>
  <c r="BB17" i="34"/>
  <c r="BC17" i="34"/>
  <c r="BE17" i="34"/>
  <c r="AW17" i="34"/>
  <c r="AY17" i="34"/>
  <c r="AN22" i="32" l="1"/>
  <c r="AS48" i="36" l="1"/>
  <c r="AR48" i="36"/>
  <c r="BJ48" i="36" s="1"/>
  <c r="AQ48" i="36"/>
  <c r="AS47" i="36"/>
  <c r="AR47" i="36"/>
  <c r="BJ47" i="36" s="1"/>
  <c r="AQ47" i="36"/>
  <c r="AS46" i="36"/>
  <c r="AR46" i="36"/>
  <c r="BJ46" i="36" s="1"/>
  <c r="AQ46" i="36"/>
  <c r="AS45" i="36"/>
  <c r="AR45" i="36"/>
  <c r="BJ45" i="36" s="1"/>
  <c r="AQ45" i="36"/>
  <c r="AS44" i="36"/>
  <c r="CL44" i="36" s="1"/>
  <c r="CV44" i="36" s="1"/>
  <c r="AR44" i="36"/>
  <c r="AQ44" i="36"/>
  <c r="AS22" i="36"/>
  <c r="CL22" i="36" s="1"/>
  <c r="CV22" i="36" s="1"/>
  <c r="AR22" i="36"/>
  <c r="AQ22" i="36"/>
  <c r="AQ35" i="36" s="1"/>
  <c r="AI13" i="34"/>
  <c r="AH13" i="34"/>
  <c r="AU13" i="34" s="1"/>
  <c r="AG13" i="34"/>
  <c r="AR49" i="36" l="1"/>
  <c r="BK47" i="36"/>
  <c r="CL47" i="36"/>
  <c r="CV47" i="36" s="1"/>
  <c r="BK46" i="36"/>
  <c r="BZ46" i="36" s="1"/>
  <c r="CL46" i="36"/>
  <c r="CV46" i="36" s="1"/>
  <c r="BK45" i="36"/>
  <c r="CL45" i="36"/>
  <c r="CV45" i="36" s="1"/>
  <c r="BK48" i="36"/>
  <c r="BZ48" i="36" s="1"/>
  <c r="CL48" i="36"/>
  <c r="CV48" i="36" s="1"/>
  <c r="AV13" i="34"/>
  <c r="BR13" i="34"/>
  <c r="CB13" i="34" s="1"/>
  <c r="AS49" i="36"/>
  <c r="CL49" i="36" s="1"/>
  <c r="CV49" i="36" s="1"/>
  <c r="BK22" i="36"/>
  <c r="BK35" i="36" s="1"/>
  <c r="AS35" i="36"/>
  <c r="BJ22" i="36"/>
  <c r="BJ35" i="36" s="1"/>
  <c r="AR35" i="36"/>
  <c r="BJ44" i="36"/>
  <c r="BK44" i="36"/>
  <c r="BI45" i="36"/>
  <c r="BF13" i="34"/>
  <c r="BH47" i="36"/>
  <c r="BZ47" i="36"/>
  <c r="BH45" i="36"/>
  <c r="BH48" i="36"/>
  <c r="BH46" i="36"/>
  <c r="BH44" i="36"/>
  <c r="BH22" i="36"/>
  <c r="AS13" i="34"/>
  <c r="N34" i="32" s="1"/>
  <c r="W34" i="32" l="1"/>
  <c r="U34" i="32"/>
  <c r="T34" i="32"/>
  <c r="BZ45" i="36"/>
  <c r="BZ22" i="36"/>
  <c r="BZ35" i="36" s="1"/>
  <c r="Z39" i="32" s="1"/>
  <c r="CL35" i="36"/>
  <c r="CV35" i="36" s="1"/>
  <c r="BH35" i="36"/>
  <c r="Q39" i="32" s="1"/>
  <c r="N41" i="32"/>
  <c r="N44" i="32" s="1"/>
  <c r="N48" i="32" s="1"/>
  <c r="BZ44" i="36"/>
  <c r="T41" i="32" l="1"/>
  <c r="T44" i="32" s="1"/>
  <c r="CA22" i="36"/>
  <c r="CA35" i="36" s="1"/>
  <c r="BH13" i="34"/>
  <c r="E34" i="32" s="1"/>
  <c r="AV15" i="34"/>
  <c r="AU15" i="34"/>
  <c r="AT15" i="34"/>
  <c r="Q13" i="34"/>
  <c r="AF13" i="34" s="1"/>
  <c r="K34" i="32" l="1"/>
  <c r="AI34" i="32"/>
  <c r="BJ13" i="34"/>
  <c r="BH15" i="34"/>
  <c r="AH15" i="34"/>
  <c r="AU17" i="34" s="1"/>
  <c r="AG15" i="34"/>
  <c r="AT17" i="34" s="1"/>
  <c r="AI15" i="34"/>
  <c r="AV17" i="34" l="1"/>
  <c r="BR15" i="34"/>
  <c r="CB15" i="34" s="1"/>
  <c r="BJ15" i="34"/>
  <c r="AG34" i="32" s="1"/>
  <c r="AG36" i="32" s="1"/>
  <c r="BF17" i="34"/>
  <c r="AF15" i="34"/>
  <c r="BG13" i="34"/>
  <c r="AS15" i="34"/>
  <c r="BF15" i="34"/>
  <c r="W35" i="32" s="1"/>
  <c r="AD34" i="32" l="1"/>
  <c r="V34" i="32"/>
  <c r="N35" i="32"/>
  <c r="K35" i="32"/>
  <c r="U35" i="32"/>
  <c r="BF16" i="34"/>
  <c r="BG16" i="34"/>
  <c r="BI15" i="34"/>
  <c r="BH16" i="34" s="1"/>
  <c r="BG15" i="34"/>
  <c r="V35" i="32" s="1"/>
  <c r="AI35" i="32" l="1"/>
  <c r="AC34" i="32"/>
  <c r="T35" i="32"/>
  <c r="AL36" i="32"/>
  <c r="AC35" i="32"/>
  <c r="BI16" i="34"/>
  <c r="BI17" i="34" s="1"/>
  <c r="AO34" i="32" l="1"/>
  <c r="AE35" i="32"/>
  <c r="AO35" i="32"/>
  <c r="AE34" i="32" l="1"/>
  <c r="AP34" i="32"/>
  <c r="AP49" i="32" s="1"/>
  <c r="T2" i="32"/>
  <c r="AO22" i="32" l="1"/>
  <c r="AC29" i="32" l="1"/>
  <c r="BH45" i="20" l="1"/>
  <c r="BF45" i="20"/>
  <c r="BG45" i="20"/>
  <c r="AC30" i="32" l="1"/>
  <c r="AI31" i="32"/>
  <c r="AC26" i="32"/>
  <c r="AC25" i="32"/>
  <c r="T29" i="32"/>
  <c r="T25" i="32"/>
  <c r="T26" i="32"/>
  <c r="BI45" i="20"/>
  <c r="AO30" i="32" l="1"/>
  <c r="AE30" i="32"/>
  <c r="BI46" i="20"/>
  <c r="CB48" i="36"/>
  <c r="CB47" i="36"/>
  <c r="CB46" i="36"/>
  <c r="V46" i="36"/>
  <c r="AP46" i="36" s="1"/>
  <c r="CB45" i="36"/>
  <c r="CB44" i="36"/>
  <c r="V44" i="36"/>
  <c r="AP44" i="36" s="1"/>
  <c r="BK49" i="36"/>
  <c r="BJ49" i="36"/>
  <c r="CB22" i="36"/>
  <c r="CB35" i="36" s="1"/>
  <c r="H39" i="32" s="1"/>
  <c r="BI37" i="36"/>
  <c r="AP49" i="36" l="1"/>
  <c r="BI49" i="36"/>
  <c r="BI51" i="36" s="1"/>
  <c r="AL44" i="32"/>
  <c r="AL39" i="32"/>
  <c r="CD46" i="36"/>
  <c r="CD22" i="36"/>
  <c r="CD47" i="36"/>
  <c r="CD48" i="36"/>
  <c r="CA48" i="36"/>
  <c r="CD44" i="36"/>
  <c r="CD45" i="36"/>
  <c r="BJ37" i="36"/>
  <c r="CC47" i="36"/>
  <c r="CB49" i="36"/>
  <c r="E41" i="32" s="1"/>
  <c r="CC46" i="36"/>
  <c r="BK37" i="36"/>
  <c r="AG41" i="32" l="1"/>
  <c r="AG42" i="32"/>
  <c r="K41" i="32"/>
  <c r="CD49" i="36"/>
  <c r="AG43" i="32" s="1"/>
  <c r="CD35" i="36"/>
  <c r="AG39" i="32" s="1"/>
  <c r="BK51" i="36"/>
  <c r="BZ37" i="36"/>
  <c r="BJ51" i="36"/>
  <c r="CC45" i="36"/>
  <c r="CA44" i="36"/>
  <c r="CA45" i="36"/>
  <c r="CC44" i="36"/>
  <c r="CA46" i="36"/>
  <c r="CA47" i="36"/>
  <c r="CC48" i="36"/>
  <c r="CC22" i="36"/>
  <c r="CC35" i="36" s="1"/>
  <c r="AG44" i="32" l="1"/>
  <c r="AG48" i="32" s="1"/>
  <c r="CA49" i="36"/>
  <c r="AD41" i="32" s="1"/>
  <c r="BZ49" i="36"/>
  <c r="W41" i="32" s="1"/>
  <c r="BZ51" i="36"/>
  <c r="CC49" i="36"/>
  <c r="U39" i="32"/>
  <c r="AC41" i="32" l="1"/>
  <c r="AI41" i="32"/>
  <c r="CB50" i="36"/>
  <c r="AC43" i="32"/>
  <c r="T43" i="32"/>
  <c r="X39" i="32"/>
  <c r="T39" i="32"/>
  <c r="CA50" i="36"/>
  <c r="BZ50" i="36"/>
  <c r="CB36" i="36"/>
  <c r="BZ36" i="36"/>
  <c r="AO41" i="32" l="1"/>
  <c r="AE41" i="32"/>
  <c r="AC39" i="32"/>
  <c r="AI43" i="32"/>
  <c r="AD39" i="32"/>
  <c r="CC36" i="36"/>
  <c r="CC37" i="36" s="1"/>
  <c r="CC50" i="36"/>
  <c r="CC51" i="36" s="1"/>
  <c r="N51" i="32" l="1"/>
  <c r="M51" i="32"/>
  <c r="AJ44" i="32"/>
  <c r="AI44" i="32"/>
  <c r="BH17" i="38" l="1"/>
  <c r="AH17" i="38"/>
  <c r="AG17" i="38"/>
  <c r="Q17" i="38"/>
  <c r="AF17" i="38" s="1"/>
  <c r="BH16" i="38"/>
  <c r="AG16" i="38"/>
  <c r="Q16" i="38"/>
  <c r="AF16" i="38" s="1"/>
  <c r="BH9" i="38"/>
  <c r="F7" i="32" s="1"/>
  <c r="AI6" i="38"/>
  <c r="AI9" i="38" s="1"/>
  <c r="AV11" i="38" s="1"/>
  <c r="AH6" i="38"/>
  <c r="AH9" i="38" s="1"/>
  <c r="AU11" i="38" s="1"/>
  <c r="AG6" i="38"/>
  <c r="AG9" i="38" s="1"/>
  <c r="AT11" i="38" s="1"/>
  <c r="Q6" i="38"/>
  <c r="AF6" i="38" s="1"/>
  <c r="AF9" i="38" s="1"/>
  <c r="AF20" i="38" l="1"/>
  <c r="K7" i="32"/>
  <c r="BF11" i="38"/>
  <c r="BJ6" i="38"/>
  <c r="BF17" i="38"/>
  <c r="BJ17" i="38"/>
  <c r="AU20" i="38"/>
  <c r="BJ16" i="38"/>
  <c r="AS6" i="38"/>
  <c r="AS9" i="38" s="1"/>
  <c r="O7" i="32" s="1"/>
  <c r="AS17" i="38"/>
  <c r="BI17" i="38" s="1"/>
  <c r="AH20" i="38"/>
  <c r="AG20" i="38"/>
  <c r="H8" i="32"/>
  <c r="AS16" i="38"/>
  <c r="BI16" i="38" s="1"/>
  <c r="AG7" i="32" l="1"/>
  <c r="BI20" i="38"/>
  <c r="AG8" i="32"/>
  <c r="BG17" i="38"/>
  <c r="BG16" i="38"/>
  <c r="BG20" i="38" s="1"/>
  <c r="H51" i="32"/>
  <c r="AU22" i="38"/>
  <c r="K8" i="32"/>
  <c r="K9" i="32"/>
  <c r="BF16" i="38"/>
  <c r="BF20" i="38" s="1"/>
  <c r="BF6" i="38"/>
  <c r="AT20" i="38"/>
  <c r="AT22" i="38" s="1"/>
  <c r="AS20" i="38"/>
  <c r="Q8" i="32" s="1"/>
  <c r="AG10" i="32" l="1"/>
  <c r="BF22" i="38"/>
  <c r="BG21" i="38"/>
  <c r="T9" i="32"/>
  <c r="T7" i="32"/>
  <c r="BI9" i="38"/>
  <c r="BH10" i="38" s="1"/>
  <c r="X7" i="32"/>
  <c r="Z8" i="32"/>
  <c r="AC8" i="32" s="1"/>
  <c r="BG9" i="38"/>
  <c r="AC7" i="32" l="1"/>
  <c r="AL8" i="32"/>
  <c r="AJ7" i="32"/>
  <c r="BF21" i="38"/>
  <c r="BI10" i="38"/>
  <c r="BI11" i="38" s="1"/>
  <c r="AD7" i="32"/>
  <c r="Q51" i="32" l="1"/>
  <c r="AJ10" i="32"/>
  <c r="AL10" i="32"/>
  <c r="BI21" i="38"/>
  <c r="BI22" i="38" s="1"/>
  <c r="AD8" i="32"/>
  <c r="AO7" i="32"/>
  <c r="T8" i="32"/>
  <c r="AF8" i="32" s="1"/>
  <c r="AO9" i="32"/>
  <c r="AE7" i="32"/>
  <c r="AE10" i="32" s="1"/>
  <c r="BI1" i="38"/>
  <c r="AE9" i="32"/>
  <c r="AL48" i="32" l="1"/>
  <c r="AO8" i="32"/>
  <c r="AE8" i="32"/>
  <c r="K43" i="32" l="1"/>
  <c r="K39" i="32"/>
  <c r="AO39" i="32" s="1"/>
  <c r="AO43" i="32" l="1"/>
  <c r="AE39" i="32"/>
  <c r="AE43" i="32" l="1"/>
  <c r="C10" i="32"/>
  <c r="AN31" i="32"/>
  <c r="S51" i="32" l="1"/>
  <c r="AN48" i="32" l="1"/>
  <c r="K25" i="32"/>
  <c r="AO25" i="32" l="1"/>
  <c r="AO10" i="32"/>
  <c r="AE25" i="32" l="1"/>
  <c r="K26" i="32"/>
  <c r="AO26" i="32" l="1"/>
  <c r="AE26" i="32" l="1"/>
  <c r="K24" i="32"/>
  <c r="K2" i="32" l="1"/>
  <c r="K38" i="32"/>
  <c r="AC38" i="32" l="1"/>
  <c r="T38" i="32"/>
  <c r="AE38" i="32" l="1"/>
  <c r="AO38" i="32"/>
  <c r="AO44" i="32"/>
  <c r="L51" i="32" l="1"/>
  <c r="AI36" i="32"/>
  <c r="AC33" i="32"/>
  <c r="T33" i="32"/>
  <c r="K33" i="32"/>
  <c r="O51" i="32" l="1"/>
  <c r="K49" i="32"/>
  <c r="AO33" i="32"/>
  <c r="AE33" i="32" l="1"/>
  <c r="AJ48" i="32"/>
  <c r="K29" i="32"/>
  <c r="K31" i="32" l="1"/>
  <c r="K48" i="32" s="1"/>
  <c r="K50" i="32" s="1"/>
  <c r="AH48" i="32"/>
  <c r="AO29" i="32"/>
  <c r="AE29" i="32" l="1"/>
  <c r="AE31" i="32" s="1"/>
  <c r="AE48" i="32" s="1"/>
  <c r="AO36" i="32"/>
  <c r="T24" i="32" l="1"/>
  <c r="T31" i="32" s="1"/>
  <c r="T48" i="32" s="1"/>
  <c r="T49" i="32" l="1"/>
  <c r="T50" i="32" l="1"/>
  <c r="AC24" i="32"/>
  <c r="AI48" i="32" l="1"/>
  <c r="AO24" i="32"/>
  <c r="T51" i="32" l="1"/>
  <c r="AO48" i="32"/>
  <c r="AO31" i="32"/>
  <c r="AE24" i="32"/>
  <c r="AF49" i="32" l="1"/>
</calcChain>
</file>

<file path=xl/sharedStrings.xml><?xml version="1.0" encoding="utf-8"?>
<sst xmlns="http://schemas.openxmlformats.org/spreadsheetml/2006/main" count="1469" uniqueCount="302">
  <si>
    <t>Dos</t>
  </si>
  <si>
    <t>kg</t>
  </si>
  <si>
    <t>Buah</t>
  </si>
  <si>
    <t>Pekerja</t>
  </si>
  <si>
    <t>JUMLAH TOTAL</t>
  </si>
  <si>
    <t>JUMLAH (Rp)</t>
  </si>
  <si>
    <t>Lembar</t>
  </si>
  <si>
    <t>KEGIATAN</t>
  </si>
  <si>
    <t>NO</t>
  </si>
  <si>
    <t>URAIAN</t>
  </si>
  <si>
    <t>VOLUME</t>
  </si>
  <si>
    <t>HOK</t>
  </si>
  <si>
    <t>Prasasti</t>
  </si>
  <si>
    <t>JUMLAH</t>
  </si>
  <si>
    <t>Zak</t>
  </si>
  <si>
    <t>Ls</t>
  </si>
  <si>
    <t>Meter</t>
  </si>
  <si>
    <t>HARGA (Rp)</t>
  </si>
  <si>
    <t>RAB</t>
  </si>
  <si>
    <t>REALISASI</t>
  </si>
  <si>
    <t>SAT</t>
  </si>
  <si>
    <t>JML</t>
  </si>
  <si>
    <t xml:space="preserve">SUMBER DA NA </t>
  </si>
  <si>
    <t>BELANJA</t>
  </si>
  <si>
    <t>Unit</t>
  </si>
  <si>
    <t>ls</t>
  </si>
  <si>
    <t>Kotak</t>
  </si>
  <si>
    <t>Spanduk</t>
  </si>
  <si>
    <t>SISA PAGU</t>
  </si>
  <si>
    <t>SELISIH BELANJA</t>
  </si>
  <si>
    <t>TOTAL SISA ANGGARAN</t>
  </si>
  <si>
    <t>SELISIH REALISASI</t>
  </si>
  <si>
    <t>PAJAK</t>
  </si>
  <si>
    <t>Jumlah</t>
  </si>
  <si>
    <t>JUMLAH SISA ANGGARAN</t>
  </si>
  <si>
    <t>Kali</t>
  </si>
  <si>
    <t>KAUR UMUM</t>
  </si>
  <si>
    <t>NON BELANJA</t>
  </si>
  <si>
    <t>KASI KESRA</t>
  </si>
  <si>
    <t>II</t>
  </si>
  <si>
    <t xml:space="preserve">Jumlah </t>
  </si>
  <si>
    <t>KASI PEMERINTAHAN</t>
  </si>
  <si>
    <t>III</t>
  </si>
  <si>
    <t>KAUR REN</t>
  </si>
  <si>
    <t>KAUR KEU</t>
  </si>
  <si>
    <t>IV</t>
  </si>
  <si>
    <t>V</t>
  </si>
  <si>
    <t>VI</t>
  </si>
  <si>
    <t>KASI PELAYANAN</t>
  </si>
  <si>
    <t>Org</t>
  </si>
  <si>
    <t xml:space="preserve"> </t>
  </si>
  <si>
    <t>Materai</t>
  </si>
  <si>
    <t xml:space="preserve">: Musyawarah Dadakan </t>
  </si>
  <si>
    <t>: Operasional Pemdes</t>
  </si>
  <si>
    <t>Penjepit Kertas</t>
  </si>
  <si>
    <t>: Operasional BPD</t>
  </si>
  <si>
    <t xml:space="preserve">Musyawarah Dadakan </t>
  </si>
  <si>
    <t>TOTAL PAGU ANGGARAN</t>
  </si>
  <si>
    <t>REALISASI ANGGARAN</t>
  </si>
  <si>
    <t>DLL</t>
  </si>
  <si>
    <t>% GIAT</t>
  </si>
  <si>
    <t>% ANGGARAN</t>
  </si>
  <si>
    <t>SDDS</t>
  </si>
  <si>
    <t>Semen PC 40 kg</t>
  </si>
  <si>
    <t>Kawat Beton</t>
  </si>
  <si>
    <t>operasional TPK 2,5 %</t>
  </si>
  <si>
    <t>Tukang</t>
  </si>
  <si>
    <t xml:space="preserve">Kepala Tukang </t>
  </si>
  <si>
    <t>Papan Informasi Kegiatan</t>
  </si>
  <si>
    <t>M3</t>
  </si>
  <si>
    <t>LS</t>
  </si>
  <si>
    <t>SADD</t>
  </si>
  <si>
    <t>Hok</t>
  </si>
  <si>
    <t>PAD</t>
  </si>
  <si>
    <t>SDDs</t>
  </si>
  <si>
    <t>SPBH</t>
  </si>
  <si>
    <t>PLL/JAGIR</t>
  </si>
  <si>
    <t xml:space="preserve">SUMBER DANA </t>
  </si>
  <si>
    <t>: Aset Tetap Kantor</t>
  </si>
  <si>
    <t>Laptop</t>
  </si>
  <si>
    <t>PBH</t>
  </si>
  <si>
    <t>Batu Bata</t>
  </si>
  <si>
    <t>Operasional Pemdes (JAGIR)</t>
  </si>
  <si>
    <t>SBHP</t>
  </si>
  <si>
    <t>REALISASI KEGIATAN APBDesa PERUBAHAN TA. 2024</t>
  </si>
  <si>
    <t>M³</t>
  </si>
  <si>
    <t>JAGIR</t>
  </si>
  <si>
    <t>: Pembinaan PKK</t>
  </si>
  <si>
    <t>: Kegiatan Rutin KLp Masyarakat (SPBH)</t>
  </si>
  <si>
    <t>Snaxk (14 kali x 50 Org)</t>
  </si>
  <si>
    <t>Snack (3 Keg x 40 Org)</t>
  </si>
  <si>
    <t>Makan/Minum (3 Keg x 40 Org)</t>
  </si>
  <si>
    <t>Tissu</t>
  </si>
  <si>
    <t>M</t>
  </si>
  <si>
    <t xml:space="preserve">Kegiatan Rapat Rutin Klp Mas. </t>
  </si>
  <si>
    <t>Penyusunan Dokumen LPJ APBDesa</t>
  </si>
  <si>
    <t>: Penyusunan Dokumen LPJ APBDesa (SPBH)</t>
  </si>
  <si>
    <t xml:space="preserve">Buku Cek Rekening </t>
  </si>
  <si>
    <t>Jilid LPJ (3 Rangkap x 2 Bulan)</t>
  </si>
  <si>
    <t>Rangkap</t>
  </si>
  <si>
    <t>: Penyelenggraan Posyandu (PAD)</t>
  </si>
  <si>
    <t>Kertas Kartun/Jilid Warna Ungu</t>
  </si>
  <si>
    <t>Bungkus</t>
  </si>
  <si>
    <t>Kertas Kartun/Jilid Warna Kuning</t>
  </si>
  <si>
    <t>Kertas Kartun/Jilid Warna Biru</t>
  </si>
  <si>
    <t>Kertas Kartun/Jilid Warna Merah</t>
  </si>
  <si>
    <t>Kertas Kartun/Jilid Warna Hijau</t>
  </si>
  <si>
    <t>Kertas Kartun/Jilid Warna Orengs</t>
  </si>
  <si>
    <t>Kertas Kartun/Jilid Warna Pink</t>
  </si>
  <si>
    <t>Kertas Kartun/Jilid Warna Orengs Mudah</t>
  </si>
  <si>
    <t xml:space="preserve">Kouta Internet Kader Posyandu </t>
  </si>
  <si>
    <t>Alat Tensi Digital</t>
  </si>
  <si>
    <t>Alat Ukur Tinggi Badan untuk Dewasa</t>
  </si>
  <si>
    <t>Alat Ukur Lingkar Kepala</t>
  </si>
  <si>
    <t>Alat Timbangan Bayi</t>
  </si>
  <si>
    <t>Alat Pengukur Panjang Badan untuk Bayi</t>
  </si>
  <si>
    <t>Meja Posyandu</t>
  </si>
  <si>
    <t>Org/Bulan</t>
  </si>
  <si>
    <t>:  Pengiriman Kontingen Group Kesenian &amp; Kebudayaan (Wakil Desa tkt.Kec/Kab/Kot) (SDDS)</t>
  </si>
  <si>
    <t>Snack (14 Org * 6 Kali)</t>
  </si>
  <si>
    <t>Makan/Minum (14 Org * 9 Kali)</t>
  </si>
  <si>
    <t>Seragam Kontingen Bela Diri</t>
  </si>
  <si>
    <t>Taransport 2 Mobil</t>
  </si>
  <si>
    <t>Biaya Pendaftaran Kelas Festival</t>
  </si>
  <si>
    <t>Akomodasi Penginapan (3 Kamar * 2 Hari)</t>
  </si>
  <si>
    <t>Biaya Pendaftaran KelasOpen</t>
  </si>
  <si>
    <t>Kamar</t>
  </si>
  <si>
    <t>Snack (2 Keg * 35 Org)</t>
  </si>
  <si>
    <t>Makan/Minum (2 Keg * 35 Org)</t>
  </si>
  <si>
    <t>Air Dos</t>
  </si>
  <si>
    <t>Baju seragam Perangkat dan Staf</t>
  </si>
  <si>
    <t>PADes</t>
  </si>
  <si>
    <t>Tambahan daya listrik</t>
  </si>
  <si>
    <t>Paket</t>
  </si>
  <si>
    <t>Pasang</t>
  </si>
  <si>
    <t>Perbaikan motor Ketua RT</t>
  </si>
  <si>
    <t>Snack tamu</t>
  </si>
  <si>
    <t>Makan tamu</t>
  </si>
  <si>
    <t>Air dos</t>
  </si>
  <si>
    <t>Baju seragam BPD</t>
  </si>
  <si>
    <t>SPADes</t>
  </si>
  <si>
    <t>Pembelian Plash Disk</t>
  </si>
  <si>
    <t>AC 1/2 PK</t>
  </si>
  <si>
    <t>Operasional Pemdes (PADes)</t>
  </si>
  <si>
    <t>BHP</t>
  </si>
  <si>
    <t>Aset Tetap Desa (SPADes)</t>
  </si>
  <si>
    <t>Aset Tetap Desa (PADes)</t>
  </si>
  <si>
    <t>: Pengembangan Sistem  Informasi Desa</t>
  </si>
  <si>
    <t>Biaya Pembuatan Website Desa</t>
  </si>
  <si>
    <t>: Pembangunan Balai Pertemuan dan kantor BUMDesa</t>
  </si>
  <si>
    <t>Batu Gunung/Kali</t>
  </si>
  <si>
    <t>Pasir Pasang</t>
  </si>
  <si>
    <t>Batu Pecah 2-3</t>
  </si>
  <si>
    <t>Air Kerja</t>
  </si>
  <si>
    <t>Kayu Kelas II Jenis Kumea</t>
  </si>
  <si>
    <t>Kayu Kelas III Mall</t>
  </si>
  <si>
    <t>Plywood Tebal 9 MM</t>
  </si>
  <si>
    <t>Bambu</t>
  </si>
  <si>
    <t>Besi Beton Polos @12</t>
  </si>
  <si>
    <t>Besi Beton Polos @8</t>
  </si>
  <si>
    <t>liter</t>
  </si>
  <si>
    <t>nuah</t>
  </si>
  <si>
    <t>Kg</t>
  </si>
  <si>
    <t>lembar</t>
  </si>
  <si>
    <t>batang</t>
  </si>
  <si>
    <t>Sewa Molen/Beton Mixer 0,35 M3</t>
  </si>
  <si>
    <t>hari</t>
  </si>
  <si>
    <t>operasional TPK 2 %</t>
  </si>
  <si>
    <t>: Pembangunan Pembuatan Batas Dusun</t>
  </si>
  <si>
    <t xml:space="preserve">Belanja Barang </t>
  </si>
  <si>
    <t>Pembuatan Batas Dusun</t>
  </si>
  <si>
    <t>unit</t>
  </si>
  <si>
    <t>`</t>
  </si>
  <si>
    <t>: Pembuatan Rumpon</t>
  </si>
  <si>
    <t xml:space="preserve">Pengadaan Rumpon 14 unit </t>
  </si>
  <si>
    <t>: Pembangunan saluran irigasi di sawah 68 Meter</t>
  </si>
  <si>
    <t>Semen Pc 40 Kg</t>
  </si>
  <si>
    <t>Batu kali/gunung</t>
  </si>
  <si>
    <t xml:space="preserve">Tukang </t>
  </si>
  <si>
    <t>zak</t>
  </si>
  <si>
    <t>: Pelatihan Lanjutan Menjahit</t>
  </si>
  <si>
    <t>Costum Book</t>
  </si>
  <si>
    <t>Skala</t>
  </si>
  <si>
    <t>Pensil</t>
  </si>
  <si>
    <t>Pensil Meah Biru</t>
  </si>
  <si>
    <t>Rader</t>
  </si>
  <si>
    <t>Karbon Jahit</t>
  </si>
  <si>
    <t>Kapur jahit</t>
  </si>
  <si>
    <t>Pentul</t>
  </si>
  <si>
    <t>Gunting Kertas</t>
  </si>
  <si>
    <t>Gunting benang</t>
  </si>
  <si>
    <t>Gunting Kain</t>
  </si>
  <si>
    <t>Jarum Mesin Singer No 14</t>
  </si>
  <si>
    <t>Jarum Mesin Singer No 15</t>
  </si>
  <si>
    <t>Jarum Tangan</t>
  </si>
  <si>
    <t>Benang Obras</t>
  </si>
  <si>
    <t>Benang Jahit</t>
  </si>
  <si>
    <t>Pendedel</t>
  </si>
  <si>
    <t>Kain Maxi Stile</t>
  </si>
  <si>
    <t>Kancing Meja</t>
  </si>
  <si>
    <t>Kertas Copy (Pola)</t>
  </si>
  <si>
    <t>Kain Keras staflek</t>
  </si>
  <si>
    <t>Triples</t>
  </si>
  <si>
    <t>Spidol</t>
  </si>
  <si>
    <t>Penghapus</t>
  </si>
  <si>
    <t>Makan Minum</t>
  </si>
  <si>
    <t>Snack</t>
  </si>
  <si>
    <t>Kain Keras visiling</t>
  </si>
  <si>
    <t>: Kegiatan Penanggulangan Bencana</t>
  </si>
  <si>
    <t>Penanggulangan Bencana</t>
  </si>
  <si>
    <t>Pembuatan Website Desa</t>
  </si>
  <si>
    <t>Pembangunan balai  kantor desa</t>
  </si>
  <si>
    <t>Pembuatan batas dusun</t>
  </si>
  <si>
    <t>Pembangunan saluran irigasi sawah 68 M</t>
  </si>
  <si>
    <t>Pembinaan karang taruna</t>
  </si>
  <si>
    <t>Pelatihan lanjutan menjahit</t>
  </si>
  <si>
    <t>Pembinaan PKK</t>
  </si>
  <si>
    <t>Penyelenggaraan Posyandu</t>
  </si>
  <si>
    <t>Kegiatan Lomba Karate Go Jukai</t>
  </si>
  <si>
    <t>bumdes</t>
  </si>
  <si>
    <t>Paku 5 cm -10 cm</t>
  </si>
  <si>
    <t>Operasional BPD (PADes)</t>
  </si>
  <si>
    <t>VII</t>
  </si>
  <si>
    <t>PEMBIAYAAN</t>
  </si>
  <si>
    <t>LPJ BUMDes TA. 2024</t>
  </si>
  <si>
    <t>SPPD Dalam Kabupaten/Kota kabupaten</t>
  </si>
  <si>
    <t>1. Barru</t>
  </si>
  <si>
    <t>2. Kec. Sopri</t>
  </si>
  <si>
    <t>JUMLAH PENCAIRAN</t>
  </si>
  <si>
    <t>SiLPA</t>
  </si>
  <si>
    <t>SISKEUDES</t>
  </si>
  <si>
    <t>DAERAH</t>
  </si>
  <si>
    <t>ALAT BERAT</t>
  </si>
  <si>
    <t>GAMBAR</t>
  </si>
  <si>
    <t>realis awal</t>
  </si>
  <si>
    <t>Pembuatan rumpon</t>
  </si>
  <si>
    <t>: Mediasi Pertanahan</t>
  </si>
  <si>
    <t>Map Plastik</t>
  </si>
  <si>
    <t>: Penyelenggraan Posyandu BHP</t>
  </si>
  <si>
    <t>Kursi Posyandu</t>
  </si>
  <si>
    <t>Cuci tangan</t>
  </si>
  <si>
    <t>Teko</t>
  </si>
  <si>
    <t>sendok saring</t>
  </si>
  <si>
    <t>nampang</t>
  </si>
  <si>
    <t>borkam plastik</t>
  </si>
  <si>
    <t>buah</t>
  </si>
  <si>
    <t>ADD</t>
  </si>
  <si>
    <t>SPP dalam kabupaten</t>
  </si>
  <si>
    <t>Langganan listrik</t>
  </si>
  <si>
    <t>Belanja Perlengkapan Alat Rumah Tangga dan Bahan Kebersihan</t>
  </si>
  <si>
    <t>Sendok besar</t>
  </si>
  <si>
    <t>sendok kecil</t>
  </si>
  <si>
    <t>Piring tengah</t>
  </si>
  <si>
    <t>Gelas</t>
  </si>
  <si>
    <t>Wajan</t>
  </si>
  <si>
    <t>Mangkok</t>
  </si>
  <si>
    <t>Borkan keramik</t>
  </si>
  <si>
    <t>Belanja Pemeliharaan</t>
  </si>
  <si>
    <t>Service AC</t>
  </si>
  <si>
    <t>bulan</t>
  </si>
  <si>
    <t>llusin</t>
  </si>
  <si>
    <t>Napak Tilas</t>
  </si>
  <si>
    <t>Snack (5 Org * 2Kali)</t>
  </si>
  <si>
    <t>Makan/Minum (5 Org * 2 Kali)</t>
  </si>
  <si>
    <t>Sewa mobil</t>
  </si>
  <si>
    <t xml:space="preserve">Biaya registrasi </t>
  </si>
  <si>
    <t>baju seragam napak tilas</t>
  </si>
  <si>
    <t>Kegiatan duta budaya/wisata</t>
  </si>
  <si>
    <t>Biaya Pendaftaran Duta</t>
  </si>
  <si>
    <t>Sewa baju bodo dan aksesoris</t>
  </si>
  <si>
    <t>Jas tutup</t>
  </si>
  <si>
    <t>Make up Duta Wisata</t>
  </si>
  <si>
    <t>Makan minum (2 orgx 3 harix 2 kali)</t>
  </si>
  <si>
    <t xml:space="preserve">Mobil </t>
  </si>
  <si>
    <t>Mobil</t>
  </si>
  <si>
    <t>add</t>
  </si>
  <si>
    <t xml:space="preserve">Snack </t>
  </si>
  <si>
    <t>Makan/Minum (2 Keg * 10 Org)</t>
  </si>
  <si>
    <t>Air botol</t>
  </si>
  <si>
    <t>Baju sergam porseni PKK</t>
  </si>
  <si>
    <t xml:space="preserve">Pak </t>
  </si>
  <si>
    <t>Porseni PKK</t>
  </si>
  <si>
    <t>2.</t>
  </si>
  <si>
    <t>Pengiriman Kontingen Group Kesenian &amp; Kebudayaan</t>
  </si>
  <si>
    <t>Operasional Pemdes (BHP)</t>
  </si>
  <si>
    <t>Operasional Pemdes (ADD)</t>
  </si>
  <si>
    <t>Mediasi pertanahan</t>
  </si>
  <si>
    <t>Pembinaan PKK/Porseni PKK</t>
  </si>
  <si>
    <t>SPPD luar daerah dalam Provinsi</t>
  </si>
  <si>
    <t>Kades</t>
  </si>
  <si>
    <t>Fasilitator</t>
  </si>
  <si>
    <t>Kaur Umum/Kaur Perencanaan</t>
  </si>
  <si>
    <t>Papan informasi</t>
  </si>
  <si>
    <t>Pembelian Karung</t>
  </si>
  <si>
    <t>Kec</t>
  </si>
  <si>
    <t>Kab.</t>
  </si>
  <si>
    <t>: Pembinaan Karang taruna</t>
  </si>
  <si>
    <t>SPPD Dalam Daerah Kabupaten/Kota</t>
  </si>
  <si>
    <t>Makan minum pelatih ( 2 kali x 3 org x 2 bulan</t>
  </si>
  <si>
    <t>kotak</t>
  </si>
  <si>
    <t>Air Mineral</t>
  </si>
  <si>
    <t>Honor Pelatih ( 3 org x 10 kali x 2 bulan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</si>
</sst>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* #,##0.00_);_(* \(#,##0.00\);_(* &quot;-&quot;_);_(@_)"/>
    <numFmt numFmtId="168" formatCode="_-[$Rp-421]* #,##0.00_-;\-[$Rp-421]* #,##0.00_-;_-[$Rp-421]* &quot;-&quot;??_-;_-@_-"/>
    <numFmt numFmtId="169" formatCode="_(* #,##0_);_(* \(#,##0\);_(* &quot;-&quot;??_);_(@_)"/>
    <numFmt numFmtId="170" formatCode="_(* #,##0.00000000_);_(* \(#,##0.00000000\);_(* &quot;-&quot;_);_(@_)"/>
    <numFmt numFmtId="171" formatCode="_-* #,##0.0_-;\-* #,##0.0_-;_-* &quot;-&quot;?_-;_-@_-"/>
    <numFmt numFmtId="172" formatCode="0,000.00"/>
    <numFmt numFmtId="173" formatCode="00,"/>
    <numFmt numFmtId="174" formatCode="_(* #,##0.00000000_);_(* \(#,##0.00000000\);_(* &quot;-&quot;??_);_(@_)"/>
    <numFmt numFmtId="175" formatCode="0,000"/>
    <numFmt numFmtId="176" formatCode="_(* #,##0.0_);_(* \(#,##0.0\);_(* &quot;-&quot;??_);_(@_)"/>
    <numFmt numFmtId="177" formatCode="_-* #,##0_-;\-* #,##0_-;_-* &quot;-&quot;?_-;_-@_-"/>
  </numFmts>
  <fonts count="6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name val="Helv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6"/>
      <color rgb="FF000000"/>
      <name val="Arial"/>
      <family val="2"/>
    </font>
    <font>
      <sz val="11"/>
      <color indexed="8"/>
      <name val="Calibri Light"/>
      <family val="2"/>
    </font>
    <font>
      <sz val="11"/>
      <name val="Calibri Light"/>
      <family val="2"/>
    </font>
    <font>
      <b/>
      <sz val="18"/>
      <color rgb="FFFF000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rgb="FF00B050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Times New Roman"/>
      <family val="1"/>
    </font>
    <font>
      <sz val="11"/>
      <color indexed="8"/>
      <name val="Calibri"/>
      <family val="2"/>
    </font>
    <font>
      <sz val="8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00B050"/>
      <name val="Times New Roman"/>
      <family val="1"/>
    </font>
    <font>
      <b/>
      <sz val="12"/>
      <color rgb="FFFF0066"/>
      <name val="Arial"/>
      <family val="2"/>
    </font>
    <font>
      <b/>
      <sz val="11"/>
      <color indexed="8"/>
      <name val="Calibri Light"/>
      <family val="2"/>
    </font>
    <font>
      <sz val="14"/>
      <color rgb="FF000000"/>
      <name val="Calibri"/>
      <family val="2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Arial"/>
      <family val="2"/>
    </font>
    <font>
      <sz val="14"/>
      <color rgb="FFFF0000"/>
      <name val="Times New Roman"/>
      <family val="1"/>
    </font>
    <font>
      <b/>
      <sz val="14"/>
      <color rgb="FFFF0000"/>
      <name val="Calibri"/>
      <family val="2"/>
    </font>
    <font>
      <b/>
      <sz val="14"/>
      <name val="Calibri"/>
      <family val="2"/>
    </font>
    <font>
      <b/>
      <sz val="14"/>
      <color rgb="FF00B050"/>
      <name val="Times New Roman"/>
      <family val="1"/>
    </font>
    <font>
      <b/>
      <sz val="11"/>
      <name val="Calibri Light"/>
      <family val="2"/>
    </font>
    <font>
      <b/>
      <sz val="12"/>
      <color theme="5"/>
      <name val="Arial"/>
      <family val="2"/>
    </font>
    <font>
      <sz val="12"/>
      <color rgb="FFFF66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6">
    <xf numFmtId="0" fontId="0" fillId="0" borderId="0"/>
    <xf numFmtId="165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1" fillId="0" borderId="0"/>
    <xf numFmtId="4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0" borderId="0"/>
    <xf numFmtId="0" fontId="20" fillId="0" borderId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898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left" vertical="top"/>
    </xf>
    <xf numFmtId="167" fontId="0" fillId="0" borderId="0" xfId="1" applyNumberFormat="1" applyFont="1" applyAlignment="1">
      <alignment horizontal="left" vertical="top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8" fontId="3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167" fontId="22" fillId="0" borderId="0" xfId="1" applyNumberFormat="1" applyFont="1" applyAlignment="1">
      <alignment horizontal="left" vertical="center"/>
    </xf>
    <xf numFmtId="167" fontId="9" fillId="0" borderId="0" xfId="1" applyNumberFormat="1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7" fontId="9" fillId="0" borderId="0" xfId="1" applyNumberFormat="1" applyFont="1" applyAlignment="1">
      <alignment horizontal="left" vertical="top"/>
    </xf>
    <xf numFmtId="0" fontId="15" fillId="0" borderId="8" xfId="0" applyFont="1" applyBorder="1" applyAlignment="1">
      <alignment horizontal="center" vertical="center" wrapText="1"/>
    </xf>
    <xf numFmtId="0" fontId="15" fillId="0" borderId="8" xfId="1" applyNumberFormat="1" applyFont="1" applyFill="1" applyBorder="1" applyAlignment="1">
      <alignment horizontal="center" vertical="center" shrinkToFit="1"/>
    </xf>
    <xf numFmtId="0" fontId="23" fillId="0" borderId="8" xfId="1" applyNumberFormat="1" applyFont="1" applyFill="1" applyBorder="1" applyAlignment="1">
      <alignment horizontal="center" vertical="center" shrinkToFit="1"/>
    </xf>
    <xf numFmtId="165" fontId="15" fillId="0" borderId="10" xfId="0" applyNumberFormat="1" applyFont="1" applyBorder="1" applyAlignment="1">
      <alignment horizontal="right" vertical="center" shrinkToFit="1"/>
    </xf>
    <xf numFmtId="167" fontId="15" fillId="0" borderId="0" xfId="1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" fontId="9" fillId="0" borderId="22" xfId="0" applyNumberFormat="1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65" fontId="10" fillId="0" borderId="27" xfId="0" applyNumberFormat="1" applyFont="1" applyBorder="1" applyAlignment="1">
      <alignment horizontal="left" vertical="center"/>
    </xf>
    <xf numFmtId="165" fontId="10" fillId="0" borderId="27" xfId="1" applyFont="1" applyFill="1" applyBorder="1" applyAlignment="1">
      <alignment horizontal="center" vertical="center" shrinkToFit="1"/>
    </xf>
    <xf numFmtId="0" fontId="24" fillId="0" borderId="27" xfId="1" applyNumberFormat="1" applyFont="1" applyFill="1" applyBorder="1" applyAlignment="1">
      <alignment horizontal="center" vertical="center" shrinkToFit="1"/>
    </xf>
    <xf numFmtId="165" fontId="10" fillId="0" borderId="27" xfId="0" applyNumberFormat="1" applyFont="1" applyBorder="1" applyAlignment="1">
      <alignment horizontal="right" vertical="center" shrinkToFit="1"/>
    </xf>
    <xf numFmtId="167" fontId="10" fillId="0" borderId="0" xfId="1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65" fontId="24" fillId="0" borderId="0" xfId="1" applyFont="1" applyAlignment="1">
      <alignment horizontal="left" vertical="center"/>
    </xf>
    <xf numFmtId="165" fontId="25" fillId="0" borderId="0" xfId="1" applyFont="1" applyAlignment="1">
      <alignment horizontal="left" vertical="center"/>
    </xf>
    <xf numFmtId="165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165" fontId="24" fillId="0" borderId="19" xfId="0" applyNumberFormat="1" applyFont="1" applyBorder="1" applyAlignment="1">
      <alignment horizontal="left" vertical="center"/>
    </xf>
    <xf numFmtId="171" fontId="23" fillId="0" borderId="0" xfId="0" applyNumberFormat="1" applyFont="1" applyAlignment="1">
      <alignment horizontal="left" vertical="center"/>
    </xf>
    <xf numFmtId="165" fontId="2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168" fontId="9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170" fontId="24" fillId="0" borderId="0" xfId="1" applyNumberFormat="1" applyFont="1" applyAlignment="1">
      <alignment horizontal="center" vertical="center"/>
    </xf>
    <xf numFmtId="170" fontId="24" fillId="0" borderId="0" xfId="1" applyNumberFormat="1" applyFont="1" applyAlignment="1">
      <alignment horizontal="left" vertical="center"/>
    </xf>
    <xf numFmtId="165" fontId="9" fillId="0" borderId="8" xfId="20" applyNumberFormat="1" applyFont="1" applyFill="1" applyBorder="1" applyAlignment="1">
      <alignment horizontal="left" vertical="center"/>
    </xf>
    <xf numFmtId="165" fontId="15" fillId="0" borderId="8" xfId="20" applyNumberFormat="1" applyFont="1" applyBorder="1" applyAlignment="1">
      <alignment horizontal="right" vertical="center" shrinkToFit="1"/>
    </xf>
    <xf numFmtId="165" fontId="23" fillId="0" borderId="8" xfId="20" applyNumberFormat="1" applyFont="1" applyBorder="1" applyAlignment="1">
      <alignment horizontal="right" vertical="center" shrinkToFit="1"/>
    </xf>
    <xf numFmtId="165" fontId="23" fillId="0" borderId="10" xfId="20" applyNumberFormat="1" applyFont="1" applyBorder="1" applyAlignment="1">
      <alignment horizontal="right" vertical="center" shrinkToFit="1"/>
    </xf>
    <xf numFmtId="165" fontId="23" fillId="0" borderId="10" xfId="20" applyNumberFormat="1" applyFont="1" applyFill="1" applyBorder="1" applyAlignment="1">
      <alignment horizontal="right" vertical="center" shrinkToFit="1"/>
    </xf>
    <xf numFmtId="165" fontId="23" fillId="0" borderId="8" xfId="20" applyNumberFormat="1" applyFont="1" applyFill="1" applyBorder="1" applyAlignment="1">
      <alignment horizontal="right" vertical="center"/>
    </xf>
    <xf numFmtId="165" fontId="23" fillId="0" borderId="23" xfId="20" applyNumberFormat="1" applyFont="1" applyFill="1" applyBorder="1" applyAlignment="1">
      <alignment horizontal="right" vertical="center"/>
    </xf>
    <xf numFmtId="165" fontId="10" fillId="0" borderId="27" xfId="0" applyNumberFormat="1" applyFont="1" applyBorder="1" applyAlignment="1">
      <alignment horizontal="center" vertical="center"/>
    </xf>
    <xf numFmtId="165" fontId="24" fillId="0" borderId="27" xfId="20" applyNumberFormat="1" applyFont="1" applyBorder="1" applyAlignment="1">
      <alignment horizontal="right" vertical="center"/>
    </xf>
    <xf numFmtId="165" fontId="24" fillId="0" borderId="27" xfId="20" applyNumberFormat="1" applyFont="1" applyBorder="1" applyAlignment="1">
      <alignment horizontal="right" vertical="center" shrinkToFit="1"/>
    </xf>
    <xf numFmtId="1" fontId="21" fillId="0" borderId="14" xfId="0" applyNumberFormat="1" applyFont="1" applyBorder="1" applyAlignment="1" applyProtection="1">
      <alignment horizontal="center" vertical="center"/>
      <protection locked="0"/>
    </xf>
    <xf numFmtId="1" fontId="15" fillId="0" borderId="15" xfId="0" applyNumberFormat="1" applyFont="1" applyBorder="1" applyAlignment="1" applyProtection="1">
      <alignment horizontal="center" vertical="center"/>
      <protection locked="0"/>
    </xf>
    <xf numFmtId="169" fontId="21" fillId="0" borderId="15" xfId="20" applyNumberFormat="1" applyFont="1" applyFill="1" applyBorder="1" applyAlignment="1" applyProtection="1">
      <alignment horizontal="right" vertical="center"/>
      <protection locked="0"/>
    </xf>
    <xf numFmtId="1" fontId="27" fillId="0" borderId="22" xfId="0" applyNumberFormat="1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wrapText="1"/>
    </xf>
    <xf numFmtId="169" fontId="27" fillId="0" borderId="14" xfId="23" applyNumberFormat="1" applyFont="1" applyFill="1" applyBorder="1" applyAlignment="1" applyProtection="1">
      <alignment vertical="center"/>
      <protection locked="0"/>
    </xf>
    <xf numFmtId="0" fontId="27" fillId="0" borderId="8" xfId="1" applyNumberFormat="1" applyFont="1" applyFill="1" applyBorder="1" applyAlignment="1">
      <alignment horizontal="center" vertical="center" shrinkToFit="1"/>
    </xf>
    <xf numFmtId="0" fontId="25" fillId="0" borderId="8" xfId="1" applyNumberFormat="1" applyFont="1" applyFill="1" applyBorder="1" applyAlignment="1">
      <alignment horizontal="center" vertical="center" shrinkToFit="1"/>
    </xf>
    <xf numFmtId="167" fontId="27" fillId="0" borderId="0" xfId="1" applyNumberFormat="1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169" fontId="27" fillId="0" borderId="10" xfId="3" applyNumberFormat="1" applyFont="1" applyBorder="1" applyAlignment="1">
      <alignment horizontal="right" vertical="center" shrinkToFit="1"/>
    </xf>
    <xf numFmtId="169" fontId="25" fillId="0" borderId="10" xfId="3" applyNumberFormat="1" applyFont="1" applyFill="1" applyBorder="1" applyAlignment="1">
      <alignment horizontal="right" vertical="center" shrinkToFit="1"/>
    </xf>
    <xf numFmtId="169" fontId="25" fillId="0" borderId="8" xfId="3" applyNumberFormat="1" applyFont="1" applyFill="1" applyBorder="1" applyAlignment="1">
      <alignment horizontal="right" vertical="center"/>
    </xf>
    <xf numFmtId="169" fontId="25" fillId="0" borderId="23" xfId="3" applyNumberFormat="1" applyFont="1" applyFill="1" applyBorder="1" applyAlignment="1">
      <alignment horizontal="right" vertical="center"/>
    </xf>
    <xf numFmtId="169" fontId="27" fillId="0" borderId="14" xfId="3" applyNumberFormat="1" applyFont="1" applyFill="1" applyBorder="1" applyAlignment="1" applyProtection="1">
      <alignment vertical="center"/>
      <protection locked="0"/>
    </xf>
    <xf numFmtId="169" fontId="10" fillId="0" borderId="27" xfId="3" applyNumberFormat="1" applyFont="1" applyBorder="1" applyAlignment="1">
      <alignment horizontal="left" vertical="center"/>
    </xf>
    <xf numFmtId="169" fontId="10" fillId="0" borderId="27" xfId="3" applyNumberFormat="1" applyFont="1" applyBorder="1" applyAlignment="1">
      <alignment horizontal="right" vertical="center" shrinkToFit="1"/>
    </xf>
    <xf numFmtId="169" fontId="24" fillId="0" borderId="27" xfId="3" applyNumberFormat="1" applyFont="1" applyBorder="1" applyAlignment="1">
      <alignment horizontal="right" vertical="center"/>
    </xf>
    <xf numFmtId="169" fontId="24" fillId="0" borderId="27" xfId="3" applyNumberFormat="1" applyFont="1" applyBorder="1" applyAlignment="1">
      <alignment horizontal="right" vertical="center" shrinkToFit="1"/>
    </xf>
    <xf numFmtId="0" fontId="22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69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167" fontId="24" fillId="0" borderId="0" xfId="1" applyNumberFormat="1" applyFont="1" applyAlignment="1">
      <alignment horizontal="left" vertical="center"/>
    </xf>
    <xf numFmtId="0" fontId="21" fillId="0" borderId="18" xfId="0" applyFont="1" applyBorder="1" applyAlignment="1" applyProtection="1">
      <alignment horizontal="left" vertical="center"/>
      <protection locked="0"/>
    </xf>
    <xf numFmtId="0" fontId="30" fillId="0" borderId="18" xfId="0" applyFont="1" applyBorder="1" applyAlignment="1" applyProtection="1">
      <alignment horizontal="left" vertical="center"/>
      <protection locked="0"/>
    </xf>
    <xf numFmtId="169" fontId="30" fillId="0" borderId="13" xfId="15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32" fillId="0" borderId="15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>
      <alignment horizontal="center" vertical="center"/>
    </xf>
    <xf numFmtId="165" fontId="21" fillId="0" borderId="13" xfId="18" applyFont="1" applyFill="1" applyBorder="1" applyAlignment="1" applyProtection="1">
      <alignment horizontal="center" vertical="center"/>
      <protection locked="0"/>
    </xf>
    <xf numFmtId="169" fontId="29" fillId="0" borderId="13" xfId="15" applyNumberFormat="1" applyFont="1" applyFill="1" applyBorder="1" applyAlignment="1">
      <alignment vertical="center"/>
    </xf>
    <xf numFmtId="169" fontId="0" fillId="0" borderId="0" xfId="0" applyNumberFormat="1" applyAlignment="1">
      <alignment horizontal="left" vertical="top"/>
    </xf>
    <xf numFmtId="9" fontId="25" fillId="0" borderId="0" xfId="2" applyFont="1" applyFill="1" applyBorder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center" vertical="center" wrapText="1"/>
    </xf>
    <xf numFmtId="1" fontId="9" fillId="0" borderId="0" xfId="1" applyNumberFormat="1" applyFont="1" applyAlignment="1">
      <alignment horizontal="center" vertical="top"/>
    </xf>
    <xf numFmtId="1" fontId="27" fillId="0" borderId="0" xfId="1" applyNumberFormat="1" applyFont="1" applyFill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top"/>
    </xf>
    <xf numFmtId="1" fontId="15" fillId="0" borderId="0" xfId="1" applyNumberFormat="1" applyFont="1" applyFill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9" fontId="25" fillId="0" borderId="0" xfId="2" applyFont="1" applyFill="1" applyBorder="1" applyAlignment="1">
      <alignment horizontal="left" vertical="center"/>
    </xf>
    <xf numFmtId="9" fontId="31" fillId="0" borderId="0" xfId="0" applyNumberFormat="1" applyFont="1" applyAlignment="1">
      <alignment horizontal="left" vertical="center"/>
    </xf>
    <xf numFmtId="0" fontId="21" fillId="0" borderId="15" xfId="0" applyFont="1" applyBorder="1" applyAlignment="1" applyProtection="1">
      <alignment horizontal="center" vertical="center"/>
      <protection locked="0"/>
    </xf>
    <xf numFmtId="169" fontId="27" fillId="0" borderId="13" xfId="3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>
      <alignment horizontal="left" vertical="top"/>
    </xf>
    <xf numFmtId="1" fontId="27" fillId="0" borderId="18" xfId="0" applyNumberFormat="1" applyFont="1" applyBorder="1" applyAlignment="1" applyProtection="1">
      <alignment horizontal="center" vertical="center"/>
      <protection locked="0"/>
    </xf>
    <xf numFmtId="0" fontId="27" fillId="0" borderId="32" xfId="19" applyFont="1" applyBorder="1" applyAlignment="1">
      <alignment vertical="center" wrapText="1"/>
    </xf>
    <xf numFmtId="1" fontId="15" fillId="0" borderId="18" xfId="0" applyNumberFormat="1" applyFont="1" applyBorder="1" applyAlignment="1" applyProtection="1">
      <alignment horizontal="center" vertical="center"/>
      <protection locked="0"/>
    </xf>
    <xf numFmtId="165" fontId="27" fillId="0" borderId="32" xfId="18" applyFont="1" applyFill="1" applyBorder="1" applyAlignment="1">
      <alignment vertical="center"/>
    </xf>
    <xf numFmtId="173" fontId="21" fillId="0" borderId="14" xfId="0" applyNumberFormat="1" applyFont="1" applyBorder="1" applyAlignment="1" applyProtection="1">
      <alignment horizontal="left" vertical="center"/>
      <protection locked="0"/>
    </xf>
    <xf numFmtId="165" fontId="21" fillId="0" borderId="13" xfId="1" applyFont="1" applyBorder="1" applyAlignment="1" applyProtection="1">
      <alignment horizontal="right" vertical="center"/>
      <protection locked="0"/>
    </xf>
    <xf numFmtId="0" fontId="15" fillId="0" borderId="8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21" fillId="0" borderId="33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169" fontId="27" fillId="0" borderId="8" xfId="3" applyNumberFormat="1" applyFont="1" applyFill="1" applyBorder="1" applyAlignment="1">
      <alignment horizontal="center" vertical="center" shrinkToFit="1"/>
    </xf>
    <xf numFmtId="169" fontId="25" fillId="0" borderId="8" xfId="3" applyNumberFormat="1" applyFont="1" applyFill="1" applyBorder="1" applyAlignment="1">
      <alignment horizontal="center" vertical="center" shrinkToFit="1"/>
    </xf>
    <xf numFmtId="171" fontId="24" fillId="0" borderId="0" xfId="0" applyNumberFormat="1" applyFont="1" applyAlignment="1">
      <alignment horizontal="left" vertical="center"/>
    </xf>
    <xf numFmtId="165" fontId="10" fillId="0" borderId="27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Font="1" applyAlignment="1">
      <alignment horizontal="center" vertical="center" wrapText="1"/>
    </xf>
    <xf numFmtId="165" fontId="21" fillId="0" borderId="14" xfId="1" applyFont="1" applyBorder="1" applyAlignment="1" applyProtection="1">
      <alignment horizontal="center" vertical="center"/>
      <protection locked="0"/>
    </xf>
    <xf numFmtId="165" fontId="10" fillId="0" borderId="27" xfId="1" applyFont="1" applyBorder="1" applyAlignment="1">
      <alignment horizontal="center" vertical="center"/>
    </xf>
    <xf numFmtId="165" fontId="3" fillId="0" borderId="0" xfId="1" applyFont="1" applyAlignment="1">
      <alignment horizontal="center" vertical="top"/>
    </xf>
    <xf numFmtId="165" fontId="30" fillId="0" borderId="18" xfId="1" applyFont="1" applyBorder="1" applyAlignment="1" applyProtection="1">
      <alignment horizontal="center" vertical="center"/>
      <protection locked="0"/>
    </xf>
    <xf numFmtId="165" fontId="24" fillId="0" borderId="0" xfId="1" applyFont="1" applyAlignment="1">
      <alignment horizontal="center" vertical="center"/>
    </xf>
    <xf numFmtId="165" fontId="30" fillId="0" borderId="18" xfId="1" applyFont="1" applyFill="1" applyBorder="1" applyAlignment="1" applyProtection="1">
      <alignment horizontal="center" vertical="center"/>
      <protection locked="0"/>
    </xf>
    <xf numFmtId="165" fontId="10" fillId="0" borderId="27" xfId="1" applyFont="1" applyBorder="1" applyAlignment="1">
      <alignment horizontal="left" vertical="center"/>
    </xf>
    <xf numFmtId="165" fontId="10" fillId="0" borderId="27" xfId="1" applyFont="1" applyBorder="1" applyAlignment="1">
      <alignment horizontal="right" vertical="center" shrinkToFit="1"/>
    </xf>
    <xf numFmtId="165" fontId="22" fillId="0" borderId="0" xfId="1" applyFont="1" applyAlignment="1">
      <alignment horizontal="left" vertical="center"/>
    </xf>
    <xf numFmtId="165" fontId="9" fillId="0" borderId="0" xfId="1" applyFont="1" applyAlignment="1">
      <alignment horizontal="left" vertical="top"/>
    </xf>
    <xf numFmtId="165" fontId="23" fillId="0" borderId="0" xfId="1" applyFont="1" applyAlignment="1">
      <alignment vertical="center" wrapText="1"/>
    </xf>
    <xf numFmtId="165" fontId="27" fillId="0" borderId="13" xfId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165" fontId="21" fillId="0" borderId="14" xfId="18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1" fontId="37" fillId="0" borderId="0" xfId="0" applyNumberFormat="1" applyFont="1" applyAlignment="1">
      <alignment horizontal="center" vertical="center" wrapText="1"/>
    </xf>
    <xf numFmtId="1" fontId="32" fillId="0" borderId="14" xfId="0" applyNumberFormat="1" applyFont="1" applyBorder="1" applyAlignment="1" applyProtection="1">
      <alignment horizontal="center" vertical="center"/>
      <protection locked="0"/>
    </xf>
    <xf numFmtId="1" fontId="33" fillId="0" borderId="15" xfId="0" applyNumberFormat="1" applyFont="1" applyBorder="1" applyAlignment="1" applyProtection="1">
      <alignment horizontal="center" vertical="center"/>
      <protection locked="0"/>
    </xf>
    <xf numFmtId="169" fontId="32" fillId="0" borderId="15" xfId="15" applyNumberFormat="1" applyFont="1" applyFill="1" applyBorder="1" applyAlignment="1" applyProtection="1">
      <alignment horizontal="right" vertical="center"/>
      <protection locked="0"/>
    </xf>
    <xf numFmtId="172" fontId="32" fillId="0" borderId="13" xfId="0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1" fontId="37" fillId="0" borderId="0" xfId="0" applyNumberFormat="1" applyFont="1" applyAlignment="1">
      <alignment horizontal="center" vertical="center"/>
    </xf>
    <xf numFmtId="167" fontId="39" fillId="0" borderId="0" xfId="1" applyNumberFormat="1" applyFont="1" applyAlignment="1">
      <alignment horizontal="left" vertical="center"/>
    </xf>
    <xf numFmtId="167" fontId="37" fillId="0" borderId="0" xfId="1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7" fontId="40" fillId="0" borderId="0" xfId="1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167" fontId="40" fillId="0" borderId="0" xfId="1" applyNumberFormat="1" applyFont="1" applyAlignment="1">
      <alignment horizontal="left" vertical="top"/>
    </xf>
    <xf numFmtId="0" fontId="40" fillId="0" borderId="0" xfId="0" applyFont="1" applyAlignment="1">
      <alignment horizontal="left" vertical="top"/>
    </xf>
    <xf numFmtId="165" fontId="40" fillId="0" borderId="8" xfId="20" applyNumberFormat="1" applyFont="1" applyFill="1" applyBorder="1" applyAlignment="1">
      <alignment horizontal="left" vertical="center"/>
    </xf>
    <xf numFmtId="165" fontId="33" fillId="0" borderId="8" xfId="20" applyNumberFormat="1" applyFont="1" applyBorder="1" applyAlignment="1">
      <alignment horizontal="right" vertical="center" shrinkToFit="1"/>
    </xf>
    <xf numFmtId="165" fontId="36" fillId="0" borderId="8" xfId="20" applyNumberFormat="1" applyFont="1" applyBorder="1" applyAlignment="1">
      <alignment horizontal="right" vertical="center" shrinkToFit="1"/>
    </xf>
    <xf numFmtId="165" fontId="33" fillId="0" borderId="8" xfId="0" applyNumberFormat="1" applyFont="1" applyBorder="1" applyAlignment="1">
      <alignment horizontal="right" vertical="center" shrinkToFit="1"/>
    </xf>
    <xf numFmtId="165" fontId="36" fillId="0" borderId="8" xfId="1" applyFont="1" applyFill="1" applyBorder="1" applyAlignment="1">
      <alignment horizontal="right" vertical="center"/>
    </xf>
    <xf numFmtId="165" fontId="36" fillId="0" borderId="23" xfId="1" applyFont="1" applyFill="1" applyBorder="1" applyAlignment="1">
      <alignment horizontal="right" vertical="center"/>
    </xf>
    <xf numFmtId="9" fontId="35" fillId="0" borderId="0" xfId="2" applyFont="1" applyFill="1" applyBorder="1" applyAlignment="1">
      <alignment horizontal="center" vertical="center"/>
    </xf>
    <xf numFmtId="9" fontId="37" fillId="0" borderId="0" xfId="2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left" vertical="center"/>
    </xf>
    <xf numFmtId="165" fontId="37" fillId="0" borderId="19" xfId="0" applyNumberFormat="1" applyFont="1" applyBorder="1" applyAlignment="1">
      <alignment horizontal="left" vertical="center"/>
    </xf>
    <xf numFmtId="171" fontId="36" fillId="0" borderId="0" xfId="0" applyNumberFormat="1" applyFont="1" applyAlignment="1">
      <alignment horizontal="left" vertical="center"/>
    </xf>
    <xf numFmtId="165" fontId="37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top"/>
    </xf>
    <xf numFmtId="165" fontId="37" fillId="0" borderId="0" xfId="1" applyFont="1" applyAlignment="1">
      <alignment horizontal="left" vertical="center"/>
    </xf>
    <xf numFmtId="1" fontId="36" fillId="0" borderId="0" xfId="0" applyNumberFormat="1" applyFont="1" applyAlignment="1">
      <alignment horizontal="center" vertical="center" wrapText="1"/>
    </xf>
    <xf numFmtId="1" fontId="34" fillId="0" borderId="22" xfId="0" applyNumberFormat="1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wrapText="1"/>
    </xf>
    <xf numFmtId="169" fontId="34" fillId="0" borderId="14" xfId="23" applyNumberFormat="1" applyFont="1" applyFill="1" applyBorder="1" applyAlignment="1" applyProtection="1">
      <alignment vertical="center"/>
      <protection locked="0"/>
    </xf>
    <xf numFmtId="0" fontId="34" fillId="0" borderId="8" xfId="1" applyNumberFormat="1" applyFont="1" applyFill="1" applyBorder="1" applyAlignment="1">
      <alignment horizontal="center" vertical="center" shrinkToFit="1"/>
    </xf>
    <xf numFmtId="0" fontId="35" fillId="0" borderId="8" xfId="1" applyNumberFormat="1" applyFont="1" applyFill="1" applyBorder="1" applyAlignment="1">
      <alignment horizontal="center" vertical="center" shrinkToFit="1"/>
    </xf>
    <xf numFmtId="169" fontId="34" fillId="0" borderId="10" xfId="3" applyNumberFormat="1" applyFont="1" applyBorder="1" applyAlignment="1">
      <alignment horizontal="right" vertical="center" shrinkToFit="1"/>
    </xf>
    <xf numFmtId="165" fontId="36" fillId="0" borderId="10" xfId="20" applyNumberFormat="1" applyFont="1" applyBorder="1" applyAlignment="1">
      <alignment horizontal="right" vertical="center" shrinkToFit="1"/>
    </xf>
    <xf numFmtId="169" fontId="35" fillId="0" borderId="10" xfId="3" applyNumberFormat="1" applyFont="1" applyFill="1" applyBorder="1" applyAlignment="1">
      <alignment horizontal="right" vertical="center" shrinkToFit="1"/>
    </xf>
    <xf numFmtId="169" fontId="35" fillId="0" borderId="8" xfId="3" applyNumberFormat="1" applyFont="1" applyFill="1" applyBorder="1" applyAlignment="1">
      <alignment horizontal="right" vertical="center"/>
    </xf>
    <xf numFmtId="169" fontId="35" fillId="0" borderId="23" xfId="3" applyNumberFormat="1" applyFont="1" applyFill="1" applyBorder="1" applyAlignment="1">
      <alignment horizontal="right" vertical="center"/>
    </xf>
    <xf numFmtId="1" fontId="34" fillId="0" borderId="0" xfId="1" applyNumberFormat="1" applyFont="1" applyFill="1" applyAlignment="1">
      <alignment horizontal="center" vertical="center"/>
    </xf>
    <xf numFmtId="167" fontId="34" fillId="0" borderId="0" xfId="1" applyNumberFormat="1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169" fontId="34" fillId="0" borderId="14" xfId="3" applyNumberFormat="1" applyFont="1" applyFill="1" applyBorder="1" applyAlignment="1" applyProtection="1">
      <alignment vertical="center"/>
      <protection locked="0"/>
    </xf>
    <xf numFmtId="169" fontId="34" fillId="0" borderId="8" xfId="3" applyNumberFormat="1" applyFont="1" applyBorder="1" applyAlignment="1">
      <alignment horizontal="right" vertical="center" shrinkToFit="1"/>
    </xf>
    <xf numFmtId="0" fontId="38" fillId="0" borderId="27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165" fontId="38" fillId="0" borderId="27" xfId="0" applyNumberFormat="1" applyFont="1" applyBorder="1" applyAlignment="1">
      <alignment horizontal="left" vertical="center"/>
    </xf>
    <xf numFmtId="165" fontId="38" fillId="0" borderId="27" xfId="1" applyFont="1" applyFill="1" applyBorder="1" applyAlignment="1">
      <alignment horizontal="center" vertical="center" shrinkToFit="1"/>
    </xf>
    <xf numFmtId="0" fontId="37" fillId="0" borderId="27" xfId="1" applyNumberFormat="1" applyFont="1" applyFill="1" applyBorder="1" applyAlignment="1">
      <alignment horizontal="center" vertical="center" shrinkToFit="1"/>
    </xf>
    <xf numFmtId="165" fontId="38" fillId="0" borderId="27" xfId="0" applyNumberFormat="1" applyFont="1" applyBorder="1" applyAlignment="1">
      <alignment horizontal="center" vertical="center"/>
    </xf>
    <xf numFmtId="169" fontId="38" fillId="0" borderId="27" xfId="3" applyNumberFormat="1" applyFont="1" applyBorder="1" applyAlignment="1">
      <alignment horizontal="left" vertical="center"/>
    </xf>
    <xf numFmtId="169" fontId="38" fillId="0" borderId="27" xfId="3" applyNumberFormat="1" applyFont="1" applyBorder="1" applyAlignment="1">
      <alignment horizontal="right" vertical="center" shrinkToFit="1"/>
    </xf>
    <xf numFmtId="169" fontId="37" fillId="0" borderId="27" xfId="3" applyNumberFormat="1" applyFont="1" applyBorder="1" applyAlignment="1">
      <alignment horizontal="right" vertical="center"/>
    </xf>
    <xf numFmtId="169" fontId="37" fillId="0" borderId="27" xfId="3" applyNumberFormat="1" applyFont="1" applyBorder="1" applyAlignment="1">
      <alignment horizontal="right" vertical="center" shrinkToFit="1"/>
    </xf>
    <xf numFmtId="1" fontId="38" fillId="0" borderId="0" xfId="1" applyNumberFormat="1" applyFont="1" applyAlignment="1">
      <alignment horizontal="center" vertical="center"/>
    </xf>
    <xf numFmtId="167" fontId="38" fillId="0" borderId="0" xfId="1" applyNumberFormat="1" applyFont="1" applyAlignment="1">
      <alignment horizontal="left" vertical="center"/>
    </xf>
    <xf numFmtId="165" fontId="35" fillId="0" borderId="0" xfId="1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6" fillId="0" borderId="10" xfId="20" applyNumberFormat="1" applyFont="1" applyFill="1" applyBorder="1" applyAlignment="1">
      <alignment horizontal="right" vertical="center" shrinkToFit="1"/>
    </xf>
    <xf numFmtId="169" fontId="9" fillId="0" borderId="13" xfId="15" applyNumberFormat="1" applyFont="1" applyFill="1" applyBorder="1" applyAlignment="1">
      <alignment vertical="center"/>
    </xf>
    <xf numFmtId="167" fontId="23" fillId="0" borderId="0" xfId="1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69" fontId="23" fillId="0" borderId="0" xfId="0" applyNumberFormat="1" applyFont="1" applyAlignment="1">
      <alignment horizontal="center" vertical="center"/>
    </xf>
    <xf numFmtId="9" fontId="23" fillId="0" borderId="0" xfId="2" applyFont="1" applyAlignment="1">
      <alignment horizontal="center" vertical="center"/>
    </xf>
    <xf numFmtId="10" fontId="23" fillId="0" borderId="0" xfId="2" applyNumberFormat="1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/>
    </xf>
    <xf numFmtId="171" fontId="37" fillId="0" borderId="0" xfId="0" applyNumberFormat="1" applyFont="1" applyAlignment="1">
      <alignment horizontal="left" vertical="center"/>
    </xf>
    <xf numFmtId="169" fontId="39" fillId="0" borderId="0" xfId="0" applyNumberFormat="1" applyFont="1" applyAlignment="1">
      <alignment horizontal="left" vertical="center"/>
    </xf>
    <xf numFmtId="169" fontId="37" fillId="0" borderId="0" xfId="0" applyNumberFormat="1" applyFont="1" applyAlignment="1">
      <alignment horizontal="left" vertical="center"/>
    </xf>
    <xf numFmtId="0" fontId="29" fillId="0" borderId="18" xfId="0" applyFont="1" applyBorder="1" applyAlignment="1" applyProtection="1">
      <alignment horizontal="left" vertical="center"/>
      <protection locked="0"/>
    </xf>
    <xf numFmtId="1" fontId="29" fillId="0" borderId="14" xfId="0" applyNumberFormat="1" applyFont="1" applyBorder="1" applyAlignment="1" applyProtection="1">
      <alignment horizontal="center" vertical="center"/>
      <protection locked="0"/>
    </xf>
    <xf numFmtId="1" fontId="30" fillId="0" borderId="15" xfId="0" applyNumberFormat="1" applyFont="1" applyBorder="1" applyAlignment="1" applyProtection="1">
      <alignment horizontal="left" vertical="center"/>
      <protection locked="0"/>
    </xf>
    <xf numFmtId="169" fontId="29" fillId="0" borderId="15" xfId="15" applyNumberFormat="1" applyFont="1" applyFill="1" applyBorder="1" applyAlignment="1" applyProtection="1">
      <alignment horizontal="right" vertical="center"/>
      <protection locked="0"/>
    </xf>
    <xf numFmtId="169" fontId="29" fillId="0" borderId="15" xfId="15" applyNumberFormat="1" applyFont="1" applyFill="1" applyBorder="1" applyAlignment="1">
      <alignment vertical="center"/>
    </xf>
    <xf numFmtId="167" fontId="40" fillId="0" borderId="0" xfId="1" applyNumberFormat="1" applyFont="1" applyAlignment="1">
      <alignment horizontal="left" vertical="center"/>
    </xf>
    <xf numFmtId="1" fontId="36" fillId="3" borderId="1" xfId="0" applyNumberFormat="1" applyFont="1" applyFill="1" applyBorder="1" applyAlignment="1">
      <alignment horizontal="center" vertical="center" wrapText="1"/>
    </xf>
    <xf numFmtId="1" fontId="39" fillId="0" borderId="0" xfId="0" applyNumberFormat="1" applyFont="1" applyAlignment="1">
      <alignment horizontal="center" vertical="center"/>
    </xf>
    <xf numFmtId="1" fontId="34" fillId="0" borderId="8" xfId="1" applyNumberFormat="1" applyFont="1" applyFill="1" applyBorder="1" applyAlignment="1">
      <alignment horizontal="center" vertical="center" shrinkToFit="1"/>
    </xf>
    <xf numFmtId="1" fontId="38" fillId="0" borderId="27" xfId="1" applyNumberFormat="1" applyFont="1" applyFill="1" applyBorder="1" applyAlignment="1">
      <alignment horizontal="center" vertical="center" shrinkToFit="1"/>
    </xf>
    <xf numFmtId="1" fontId="40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33" fillId="0" borderId="8" xfId="20" applyNumberFormat="1" applyFont="1" applyFill="1" applyBorder="1" applyAlignment="1">
      <alignment horizontal="right" vertical="center" shrinkToFit="1"/>
    </xf>
    <xf numFmtId="165" fontId="36" fillId="0" borderId="8" xfId="20" applyNumberFormat="1" applyFont="1" applyFill="1" applyBorder="1" applyAlignment="1">
      <alignment horizontal="right" vertical="center" shrinkToFit="1"/>
    </xf>
    <xf numFmtId="9" fontId="41" fillId="0" borderId="0" xfId="2" applyFont="1" applyAlignment="1">
      <alignment horizontal="center" vertical="center"/>
    </xf>
    <xf numFmtId="169" fontId="24" fillId="0" borderId="0" xfId="2" applyNumberFormat="1" applyFont="1" applyAlignment="1">
      <alignment horizontal="center" vertical="center"/>
    </xf>
    <xf numFmtId="1" fontId="39" fillId="0" borderId="0" xfId="1" applyNumberFormat="1" applyFont="1" applyAlignment="1">
      <alignment horizontal="center" vertical="center"/>
    </xf>
    <xf numFmtId="1" fontId="37" fillId="0" borderId="0" xfId="1" applyNumberFormat="1" applyFont="1" applyAlignment="1">
      <alignment horizontal="center" vertical="center"/>
    </xf>
    <xf numFmtId="1" fontId="40" fillId="0" borderId="0" xfId="1" applyNumberFormat="1" applyFont="1" applyAlignment="1">
      <alignment horizontal="center" vertical="top"/>
    </xf>
    <xf numFmtId="1" fontId="40" fillId="0" borderId="0" xfId="1" applyNumberFormat="1" applyFont="1" applyAlignment="1">
      <alignment horizontal="center" vertical="center"/>
    </xf>
    <xf numFmtId="1" fontId="34" fillId="0" borderId="0" xfId="1" applyNumberFormat="1" applyFont="1" applyAlignment="1">
      <alignment horizontal="center" vertical="center"/>
    </xf>
    <xf numFmtId="1" fontId="38" fillId="0" borderId="0" xfId="1" applyNumberFormat="1" applyFont="1" applyAlignment="1">
      <alignment horizontal="center" vertical="top"/>
    </xf>
    <xf numFmtId="1" fontId="6" fillId="0" borderId="0" xfId="1" applyNumberFormat="1" applyFont="1" applyAlignment="1">
      <alignment horizontal="center" vertical="top"/>
    </xf>
    <xf numFmtId="174" fontId="39" fillId="0" borderId="0" xfId="3" applyNumberFormat="1" applyFont="1" applyAlignment="1">
      <alignment horizontal="center" vertical="center"/>
    </xf>
    <xf numFmtId="174" fontId="36" fillId="0" borderId="0" xfId="3" applyNumberFormat="1" applyFont="1" applyAlignment="1">
      <alignment horizontal="center" vertical="center" wrapText="1"/>
    </xf>
    <xf numFmtId="174" fontId="40" fillId="0" borderId="0" xfId="3" applyNumberFormat="1" applyFont="1" applyAlignment="1">
      <alignment horizontal="center" vertical="top"/>
    </xf>
    <xf numFmtId="174" fontId="37" fillId="0" borderId="0" xfId="3" applyNumberFormat="1" applyFont="1" applyAlignment="1">
      <alignment horizontal="center" vertical="center"/>
    </xf>
    <xf numFmtId="174" fontId="40" fillId="0" borderId="0" xfId="3" applyNumberFormat="1" applyFont="1" applyAlignment="1">
      <alignment horizontal="center" vertical="center"/>
    </xf>
    <xf numFmtId="174" fontId="34" fillId="0" borderId="0" xfId="3" applyNumberFormat="1" applyFont="1" applyFill="1" applyAlignment="1">
      <alignment horizontal="center" vertical="center"/>
    </xf>
    <xf numFmtId="174" fontId="34" fillId="0" borderId="0" xfId="3" applyNumberFormat="1" applyFont="1" applyAlignment="1">
      <alignment horizontal="center" vertical="center"/>
    </xf>
    <xf numFmtId="174" fontId="38" fillId="0" borderId="0" xfId="3" applyNumberFormat="1" applyFont="1" applyAlignment="1">
      <alignment horizontal="center" vertical="center"/>
    </xf>
    <xf numFmtId="174" fontId="0" fillId="0" borderId="0" xfId="3" applyNumberFormat="1" applyFont="1" applyAlignment="1">
      <alignment horizontal="center" vertical="top"/>
    </xf>
    <xf numFmtId="0" fontId="36" fillId="0" borderId="1" xfId="0" applyFont="1" applyBorder="1" applyAlignment="1">
      <alignment horizontal="center" vertical="center" wrapText="1"/>
    </xf>
    <xf numFmtId="169" fontId="34" fillId="0" borderId="8" xfId="3" applyNumberFormat="1" applyFont="1" applyFill="1" applyBorder="1" applyAlignment="1">
      <alignment horizontal="right" vertical="center" shrinkToFit="1"/>
    </xf>
    <xf numFmtId="169" fontId="36" fillId="0" borderId="0" xfId="0" applyNumberFormat="1" applyFont="1" applyAlignment="1">
      <alignment vertical="center" wrapText="1"/>
    </xf>
    <xf numFmtId="0" fontId="44" fillId="0" borderId="0" xfId="0" applyFont="1" applyAlignment="1">
      <alignment horizontal="center" vertical="center"/>
    </xf>
    <xf numFmtId="9" fontId="45" fillId="0" borderId="0" xfId="2" applyFont="1" applyAlignment="1">
      <alignment horizontal="center" vertical="center"/>
    </xf>
    <xf numFmtId="165" fontId="36" fillId="0" borderId="21" xfId="0" applyNumberFormat="1" applyFont="1" applyBorder="1" applyAlignment="1">
      <alignment horizontal="left" vertical="center" wrapText="1"/>
    </xf>
    <xf numFmtId="169" fontId="36" fillId="0" borderId="0" xfId="0" applyNumberFormat="1" applyFont="1" applyAlignment="1">
      <alignment horizontal="left" vertical="center" wrapText="1"/>
    </xf>
    <xf numFmtId="169" fontId="44" fillId="0" borderId="0" xfId="0" applyNumberFormat="1" applyFont="1" applyAlignment="1">
      <alignment horizontal="center" vertical="center"/>
    </xf>
    <xf numFmtId="169" fontId="37" fillId="0" borderId="0" xfId="0" applyNumberFormat="1" applyFont="1" applyAlignment="1">
      <alignment horizontal="left" vertical="center" wrapText="1"/>
    </xf>
    <xf numFmtId="169" fontId="34" fillId="0" borderId="10" xfId="3" applyNumberFormat="1" applyFont="1" applyFill="1" applyBorder="1" applyAlignment="1">
      <alignment horizontal="right" vertical="center" shrinkToFit="1"/>
    </xf>
    <xf numFmtId="169" fontId="34" fillId="0" borderId="13" xfId="3" applyNumberFormat="1" applyFont="1" applyFill="1" applyBorder="1" applyAlignment="1" applyProtection="1">
      <alignment horizontal="right" vertical="center"/>
      <protection locked="0"/>
    </xf>
    <xf numFmtId="0" fontId="46" fillId="4" borderId="0" xfId="0" applyFont="1" applyFill="1" applyAlignment="1">
      <alignment horizontal="left" vertical="top"/>
    </xf>
    <xf numFmtId="0" fontId="47" fillId="4" borderId="0" xfId="0" applyFont="1" applyFill="1" applyAlignment="1">
      <alignment horizontal="left" vertical="center"/>
    </xf>
    <xf numFmtId="169" fontId="41" fillId="0" borderId="0" xfId="2" applyNumberFormat="1" applyFont="1" applyAlignment="1">
      <alignment horizontal="center" vertical="center"/>
    </xf>
    <xf numFmtId="169" fontId="5" fillId="0" borderId="0" xfId="0" applyNumberFormat="1" applyFont="1" applyAlignment="1">
      <alignment horizontal="left" vertical="top"/>
    </xf>
    <xf numFmtId="169" fontId="48" fillId="0" borderId="0" xfId="2" applyNumberFormat="1" applyFont="1" applyAlignment="1">
      <alignment horizontal="center" vertical="center"/>
    </xf>
    <xf numFmtId="0" fontId="33" fillId="0" borderId="18" xfId="0" applyFont="1" applyBorder="1" applyAlignment="1" applyProtection="1">
      <alignment horizontal="left" vertical="center"/>
      <protection locked="0"/>
    </xf>
    <xf numFmtId="1" fontId="36" fillId="0" borderId="0" xfId="0" applyNumberFormat="1" applyFont="1" applyAlignment="1">
      <alignment horizontal="left" vertical="center" wrapText="1"/>
    </xf>
    <xf numFmtId="1" fontId="40" fillId="0" borderId="0" xfId="0" applyNumberFormat="1" applyFont="1" applyAlignment="1">
      <alignment horizontal="left" vertical="center"/>
    </xf>
    <xf numFmtId="1" fontId="35" fillId="0" borderId="0" xfId="2" applyNumberFormat="1" applyFont="1" applyFill="1" applyBorder="1" applyAlignment="1">
      <alignment horizontal="center" vertical="center"/>
    </xf>
    <xf numFmtId="1" fontId="37" fillId="0" borderId="0" xfId="2" applyNumberFormat="1" applyFont="1" applyFill="1" applyBorder="1" applyAlignment="1">
      <alignment horizontal="center" vertical="center"/>
    </xf>
    <xf numFmtId="1" fontId="37" fillId="0" borderId="0" xfId="0" applyNumberFormat="1" applyFont="1" applyAlignment="1">
      <alignment horizontal="left" vertical="center"/>
    </xf>
    <xf numFmtId="1" fontId="37" fillId="0" borderId="0" xfId="0" applyNumberFormat="1" applyFont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0" fontId="36" fillId="7" borderId="0" xfId="0" applyFont="1" applyFill="1" applyAlignment="1">
      <alignment horizontal="center" vertical="center" wrapText="1"/>
    </xf>
    <xf numFmtId="0" fontId="39" fillId="7" borderId="0" xfId="0" applyFont="1" applyFill="1" applyAlignment="1">
      <alignment horizontal="center" vertical="center"/>
    </xf>
    <xf numFmtId="0" fontId="34" fillId="7" borderId="8" xfId="1" applyNumberFormat="1" applyFont="1" applyFill="1" applyBorder="1" applyAlignment="1">
      <alignment horizontal="center" vertical="center" shrinkToFit="1"/>
    </xf>
    <xf numFmtId="165" fontId="38" fillId="7" borderId="27" xfId="1" applyFont="1" applyFill="1" applyBorder="1" applyAlignment="1">
      <alignment horizontal="center" vertical="center" shrinkToFit="1"/>
    </xf>
    <xf numFmtId="0" fontId="37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9" fontId="24" fillId="0" borderId="0" xfId="2" applyFont="1" applyAlignment="1">
      <alignment horizontal="center" vertical="center"/>
    </xf>
    <xf numFmtId="9" fontId="49" fillId="0" borderId="0" xfId="2" applyFont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26" fillId="0" borderId="3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1" fontId="35" fillId="0" borderId="8" xfId="1" applyNumberFormat="1" applyFont="1" applyFill="1" applyBorder="1" applyAlignment="1">
      <alignment horizontal="center" vertical="center" shrinkToFit="1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vertical="center"/>
    </xf>
    <xf numFmtId="169" fontId="29" fillId="0" borderId="13" xfId="15" applyNumberFormat="1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1" fontId="30" fillId="0" borderId="15" xfId="0" applyNumberFormat="1" applyFont="1" applyBorder="1" applyAlignment="1" applyProtection="1">
      <alignment horizontal="center" vertical="center"/>
      <protection locked="0"/>
    </xf>
    <xf numFmtId="169" fontId="35" fillId="0" borderId="8" xfId="1" applyNumberFormat="1" applyFont="1" applyFill="1" applyBorder="1" applyAlignment="1">
      <alignment horizontal="center" vertical="center" shrinkToFit="1"/>
    </xf>
    <xf numFmtId="169" fontId="36" fillId="0" borderId="8" xfId="1" applyNumberFormat="1" applyFont="1" applyFill="1" applyBorder="1" applyAlignment="1">
      <alignment horizontal="center" vertical="center" shrinkToFit="1"/>
    </xf>
    <xf numFmtId="169" fontId="37" fillId="0" borderId="27" xfId="3" applyNumberFormat="1" applyFont="1" applyFill="1" applyBorder="1" applyAlignment="1">
      <alignment horizontal="right" vertical="center" shrinkToFit="1"/>
    </xf>
    <xf numFmtId="0" fontId="23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top"/>
    </xf>
    <xf numFmtId="165" fontId="39" fillId="0" borderId="0" xfId="0" applyNumberFormat="1" applyFont="1" applyAlignment="1">
      <alignment horizontal="left" vertical="center"/>
    </xf>
    <xf numFmtId="165" fontId="36" fillId="0" borderId="0" xfId="0" applyNumberFormat="1" applyFont="1" applyAlignment="1">
      <alignment vertical="center" wrapText="1"/>
    </xf>
    <xf numFmtId="165" fontId="22" fillId="0" borderId="0" xfId="0" applyNumberFormat="1" applyFont="1" applyAlignment="1">
      <alignment horizontal="left" vertical="center"/>
    </xf>
    <xf numFmtId="169" fontId="23" fillId="0" borderId="0" xfId="0" applyNumberFormat="1" applyFont="1" applyAlignment="1">
      <alignment vertical="center" wrapText="1"/>
    </xf>
    <xf numFmtId="165" fontId="24" fillId="0" borderId="0" xfId="0" applyNumberFormat="1" applyFont="1" applyAlignment="1">
      <alignment horizontal="left" vertical="top"/>
    </xf>
    <xf numFmtId="165" fontId="23" fillId="0" borderId="0" xfId="0" applyNumberFormat="1" applyFont="1" applyAlignment="1">
      <alignment vertical="center" wrapText="1"/>
    </xf>
    <xf numFmtId="165" fontId="27" fillId="0" borderId="13" xfId="1" applyFont="1" applyFill="1" applyBorder="1" applyAlignment="1" applyProtection="1">
      <alignment horizontal="right" vertical="center"/>
      <protection locked="0"/>
    </xf>
    <xf numFmtId="169" fontId="27" fillId="0" borderId="10" xfId="3" applyNumberFormat="1" applyFont="1" applyFill="1" applyBorder="1" applyAlignment="1">
      <alignment horizontal="right" vertical="center" shrinkToFit="1"/>
    </xf>
    <xf numFmtId="165" fontId="15" fillId="0" borderId="8" xfId="20" applyNumberFormat="1" applyFont="1" applyFill="1" applyBorder="1" applyAlignment="1">
      <alignment horizontal="right" vertical="center" shrinkToFit="1"/>
    </xf>
    <xf numFmtId="165" fontId="23" fillId="0" borderId="8" xfId="20" applyNumberFormat="1" applyFont="1" applyFill="1" applyBorder="1" applyAlignment="1">
      <alignment horizontal="right" vertical="center" shrinkToFit="1"/>
    </xf>
    <xf numFmtId="165" fontId="21" fillId="0" borderId="13" xfId="1" applyFont="1" applyFill="1" applyBorder="1" applyAlignment="1" applyProtection="1">
      <alignment horizontal="right" vertical="center"/>
      <protection locked="0"/>
    </xf>
    <xf numFmtId="165" fontId="27" fillId="0" borderId="0" xfId="1" applyFont="1" applyFill="1" applyAlignment="1">
      <alignment horizontal="left" vertical="center"/>
    </xf>
    <xf numFmtId="165" fontId="23" fillId="0" borderId="0" xfId="1" applyFont="1" applyAlignment="1">
      <alignment horizontal="left" vertical="center"/>
    </xf>
    <xf numFmtId="169" fontId="23" fillId="0" borderId="0" xfId="0" applyNumberFormat="1" applyFont="1" applyAlignment="1">
      <alignment horizontal="left" vertical="center"/>
    </xf>
    <xf numFmtId="165" fontId="23" fillId="0" borderId="0" xfId="0" applyNumberFormat="1" applyFont="1" applyAlignment="1">
      <alignment horizontal="left" vertical="center"/>
    </xf>
    <xf numFmtId="165" fontId="10" fillId="0" borderId="0" xfId="1" applyFont="1" applyAlignment="1">
      <alignment horizontal="left" vertical="center"/>
    </xf>
    <xf numFmtId="165" fontId="24" fillId="0" borderId="0" xfId="0" applyNumberFormat="1" applyFont="1" applyAlignment="1">
      <alignment vertical="center" wrapText="1"/>
    </xf>
    <xf numFmtId="165" fontId="24" fillId="0" borderId="0" xfId="0" applyNumberFormat="1" applyFont="1" applyAlignment="1">
      <alignment horizontal="center" vertical="center" wrapText="1"/>
    </xf>
    <xf numFmtId="165" fontId="10" fillId="0" borderId="0" xfId="1" applyFont="1" applyAlignment="1">
      <alignment horizontal="left" vertical="top"/>
    </xf>
    <xf numFmtId="165" fontId="10" fillId="0" borderId="0" xfId="1" applyFont="1" applyFill="1" applyAlignment="1">
      <alignment horizontal="left" vertical="center"/>
    </xf>
    <xf numFmtId="165" fontId="6" fillId="0" borderId="0" xfId="1" applyFont="1" applyAlignment="1">
      <alignment horizontal="left" vertical="top"/>
    </xf>
    <xf numFmtId="169" fontId="27" fillId="0" borderId="8" xfId="1" applyNumberFormat="1" applyFont="1" applyFill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wrapText="1"/>
    </xf>
    <xf numFmtId="169" fontId="23" fillId="0" borderId="0" xfId="0" applyNumberFormat="1" applyFont="1" applyAlignment="1">
      <alignment horizontal="left" vertical="center" wrapText="1"/>
    </xf>
    <xf numFmtId="169" fontId="25" fillId="0" borderId="8" xfId="1" applyNumberFormat="1" applyFont="1" applyFill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/>
    </xf>
    <xf numFmtId="166" fontId="23" fillId="0" borderId="0" xfId="3" applyFont="1" applyAlignment="1">
      <alignment vertical="center" wrapText="1"/>
    </xf>
    <xf numFmtId="169" fontId="24" fillId="0" borderId="0" xfId="0" applyNumberFormat="1" applyFont="1" applyAlignment="1">
      <alignment vertical="center" wrapText="1"/>
    </xf>
    <xf numFmtId="169" fontId="29" fillId="0" borderId="36" xfId="15" applyNumberFormat="1" applyFont="1" applyFill="1" applyBorder="1" applyAlignment="1" applyProtection="1">
      <alignment horizontal="right" vertical="center"/>
      <protection locked="0"/>
    </xf>
    <xf numFmtId="169" fontId="29" fillId="0" borderId="47" xfId="15" applyNumberFormat="1" applyFont="1" applyFill="1" applyBorder="1" applyAlignment="1" applyProtection="1">
      <alignment horizontal="right" vertical="center"/>
      <protection locked="0"/>
    </xf>
    <xf numFmtId="0" fontId="21" fillId="0" borderId="15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7" fontId="10" fillId="0" borderId="0" xfId="1" applyNumberFormat="1" applyFont="1" applyAlignment="1">
      <alignment horizontal="center" vertical="top"/>
    </xf>
    <xf numFmtId="167" fontId="10" fillId="0" borderId="0" xfId="1" applyNumberFormat="1" applyFont="1" applyFill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167" fontId="24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24" fillId="0" borderId="0" xfId="1" applyNumberFormat="1" applyFont="1" applyFill="1" applyAlignment="1">
      <alignment horizontal="center" vertical="center"/>
    </xf>
    <xf numFmtId="167" fontId="24" fillId="0" borderId="0" xfId="0" applyNumberFormat="1" applyFont="1" applyAlignment="1">
      <alignment horizontal="center" vertical="center" wrapText="1"/>
    </xf>
    <xf numFmtId="167" fontId="24" fillId="0" borderId="33" xfId="1" applyNumberFormat="1" applyFont="1" applyFill="1" applyBorder="1" applyAlignment="1">
      <alignment horizontal="center" vertical="center"/>
    </xf>
    <xf numFmtId="167" fontId="6" fillId="0" borderId="0" xfId="1" applyNumberFormat="1" applyFont="1" applyAlignment="1">
      <alignment horizontal="center" vertical="top"/>
    </xf>
    <xf numFmtId="0" fontId="48" fillId="0" borderId="0" xfId="0" applyFont="1" applyAlignment="1">
      <alignment horizontal="center" vertical="center" wrapText="1"/>
    </xf>
    <xf numFmtId="167" fontId="9" fillId="0" borderId="0" xfId="1" applyNumberFormat="1" applyFont="1" applyAlignment="1">
      <alignment horizontal="center" vertical="top"/>
    </xf>
    <xf numFmtId="167" fontId="48" fillId="0" borderId="0" xfId="1" applyNumberFormat="1" applyFont="1" applyAlignment="1">
      <alignment horizontal="center" vertical="top"/>
    </xf>
    <xf numFmtId="167" fontId="27" fillId="0" borderId="0" xfId="1" applyNumberFormat="1" applyFont="1" applyFill="1" applyAlignment="1">
      <alignment horizontal="center" vertical="center"/>
    </xf>
    <xf numFmtId="167" fontId="48" fillId="0" borderId="0" xfId="1" applyNumberFormat="1" applyFont="1" applyFill="1" applyAlignment="1">
      <alignment horizontal="center" vertical="center"/>
    </xf>
    <xf numFmtId="167" fontId="48" fillId="0" borderId="0" xfId="1" applyNumberFormat="1" applyFont="1" applyAlignment="1">
      <alignment horizontal="center" vertical="center"/>
    </xf>
    <xf numFmtId="167" fontId="22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7" fontId="25" fillId="0" borderId="0" xfId="1" applyNumberFormat="1" applyFont="1" applyFill="1" applyAlignment="1">
      <alignment horizontal="center" vertical="center"/>
    </xf>
    <xf numFmtId="167" fontId="25" fillId="0" borderId="33" xfId="1" applyNumberFormat="1" applyFont="1" applyFill="1" applyBorder="1" applyAlignment="1">
      <alignment horizontal="center" vertical="center"/>
    </xf>
    <xf numFmtId="167" fontId="48" fillId="0" borderId="33" xfId="1" applyNumberFormat="1" applyFont="1" applyFill="1" applyBorder="1" applyAlignment="1">
      <alignment horizontal="center" vertical="center"/>
    </xf>
    <xf numFmtId="167" fontId="23" fillId="0" borderId="0" xfId="1" applyNumberFormat="1" applyFont="1" applyFill="1" applyAlignment="1">
      <alignment horizontal="center" vertical="center"/>
    </xf>
    <xf numFmtId="167" fontId="23" fillId="0" borderId="0" xfId="1" applyNumberFormat="1" applyFont="1" applyAlignment="1">
      <alignment horizontal="center" vertical="center"/>
    </xf>
    <xf numFmtId="167" fontId="0" fillId="0" borderId="0" xfId="1" applyNumberFormat="1" applyFont="1" applyAlignment="1">
      <alignment horizontal="center" vertical="top"/>
    </xf>
    <xf numFmtId="167" fontId="53" fillId="0" borderId="0" xfId="1" applyNumberFormat="1" applyFont="1" applyAlignment="1">
      <alignment horizontal="center" vertical="top"/>
    </xf>
    <xf numFmtId="165" fontId="10" fillId="0" borderId="33" xfId="1" applyFont="1" applyFill="1" applyBorder="1" applyAlignment="1">
      <alignment horizontal="left" vertical="center"/>
    </xf>
    <xf numFmtId="165" fontId="27" fillId="0" borderId="33" xfId="1" applyFont="1" applyFill="1" applyBorder="1" applyAlignment="1">
      <alignment horizontal="left" vertical="center"/>
    </xf>
    <xf numFmtId="169" fontId="21" fillId="0" borderId="13" xfId="3" applyNumberFormat="1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175" fontId="21" fillId="0" borderId="13" xfId="0" applyNumberFormat="1" applyFont="1" applyBorder="1" applyAlignment="1" applyProtection="1">
      <alignment horizontal="right" vertical="center"/>
      <protection locked="0"/>
    </xf>
    <xf numFmtId="165" fontId="9" fillId="2" borderId="0" xfId="1" applyFont="1" applyFill="1" applyAlignment="1">
      <alignment horizontal="left" vertical="top"/>
    </xf>
    <xf numFmtId="3" fontId="23" fillId="0" borderId="0" xfId="0" applyNumberFormat="1" applyFont="1" applyAlignment="1">
      <alignment horizontal="right" vertical="center"/>
    </xf>
    <xf numFmtId="165" fontId="23" fillId="0" borderId="19" xfId="0" applyNumberFormat="1" applyFont="1" applyBorder="1" applyAlignment="1">
      <alignment horizontal="left" vertical="center"/>
    </xf>
    <xf numFmtId="167" fontId="23" fillId="0" borderId="0" xfId="1" applyNumberFormat="1" applyFont="1" applyBorder="1" applyAlignment="1">
      <alignment horizontal="center" vertical="center"/>
    </xf>
    <xf numFmtId="169" fontId="52" fillId="0" borderId="0" xfId="0" applyNumberFormat="1" applyFont="1" applyAlignment="1">
      <alignment vertical="center" wrapText="1"/>
    </xf>
    <xf numFmtId="169" fontId="24" fillId="0" borderId="0" xfId="2" applyNumberFormat="1" applyFont="1" applyFill="1" applyBorder="1" applyAlignment="1">
      <alignment horizontal="center" vertical="center"/>
    </xf>
    <xf numFmtId="10" fontId="43" fillId="0" borderId="0" xfId="2" applyNumberFormat="1" applyFont="1" applyBorder="1" applyAlignment="1">
      <alignment horizontal="center" vertical="center"/>
    </xf>
    <xf numFmtId="10" fontId="41" fillId="0" borderId="0" xfId="2" applyNumberFormat="1" applyFont="1" applyBorder="1" applyAlignment="1">
      <alignment horizontal="center" vertical="center"/>
    </xf>
    <xf numFmtId="10" fontId="42" fillId="0" borderId="0" xfId="2" applyNumberFormat="1" applyFont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 wrapText="1"/>
    </xf>
    <xf numFmtId="0" fontId="22" fillId="3" borderId="42" xfId="0" applyFont="1" applyFill="1" applyBorder="1" applyAlignment="1">
      <alignment horizontal="center" vertical="center" wrapText="1"/>
    </xf>
    <xf numFmtId="0" fontId="22" fillId="6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6" borderId="42" xfId="0" applyFont="1" applyFill="1" applyBorder="1" applyAlignment="1">
      <alignment horizontal="center" vertical="center" wrapText="1"/>
    </xf>
    <xf numFmtId="0" fontId="23" fillId="5" borderId="42" xfId="0" applyFont="1" applyFill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46" fillId="4" borderId="48" xfId="0" applyFont="1" applyFill="1" applyBorder="1" applyAlignment="1">
      <alignment horizontal="left" vertical="center"/>
    </xf>
    <xf numFmtId="169" fontId="47" fillId="4" borderId="48" xfId="3" applyNumberFormat="1" applyFont="1" applyFill="1" applyBorder="1" applyAlignment="1">
      <alignment horizontal="left" vertical="center"/>
    </xf>
    <xf numFmtId="169" fontId="46" fillId="4" borderId="48" xfId="3" applyNumberFormat="1" applyFont="1" applyFill="1" applyBorder="1" applyAlignment="1">
      <alignment horizontal="left" vertical="center"/>
    </xf>
    <xf numFmtId="169" fontId="47" fillId="4" borderId="48" xfId="3" applyNumberFormat="1" applyFont="1" applyFill="1" applyBorder="1" applyAlignment="1">
      <alignment horizontal="center" vertical="center"/>
    </xf>
    <xf numFmtId="169" fontId="46" fillId="4" borderId="48" xfId="3" applyNumberFormat="1" applyFont="1" applyFill="1" applyBorder="1" applyAlignment="1">
      <alignment horizontal="center" vertical="center" wrapText="1"/>
    </xf>
    <xf numFmtId="9" fontId="24" fillId="4" borderId="48" xfId="2" applyFont="1" applyFill="1" applyBorder="1" applyAlignment="1">
      <alignment horizontal="center" vertical="center"/>
    </xf>
    <xf numFmtId="0" fontId="46" fillId="4" borderId="48" xfId="0" applyFont="1" applyFill="1" applyBorder="1" applyAlignment="1">
      <alignment horizontal="center" vertical="center"/>
    </xf>
    <xf numFmtId="169" fontId="9" fillId="0" borderId="42" xfId="3" applyNumberFormat="1" applyFont="1" applyFill="1" applyBorder="1" applyAlignment="1">
      <alignment horizontal="left" vertical="center"/>
    </xf>
    <xf numFmtId="169" fontId="22" fillId="0" borderId="42" xfId="3" applyNumberFormat="1" applyFont="1" applyFill="1" applyBorder="1" applyAlignment="1">
      <alignment horizontal="left" vertical="center"/>
    </xf>
    <xf numFmtId="0" fontId="24" fillId="0" borderId="48" xfId="0" applyFont="1" applyBorder="1" applyAlignment="1">
      <alignment horizontal="center" vertical="center"/>
    </xf>
    <xf numFmtId="0" fontId="24" fillId="0" borderId="48" xfId="0" applyFont="1" applyBorder="1" applyAlignment="1">
      <alignment horizontal="left" vertical="center"/>
    </xf>
    <xf numFmtId="169" fontId="24" fillId="0" borderId="48" xfId="3" applyNumberFormat="1" applyFont="1" applyFill="1" applyBorder="1" applyAlignment="1">
      <alignment horizontal="left" vertical="center"/>
    </xf>
    <xf numFmtId="9" fontId="24" fillId="0" borderId="48" xfId="2" applyFont="1" applyFill="1" applyBorder="1" applyAlignment="1">
      <alignment horizontal="center" vertical="center"/>
    </xf>
    <xf numFmtId="10" fontId="23" fillId="0" borderId="48" xfId="2" applyNumberFormat="1" applyFont="1" applyFill="1" applyBorder="1" applyAlignment="1">
      <alignment horizontal="center" vertical="center"/>
    </xf>
    <xf numFmtId="10" fontId="46" fillId="4" borderId="48" xfId="2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169" fontId="15" fillId="0" borderId="42" xfId="3" applyNumberFormat="1" applyFont="1" applyFill="1" applyBorder="1" applyAlignment="1">
      <alignment horizontal="left" vertical="center"/>
    </xf>
    <xf numFmtId="169" fontId="24" fillId="0" borderId="42" xfId="3" applyNumberFormat="1" applyFont="1" applyFill="1" applyBorder="1" applyAlignment="1">
      <alignment horizontal="left" vertical="center"/>
    </xf>
    <xf numFmtId="9" fontId="24" fillId="0" borderId="42" xfId="2" applyFont="1" applyBorder="1" applyAlignment="1">
      <alignment horizontal="center" vertical="center"/>
    </xf>
    <xf numFmtId="10" fontId="23" fillId="0" borderId="42" xfId="2" applyNumberFormat="1" applyFont="1" applyFill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8" xfId="0" applyFont="1" applyBorder="1" applyAlignment="1">
      <alignment horizontal="left" vertical="center"/>
    </xf>
    <xf numFmtId="176" fontId="25" fillId="0" borderId="8" xfId="1" applyNumberFormat="1" applyFont="1" applyFill="1" applyBorder="1" applyAlignment="1">
      <alignment horizontal="center" vertical="center" shrinkToFit="1"/>
    </xf>
    <xf numFmtId="165" fontId="15" fillId="2" borderId="0" xfId="1" applyFont="1" applyFill="1" applyAlignment="1">
      <alignment horizontal="left" vertical="center"/>
    </xf>
    <xf numFmtId="165" fontId="15" fillId="2" borderId="0" xfId="1" applyFont="1" applyFill="1" applyAlignment="1">
      <alignment horizontal="left" vertical="top"/>
    </xf>
    <xf numFmtId="165" fontId="15" fillId="2" borderId="0" xfId="1" applyFont="1" applyFill="1" applyBorder="1" applyAlignment="1">
      <alignment horizontal="left" vertical="top"/>
    </xf>
    <xf numFmtId="167" fontId="15" fillId="0" borderId="0" xfId="1" applyNumberFormat="1" applyFont="1" applyFill="1" applyAlignment="1">
      <alignment horizontal="center" vertical="center"/>
    </xf>
    <xf numFmtId="1" fontId="21" fillId="7" borderId="14" xfId="0" applyNumberFormat="1" applyFont="1" applyFill="1" applyBorder="1" applyAlignment="1" applyProtection="1">
      <alignment horizontal="center" vertical="center"/>
      <protection locked="0"/>
    </xf>
    <xf numFmtId="169" fontId="21" fillId="7" borderId="15" xfId="20" applyNumberFormat="1" applyFont="1" applyFill="1" applyBorder="1" applyAlignment="1" applyProtection="1">
      <alignment horizontal="right" vertical="center"/>
      <protection locked="0"/>
    </xf>
    <xf numFmtId="169" fontId="27" fillId="7" borderId="14" xfId="23" applyNumberFormat="1" applyFont="1" applyFill="1" applyBorder="1" applyAlignment="1" applyProtection="1">
      <alignment vertical="center"/>
      <protection locked="0"/>
    </xf>
    <xf numFmtId="0" fontId="27" fillId="7" borderId="8" xfId="1" applyNumberFormat="1" applyFont="1" applyFill="1" applyBorder="1" applyAlignment="1">
      <alignment horizontal="center" vertical="center" shrinkToFit="1"/>
    </xf>
    <xf numFmtId="16" fontId="21" fillId="0" borderId="15" xfId="0" applyNumberFormat="1" applyFont="1" applyBorder="1" applyAlignment="1" applyProtection="1">
      <alignment horizontal="left" vertical="center"/>
      <protection locked="0"/>
    </xf>
    <xf numFmtId="176" fontId="27" fillId="7" borderId="14" xfId="23" applyNumberFormat="1" applyFont="1" applyFill="1" applyBorder="1" applyAlignment="1" applyProtection="1">
      <alignment vertical="center"/>
      <protection locked="0"/>
    </xf>
    <xf numFmtId="165" fontId="27" fillId="7" borderId="13" xfId="1" applyFont="1" applyFill="1" applyBorder="1" applyAlignment="1" applyProtection="1">
      <alignment horizontal="right" vertical="center"/>
      <protection locked="0"/>
    </xf>
    <xf numFmtId="165" fontId="21" fillId="7" borderId="13" xfId="1" applyFont="1" applyFill="1" applyBorder="1" applyAlignment="1" applyProtection="1">
      <alignment horizontal="right" vertical="center"/>
      <protection locked="0"/>
    </xf>
    <xf numFmtId="169" fontId="27" fillId="7" borderId="10" xfId="3" applyNumberFormat="1" applyFont="1" applyFill="1" applyBorder="1" applyAlignment="1">
      <alignment horizontal="right" vertical="center" shrinkToFit="1"/>
    </xf>
    <xf numFmtId="169" fontId="21" fillId="7" borderId="13" xfId="3" applyNumberFormat="1" applyFont="1" applyFill="1" applyBorder="1" applyAlignment="1">
      <alignment vertical="center"/>
    </xf>
    <xf numFmtId="175" fontId="21" fillId="7" borderId="13" xfId="0" applyNumberFormat="1" applyFont="1" applyFill="1" applyBorder="1" applyAlignment="1" applyProtection="1">
      <alignment horizontal="right" vertical="center"/>
      <protection locked="0"/>
    </xf>
    <xf numFmtId="165" fontId="27" fillId="7" borderId="0" xfId="1" applyFont="1" applyFill="1" applyBorder="1" applyAlignment="1" applyProtection="1">
      <alignment horizontal="right" vertical="center"/>
      <protection locked="0"/>
    </xf>
    <xf numFmtId="0" fontId="15" fillId="7" borderId="29" xfId="0" applyFont="1" applyFill="1" applyBorder="1" applyAlignment="1">
      <alignment horizontal="center" vertical="center"/>
    </xf>
    <xf numFmtId="0" fontId="15" fillId="7" borderId="29" xfId="0" applyFont="1" applyFill="1" applyBorder="1" applyAlignment="1">
      <alignment horizontal="left" vertical="center"/>
    </xf>
    <xf numFmtId="169" fontId="15" fillId="7" borderId="29" xfId="3" applyNumberFormat="1" applyFont="1" applyFill="1" applyBorder="1" applyAlignment="1">
      <alignment horizontal="left" vertical="center"/>
    </xf>
    <xf numFmtId="169" fontId="23" fillId="7" borderId="29" xfId="3" applyNumberFormat="1" applyFont="1" applyFill="1" applyBorder="1" applyAlignment="1">
      <alignment horizontal="left" vertical="center"/>
    </xf>
    <xf numFmtId="169" fontId="24" fillId="7" borderId="29" xfId="3" applyNumberFormat="1" applyFont="1" applyFill="1" applyBorder="1" applyAlignment="1">
      <alignment horizontal="left" vertical="center"/>
    </xf>
    <xf numFmtId="9" fontId="24" fillId="7" borderId="29" xfId="2" applyFont="1" applyFill="1" applyBorder="1" applyAlignment="1">
      <alignment horizontal="center" vertical="center"/>
    </xf>
    <xf numFmtId="10" fontId="23" fillId="7" borderId="16" xfId="2" applyNumberFormat="1" applyFont="1" applyFill="1" applyBorder="1" applyAlignment="1">
      <alignment horizontal="center" vertical="center"/>
    </xf>
    <xf numFmtId="0" fontId="15" fillId="7" borderId="0" xfId="0" applyFont="1" applyFill="1" applyAlignment="1">
      <alignment horizontal="left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left" vertical="center"/>
    </xf>
    <xf numFmtId="169" fontId="9" fillId="7" borderId="28" xfId="3" applyNumberFormat="1" applyFont="1" applyFill="1" applyBorder="1" applyAlignment="1">
      <alignment horizontal="left" vertical="center"/>
    </xf>
    <xf numFmtId="169" fontId="22" fillId="7" borderId="28" xfId="3" applyNumberFormat="1" applyFont="1" applyFill="1" applyBorder="1" applyAlignment="1">
      <alignment horizontal="left" vertical="center"/>
    </xf>
    <xf numFmtId="169" fontId="10" fillId="7" borderId="28" xfId="3" applyNumberFormat="1" applyFont="1" applyFill="1" applyBorder="1" applyAlignment="1">
      <alignment horizontal="left" vertical="center"/>
    </xf>
    <xf numFmtId="169" fontId="24" fillId="7" borderId="28" xfId="3" applyNumberFormat="1" applyFont="1" applyFill="1" applyBorder="1" applyAlignment="1">
      <alignment horizontal="left" vertical="center"/>
    </xf>
    <xf numFmtId="9" fontId="24" fillId="7" borderId="28" xfId="2" applyFont="1" applyFill="1" applyBorder="1" applyAlignment="1">
      <alignment horizontal="center" vertical="center"/>
    </xf>
    <xf numFmtId="10" fontId="23" fillId="7" borderId="31" xfId="2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horizontal="left" vertical="center"/>
    </xf>
    <xf numFmtId="0" fontId="9" fillId="7" borderId="30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left" vertical="center" wrapText="1"/>
    </xf>
    <xf numFmtId="169" fontId="9" fillId="7" borderId="30" xfId="3" applyNumberFormat="1" applyFont="1" applyFill="1" applyBorder="1" applyAlignment="1">
      <alignment horizontal="left" vertical="center"/>
    </xf>
    <xf numFmtId="169" fontId="22" fillId="7" borderId="30" xfId="3" applyNumberFormat="1" applyFont="1" applyFill="1" applyBorder="1" applyAlignment="1">
      <alignment horizontal="left" vertical="center"/>
    </xf>
    <xf numFmtId="169" fontId="10" fillId="7" borderId="30" xfId="3" applyNumberFormat="1" applyFont="1" applyFill="1" applyBorder="1" applyAlignment="1">
      <alignment horizontal="left" vertical="center"/>
    </xf>
    <xf numFmtId="169" fontId="24" fillId="7" borderId="30" xfId="3" applyNumberFormat="1" applyFont="1" applyFill="1" applyBorder="1" applyAlignment="1">
      <alignment horizontal="left" vertical="center"/>
    </xf>
    <xf numFmtId="9" fontId="24" fillId="7" borderId="30" xfId="2" applyFont="1" applyFill="1" applyBorder="1" applyAlignment="1">
      <alignment horizontal="center" vertical="center"/>
    </xf>
    <xf numFmtId="10" fontId="23" fillId="7" borderId="30" xfId="2" applyNumberFormat="1" applyFont="1" applyFill="1" applyBorder="1" applyAlignment="1">
      <alignment horizontal="center" vertical="center"/>
    </xf>
    <xf numFmtId="169" fontId="9" fillId="7" borderId="29" xfId="3" applyNumberFormat="1" applyFont="1" applyFill="1" applyBorder="1" applyAlignment="1">
      <alignment horizontal="left" vertical="center"/>
    </xf>
    <xf numFmtId="169" fontId="10" fillId="7" borderId="29" xfId="3" applyNumberFormat="1" applyFont="1" applyFill="1" applyBorder="1" applyAlignment="1">
      <alignment horizontal="left" vertical="center"/>
    </xf>
    <xf numFmtId="10" fontId="23" fillId="7" borderId="29" xfId="2" applyNumberFormat="1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left" vertical="center"/>
    </xf>
    <xf numFmtId="169" fontId="15" fillId="7" borderId="28" xfId="3" applyNumberFormat="1" applyFont="1" applyFill="1" applyBorder="1" applyAlignment="1">
      <alignment horizontal="left" vertical="center"/>
    </xf>
    <xf numFmtId="169" fontId="23" fillId="7" borderId="28" xfId="3" applyNumberFormat="1" applyFont="1" applyFill="1" applyBorder="1" applyAlignment="1">
      <alignment horizontal="left" vertical="center"/>
    </xf>
    <xf numFmtId="10" fontId="23" fillId="7" borderId="28" xfId="2" applyNumberFormat="1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left" vertical="center" wrapText="1"/>
    </xf>
    <xf numFmtId="169" fontId="15" fillId="7" borderId="30" xfId="3" applyNumberFormat="1" applyFont="1" applyFill="1" applyBorder="1" applyAlignment="1">
      <alignment horizontal="left" vertical="center"/>
    </xf>
    <xf numFmtId="169" fontId="23" fillId="7" borderId="30" xfId="3" applyNumberFormat="1" applyFont="1" applyFill="1" applyBorder="1" applyAlignment="1">
      <alignment horizontal="left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left" vertical="center"/>
    </xf>
    <xf numFmtId="169" fontId="22" fillId="7" borderId="29" xfId="3" applyNumberFormat="1" applyFont="1" applyFill="1" applyBorder="1" applyAlignment="1">
      <alignment horizontal="left" vertical="center"/>
    </xf>
    <xf numFmtId="169" fontId="23" fillId="7" borderId="28" xfId="2" applyNumberFormat="1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left" vertical="center" wrapText="1"/>
    </xf>
    <xf numFmtId="0" fontId="15" fillId="7" borderId="49" xfId="0" applyFont="1" applyFill="1" applyBorder="1" applyAlignment="1">
      <alignment horizontal="left" vertical="center" wrapText="1"/>
    </xf>
    <xf numFmtId="0" fontId="15" fillId="7" borderId="50" xfId="0" applyFont="1" applyFill="1" applyBorder="1" applyAlignment="1">
      <alignment horizontal="left" vertical="center"/>
    </xf>
    <xf numFmtId="169" fontId="23" fillId="0" borderId="0" xfId="3" applyNumberFormat="1" applyFont="1" applyAlignment="1">
      <alignment horizontal="center" vertical="center"/>
    </xf>
    <xf numFmtId="169" fontId="41" fillId="0" borderId="0" xfId="3" applyNumberFormat="1" applyFont="1" applyAlignment="1">
      <alignment horizontal="center" vertical="center"/>
    </xf>
    <xf numFmtId="169" fontId="0" fillId="0" borderId="0" xfId="3" applyNumberFormat="1" applyFont="1" applyAlignment="1">
      <alignment horizontal="left" vertical="top"/>
    </xf>
    <xf numFmtId="0" fontId="50" fillId="0" borderId="13" xfId="3" applyNumberFormat="1" applyFont="1" applyFill="1" applyBorder="1" applyAlignment="1">
      <alignment horizontal="center" vertical="center"/>
    </xf>
    <xf numFmtId="0" fontId="50" fillId="0" borderId="13" xfId="3" quotePrefix="1" applyNumberFormat="1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15" fillId="0" borderId="16" xfId="3" applyNumberFormat="1" applyFont="1" applyFill="1" applyBorder="1" applyAlignment="1">
      <alignment horizontal="center" vertical="center"/>
    </xf>
    <xf numFmtId="169" fontId="9" fillId="7" borderId="51" xfId="3" applyNumberFormat="1" applyFont="1" applyFill="1" applyBorder="1" applyAlignment="1">
      <alignment horizontal="left" vertical="center"/>
    </xf>
    <xf numFmtId="169" fontId="22" fillId="7" borderId="51" xfId="3" applyNumberFormat="1" applyFont="1" applyFill="1" applyBorder="1" applyAlignment="1">
      <alignment horizontal="left" vertical="center"/>
    </xf>
    <xf numFmtId="169" fontId="9" fillId="7" borderId="52" xfId="3" applyNumberFormat="1" applyFont="1" applyFill="1" applyBorder="1" applyAlignment="1">
      <alignment horizontal="left" vertical="center"/>
    </xf>
    <xf numFmtId="10" fontId="23" fillId="7" borderId="51" xfId="2" applyNumberFormat="1" applyFont="1" applyFill="1" applyBorder="1" applyAlignment="1">
      <alignment horizontal="center" vertical="center"/>
    </xf>
    <xf numFmtId="10" fontId="23" fillId="7" borderId="52" xfId="2" applyNumberFormat="1" applyFont="1" applyFill="1" applyBorder="1" applyAlignment="1">
      <alignment horizontal="center" vertical="center"/>
    </xf>
    <xf numFmtId="10" fontId="23" fillId="0" borderId="53" xfId="2" applyNumberFormat="1" applyFont="1" applyFill="1" applyBorder="1" applyAlignment="1">
      <alignment horizontal="center" vertical="center"/>
    </xf>
    <xf numFmtId="10" fontId="23" fillId="7" borderId="53" xfId="2" applyNumberFormat="1" applyFont="1" applyFill="1" applyBorder="1" applyAlignment="1">
      <alignment horizontal="center" vertical="center"/>
    </xf>
    <xf numFmtId="9" fontId="24" fillId="0" borderId="0" xfId="0" applyNumberFormat="1" applyFont="1" applyAlignment="1">
      <alignment horizontal="left" vertical="center"/>
    </xf>
    <xf numFmtId="1" fontId="25" fillId="0" borderId="22" xfId="0" applyNumberFormat="1" applyFont="1" applyBorder="1" applyAlignment="1">
      <alignment horizontal="center" vertical="center" shrinkToFit="1"/>
    </xf>
    <xf numFmtId="0" fontId="26" fillId="0" borderId="18" xfId="0" applyFont="1" applyBorder="1" applyAlignment="1" applyProtection="1">
      <alignment horizontal="left" vertical="center"/>
      <protection locked="0"/>
    </xf>
    <xf numFmtId="0" fontId="25" fillId="0" borderId="8" xfId="0" applyFont="1" applyBorder="1" applyAlignment="1">
      <alignment horizontal="center" vertical="center" wrapText="1"/>
    </xf>
    <xf numFmtId="1" fontId="26" fillId="0" borderId="14" xfId="0" applyNumberFormat="1" applyFont="1" applyBorder="1" applyAlignment="1" applyProtection="1">
      <alignment horizontal="center" vertical="center"/>
      <protection locked="0"/>
    </xf>
    <xf numFmtId="169" fontId="25" fillId="7" borderId="14" xfId="23" applyNumberFormat="1" applyFont="1" applyFill="1" applyBorder="1" applyAlignment="1" applyProtection="1">
      <alignment vertical="center"/>
      <protection locked="0"/>
    </xf>
    <xf numFmtId="1" fontId="25" fillId="0" borderId="18" xfId="0" applyNumberFormat="1" applyFont="1" applyBorder="1" applyAlignment="1" applyProtection="1">
      <alignment horizontal="center" vertical="center"/>
      <protection locked="0"/>
    </xf>
    <xf numFmtId="169" fontId="25" fillId="0" borderId="13" xfId="3" applyNumberFormat="1" applyFont="1" applyBorder="1" applyAlignment="1" applyProtection="1">
      <alignment horizontal="right" vertical="center"/>
      <protection locked="0"/>
    </xf>
    <xf numFmtId="169" fontId="25" fillId="0" borderId="10" xfId="3" applyNumberFormat="1" applyFont="1" applyBorder="1" applyAlignment="1">
      <alignment horizontal="right" vertical="center" shrinkToFit="1"/>
    </xf>
    <xf numFmtId="165" fontId="22" fillId="0" borderId="8" xfId="2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69" fontId="25" fillId="0" borderId="0" xfId="3" applyNumberFormat="1" applyFont="1" applyFill="1" applyAlignment="1">
      <alignment horizontal="center" vertical="center"/>
    </xf>
    <xf numFmtId="169" fontId="29" fillId="0" borderId="44" xfId="3" applyNumberFormat="1" applyFont="1" applyBorder="1" applyAlignment="1" applyProtection="1">
      <alignment horizontal="right" vertical="center"/>
      <protection locked="0"/>
    </xf>
    <xf numFmtId="10" fontId="23" fillId="0" borderId="54" xfId="2" applyNumberFormat="1" applyFont="1" applyFill="1" applyBorder="1" applyAlignment="1">
      <alignment horizontal="center" vertical="center"/>
    </xf>
    <xf numFmtId="169" fontId="24" fillId="8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left" vertical="center"/>
    </xf>
    <xf numFmtId="165" fontId="9" fillId="0" borderId="0" xfId="1" applyFont="1" applyAlignment="1">
      <alignment horizontal="left" vertical="center"/>
    </xf>
    <xf numFmtId="168" fontId="9" fillId="0" borderId="0" xfId="0" applyNumberFormat="1" applyFont="1" applyAlignment="1">
      <alignment horizontal="left" vertical="center"/>
    </xf>
    <xf numFmtId="167" fontId="9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8" fontId="3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horizontal="left" vertical="center"/>
    </xf>
    <xf numFmtId="165" fontId="6" fillId="0" borderId="0" xfId="1" applyFont="1" applyAlignment="1">
      <alignment horizontal="left" vertical="center"/>
    </xf>
    <xf numFmtId="167" fontId="0" fillId="0" borderId="0" xfId="1" applyNumberFormat="1" applyFont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167" fontId="53" fillId="0" borderId="0" xfId="1" applyNumberFormat="1" applyFont="1" applyAlignment="1">
      <alignment horizontal="center" vertical="center"/>
    </xf>
    <xf numFmtId="165" fontId="9" fillId="2" borderId="0" xfId="1" applyFont="1" applyFill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5" fontId="59" fillId="0" borderId="0" xfId="1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168" fontId="56" fillId="0" borderId="0" xfId="0" applyNumberFormat="1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167" fontId="57" fillId="0" borderId="0" xfId="1" applyNumberFormat="1" applyFont="1" applyAlignment="1">
      <alignment horizontal="left" vertical="center"/>
    </xf>
    <xf numFmtId="165" fontId="60" fillId="0" borderId="0" xfId="1" applyFont="1" applyAlignment="1">
      <alignment horizontal="left" vertical="center"/>
    </xf>
    <xf numFmtId="167" fontId="57" fillId="0" borderId="0" xfId="1" applyNumberFormat="1" applyFont="1" applyAlignment="1">
      <alignment horizontal="center" vertical="center"/>
    </xf>
    <xf numFmtId="167" fontId="60" fillId="0" borderId="0" xfId="1" applyNumberFormat="1" applyFont="1" applyAlignment="1">
      <alignment horizontal="center" vertical="center"/>
    </xf>
    <xf numFmtId="167" fontId="63" fillId="0" borderId="0" xfId="1" applyNumberFormat="1" applyFont="1" applyAlignment="1">
      <alignment horizontal="center" vertical="center"/>
    </xf>
    <xf numFmtId="169" fontId="52" fillId="0" borderId="13" xfId="0" applyNumberFormat="1" applyFont="1" applyBorder="1" applyAlignment="1">
      <alignment horizontal="left" vertical="center"/>
    </xf>
    <xf numFmtId="166" fontId="25" fillId="0" borderId="8" xfId="1" applyNumberFormat="1" applyFont="1" applyFill="1" applyBorder="1" applyAlignment="1">
      <alignment horizontal="center" vertical="center" shrinkToFit="1"/>
    </xf>
    <xf numFmtId="1" fontId="15" fillId="0" borderId="22" xfId="0" applyNumberFormat="1" applyFont="1" applyBorder="1" applyAlignment="1">
      <alignment horizontal="center" vertical="center" shrinkToFit="1"/>
    </xf>
    <xf numFmtId="1" fontId="15" fillId="0" borderId="14" xfId="0" applyNumberFormat="1" applyFont="1" applyBorder="1" applyAlignment="1" applyProtection="1">
      <alignment horizontal="center" vertical="center"/>
      <protection locked="0"/>
    </xf>
    <xf numFmtId="169" fontId="30" fillId="0" borderId="44" xfId="3" applyNumberFormat="1" applyFont="1" applyBorder="1" applyAlignment="1" applyProtection="1">
      <alignment horizontal="right" vertical="center"/>
      <protection locked="0"/>
    </xf>
    <xf numFmtId="169" fontId="15" fillId="0" borderId="10" xfId="3" applyNumberFormat="1" applyFont="1" applyBorder="1" applyAlignment="1">
      <alignment horizontal="right" vertical="center" shrinkToFit="1"/>
    </xf>
    <xf numFmtId="169" fontId="23" fillId="0" borderId="10" xfId="3" applyNumberFormat="1" applyFont="1" applyFill="1" applyBorder="1" applyAlignment="1">
      <alignment horizontal="right" vertical="center" shrinkToFit="1"/>
    </xf>
    <xf numFmtId="169" fontId="23" fillId="0" borderId="8" xfId="3" applyNumberFormat="1" applyFont="1" applyFill="1" applyBorder="1" applyAlignment="1">
      <alignment horizontal="right" vertical="center"/>
    </xf>
    <xf numFmtId="169" fontId="23" fillId="0" borderId="23" xfId="3" applyNumberFormat="1" applyFont="1" applyFill="1" applyBorder="1" applyAlignment="1">
      <alignment horizontal="right" vertical="center"/>
    </xf>
    <xf numFmtId="9" fontId="23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9" fontId="15" fillId="0" borderId="10" xfId="3" applyNumberFormat="1" applyFont="1" applyFill="1" applyBorder="1" applyAlignment="1">
      <alignment horizontal="right" vertical="center" shrinkToFit="1"/>
    </xf>
    <xf numFmtId="165" fontId="15" fillId="2" borderId="8" xfId="20" applyNumberFormat="1" applyFont="1" applyFill="1" applyBorder="1" applyAlignment="1">
      <alignment horizontal="right" vertical="center" shrinkToFit="1"/>
    </xf>
    <xf numFmtId="169" fontId="21" fillId="0" borderId="0" xfId="3" applyNumberFormat="1" applyFont="1" applyFill="1" applyBorder="1" applyAlignment="1">
      <alignment vertical="center"/>
    </xf>
    <xf numFmtId="165" fontId="10" fillId="0" borderId="13" xfId="1" applyFont="1" applyFill="1" applyBorder="1" applyAlignment="1" applyProtection="1">
      <alignment horizontal="right" vertical="center"/>
      <protection locked="0"/>
    </xf>
    <xf numFmtId="169" fontId="10" fillId="0" borderId="14" xfId="23" applyNumberFormat="1" applyFont="1" applyFill="1" applyBorder="1" applyAlignment="1" applyProtection="1">
      <alignment vertical="center"/>
      <protection locked="0"/>
    </xf>
    <xf numFmtId="169" fontId="22" fillId="0" borderId="0" xfId="0" applyNumberFormat="1" applyFont="1" applyAlignment="1">
      <alignment horizontal="left" vertical="center"/>
    </xf>
    <xf numFmtId="165" fontId="15" fillId="0" borderId="9" xfId="20" applyNumberFormat="1" applyFont="1" applyFill="1" applyBorder="1" applyAlignment="1">
      <alignment horizontal="right" vertical="center" shrinkToFit="1"/>
    </xf>
    <xf numFmtId="169" fontId="24" fillId="0" borderId="9" xfId="3" applyNumberFormat="1" applyFont="1" applyFill="1" applyBorder="1" applyAlignment="1">
      <alignment horizontal="right" vertical="center"/>
    </xf>
    <xf numFmtId="165" fontId="24" fillId="0" borderId="0" xfId="1" applyFont="1" applyFill="1" applyBorder="1" applyAlignment="1">
      <alignment horizontal="left" vertical="center"/>
    </xf>
    <xf numFmtId="0" fontId="23" fillId="0" borderId="7" xfId="0" applyFont="1" applyBorder="1" applyAlignment="1">
      <alignment horizontal="center" vertical="center" wrapText="1"/>
    </xf>
    <xf numFmtId="165" fontId="15" fillId="0" borderId="7" xfId="20" applyNumberFormat="1" applyFont="1" applyFill="1" applyBorder="1" applyAlignment="1">
      <alignment horizontal="right" vertical="center" shrinkToFit="1"/>
    </xf>
    <xf numFmtId="169" fontId="24" fillId="0" borderId="7" xfId="3" applyNumberFormat="1" applyFont="1" applyFill="1" applyBorder="1" applyAlignment="1">
      <alignment horizontal="right" vertical="center"/>
    </xf>
    <xf numFmtId="165" fontId="24" fillId="2" borderId="8" xfId="20" applyNumberFormat="1" applyFont="1" applyFill="1" applyBorder="1" applyAlignment="1">
      <alignment horizontal="right" vertical="center" shrinkToFit="1"/>
    </xf>
    <xf numFmtId="167" fontId="27" fillId="2" borderId="13" xfId="1" applyNumberFormat="1" applyFont="1" applyFill="1" applyBorder="1" applyAlignment="1" applyProtection="1">
      <alignment horizontal="right" vertical="center"/>
      <protection locked="0"/>
    </xf>
    <xf numFmtId="165" fontId="23" fillId="0" borderId="0" xfId="0" applyNumberFormat="1" applyFont="1" applyAlignment="1">
      <alignment horizontal="center" vertical="center" wrapText="1"/>
    </xf>
    <xf numFmtId="165" fontId="15" fillId="7" borderId="8" xfId="20" applyNumberFormat="1" applyFont="1" applyFill="1" applyBorder="1" applyAlignment="1">
      <alignment horizontal="right" vertical="center" shrinkToFit="1"/>
    </xf>
    <xf numFmtId="165" fontId="15" fillId="8" borderId="8" xfId="20" applyNumberFormat="1" applyFont="1" applyFill="1" applyBorder="1" applyAlignment="1">
      <alignment horizontal="right" vertical="center" shrinkToFit="1"/>
    </xf>
    <xf numFmtId="0" fontId="24" fillId="0" borderId="0" xfId="0" applyFont="1" applyAlignment="1">
      <alignment vertical="center"/>
    </xf>
    <xf numFmtId="169" fontId="22" fillId="2" borderId="0" xfId="0" applyNumberFormat="1" applyFont="1" applyFill="1" applyAlignment="1">
      <alignment horizontal="left" vertical="center"/>
    </xf>
    <xf numFmtId="0" fontId="10" fillId="0" borderId="8" xfId="1" applyNumberFormat="1" applyFont="1" applyFill="1" applyBorder="1" applyAlignment="1">
      <alignment horizontal="center" vertical="center" shrinkToFit="1"/>
    </xf>
    <xf numFmtId="176" fontId="10" fillId="0" borderId="14" xfId="23" applyNumberFormat="1" applyFont="1" applyFill="1" applyBorder="1" applyAlignment="1" applyProtection="1">
      <alignment vertical="center"/>
      <protection locked="0"/>
    </xf>
    <xf numFmtId="0" fontId="16" fillId="0" borderId="13" xfId="3" applyNumberFormat="1" applyFont="1" applyFill="1" applyBorder="1" applyAlignment="1">
      <alignment horizontal="center" vertical="center"/>
    </xf>
    <xf numFmtId="169" fontId="10" fillId="0" borderId="10" xfId="3" applyNumberFormat="1" applyFont="1" applyFill="1" applyBorder="1" applyAlignment="1">
      <alignment horizontal="right" vertical="center" shrinkToFit="1"/>
    </xf>
    <xf numFmtId="169" fontId="10" fillId="0" borderId="13" xfId="3" applyNumberFormat="1" applyFont="1" applyFill="1" applyBorder="1" applyAlignment="1">
      <alignment vertical="center"/>
    </xf>
    <xf numFmtId="169" fontId="24" fillId="0" borderId="27" xfId="3" applyNumberFormat="1" applyFont="1" applyFill="1" applyBorder="1" applyAlignment="1">
      <alignment horizontal="right" vertical="center"/>
    </xf>
    <xf numFmtId="165" fontId="10" fillId="0" borderId="8" xfId="20" applyNumberFormat="1" applyFont="1" applyFill="1" applyBorder="1" applyAlignment="1">
      <alignment horizontal="right" vertical="center" shrinkToFit="1"/>
    </xf>
    <xf numFmtId="169" fontId="10" fillId="7" borderId="14" xfId="23" applyNumberFormat="1" applyFont="1" applyFill="1" applyBorder="1" applyAlignment="1" applyProtection="1">
      <alignment vertical="center"/>
      <protection locked="0"/>
    </xf>
    <xf numFmtId="165" fontId="24" fillId="0" borderId="8" xfId="20" applyNumberFormat="1" applyFont="1" applyFill="1" applyBorder="1" applyAlignment="1">
      <alignment horizontal="right" vertical="center" shrinkToFit="1"/>
    </xf>
    <xf numFmtId="165" fontId="10" fillId="0" borderId="8" xfId="20" applyNumberFormat="1" applyFont="1" applyBorder="1" applyAlignment="1">
      <alignment horizontal="right" vertical="center" shrinkToFit="1"/>
    </xf>
    <xf numFmtId="165" fontId="23" fillId="0" borderId="9" xfId="0" applyNumberFormat="1" applyFont="1" applyBorder="1" applyAlignment="1">
      <alignment horizontal="center" vertical="center" wrapText="1"/>
    </xf>
    <xf numFmtId="167" fontId="27" fillId="0" borderId="13" xfId="1" applyNumberFormat="1" applyFont="1" applyFill="1" applyBorder="1" applyAlignment="1" applyProtection="1">
      <alignment horizontal="right" vertical="center"/>
      <protection locked="0"/>
    </xf>
    <xf numFmtId="169" fontId="43" fillId="0" borderId="0" xfId="3" applyNumberFormat="1" applyFont="1" applyBorder="1" applyAlignment="1">
      <alignment horizontal="center" vertical="center"/>
    </xf>
    <xf numFmtId="169" fontId="22" fillId="0" borderId="0" xfId="3" applyNumberFormat="1" applyFont="1" applyAlignment="1">
      <alignment horizontal="left" vertical="center"/>
    </xf>
    <xf numFmtId="169" fontId="10" fillId="2" borderId="13" xfId="3" applyNumberFormat="1" applyFont="1" applyFill="1" applyBorder="1" applyAlignment="1">
      <alignment vertical="center"/>
    </xf>
    <xf numFmtId="165" fontId="10" fillId="2" borderId="13" xfId="1" applyFont="1" applyFill="1" applyBorder="1" applyAlignment="1" applyProtection="1">
      <alignment horizontal="right" vertical="center"/>
      <protection locked="0"/>
    </xf>
    <xf numFmtId="177" fontId="23" fillId="0" borderId="0" xfId="0" applyNumberFormat="1" applyFont="1" applyAlignment="1">
      <alignment horizontal="left" vertical="center"/>
    </xf>
    <xf numFmtId="169" fontId="62" fillId="0" borderId="0" xfId="3" applyNumberFormat="1" applyFont="1" applyAlignment="1">
      <alignment horizontal="left" vertical="center"/>
    </xf>
    <xf numFmtId="169" fontId="52" fillId="0" borderId="0" xfId="0" applyNumberFormat="1" applyFont="1" applyAlignment="1">
      <alignment horizontal="left" vertical="center"/>
    </xf>
    <xf numFmtId="169" fontId="58" fillId="0" borderId="0" xfId="3" applyNumberFormat="1" applyFont="1" applyAlignment="1">
      <alignment horizontal="left" vertical="center"/>
    </xf>
    <xf numFmtId="169" fontId="63" fillId="0" borderId="13" xfId="0" applyNumberFormat="1" applyFont="1" applyBorder="1" applyAlignment="1">
      <alignment horizontal="left" vertical="center"/>
    </xf>
    <xf numFmtId="0" fontId="56" fillId="2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165" fontId="59" fillId="2" borderId="0" xfId="1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168" fontId="56" fillId="2" borderId="0" xfId="0" applyNumberFormat="1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165" fontId="60" fillId="2" borderId="0" xfId="1" applyFont="1" applyFill="1" applyAlignment="1">
      <alignment horizontal="left" vertical="center"/>
    </xf>
    <xf numFmtId="167" fontId="57" fillId="2" borderId="0" xfId="1" applyNumberFormat="1" applyFont="1" applyFill="1" applyAlignment="1">
      <alignment horizontal="center" vertical="center"/>
    </xf>
    <xf numFmtId="167" fontId="60" fillId="2" borderId="0" xfId="1" applyNumberFormat="1" applyFont="1" applyFill="1" applyAlignment="1">
      <alignment horizontal="center" vertical="center"/>
    </xf>
    <xf numFmtId="167" fontId="63" fillId="2" borderId="0" xfId="1" applyNumberFormat="1" applyFont="1" applyFill="1" applyAlignment="1">
      <alignment horizontal="center" vertical="center"/>
    </xf>
    <xf numFmtId="167" fontId="57" fillId="2" borderId="0" xfId="1" applyNumberFormat="1" applyFont="1" applyFill="1" applyAlignment="1">
      <alignment horizontal="left" vertical="center"/>
    </xf>
    <xf numFmtId="169" fontId="23" fillId="0" borderId="21" xfId="0" applyNumberFormat="1" applyFont="1" applyBorder="1" applyAlignment="1">
      <alignment horizontal="left" vertical="center" wrapText="1"/>
    </xf>
    <xf numFmtId="1" fontId="10" fillId="7" borderId="14" xfId="0" applyNumberFormat="1" applyFont="1" applyFill="1" applyBorder="1" applyAlignment="1" applyProtection="1">
      <alignment horizontal="center" vertical="center"/>
      <protection locked="0"/>
    </xf>
    <xf numFmtId="169" fontId="10" fillId="7" borderId="15" xfId="20" applyNumberFormat="1" applyFont="1" applyFill="1" applyBorder="1" applyAlignment="1" applyProtection="1">
      <alignment horizontal="right" vertical="center"/>
      <protection locked="0"/>
    </xf>
    <xf numFmtId="165" fontId="10" fillId="7" borderId="10" xfId="0" applyNumberFormat="1" applyFont="1" applyFill="1" applyBorder="1" applyAlignment="1">
      <alignment horizontal="right" vertical="center" shrinkToFit="1"/>
    </xf>
    <xf numFmtId="165" fontId="10" fillId="7" borderId="8" xfId="20" applyNumberFormat="1" applyFont="1" applyFill="1" applyBorder="1" applyAlignment="1">
      <alignment horizontal="right" vertical="center" shrinkToFit="1"/>
    </xf>
    <xf numFmtId="0" fontId="23" fillId="7" borderId="1" xfId="0" applyFont="1" applyFill="1" applyBorder="1" applyAlignment="1">
      <alignment horizontal="center" vertical="center" wrapText="1"/>
    </xf>
    <xf numFmtId="0" fontId="10" fillId="7" borderId="8" xfId="1" applyNumberFormat="1" applyFont="1" applyFill="1" applyBorder="1" applyAlignment="1">
      <alignment horizontal="center" vertical="center" shrinkToFit="1"/>
    </xf>
    <xf numFmtId="169" fontId="10" fillId="7" borderId="10" xfId="3" applyNumberFormat="1" applyFont="1" applyFill="1" applyBorder="1" applyAlignment="1">
      <alignment horizontal="right" vertical="center" shrinkToFit="1"/>
    </xf>
    <xf numFmtId="165" fontId="15" fillId="7" borderId="13" xfId="1" applyFont="1" applyFill="1" applyBorder="1" applyAlignment="1" applyProtection="1">
      <alignment horizontal="right" vertical="center"/>
      <protection locked="0"/>
    </xf>
    <xf numFmtId="169" fontId="15" fillId="7" borderId="13" xfId="3" applyNumberFormat="1" applyFont="1" applyFill="1" applyBorder="1" applyAlignment="1">
      <alignment vertical="center"/>
    </xf>
    <xf numFmtId="169" fontId="24" fillId="7" borderId="0" xfId="0" applyNumberFormat="1" applyFont="1" applyFill="1" applyAlignment="1">
      <alignment horizontal="left" vertical="center"/>
    </xf>
    <xf numFmtId="0" fontId="24" fillId="7" borderId="8" xfId="1" applyNumberFormat="1" applyFont="1" applyFill="1" applyBorder="1" applyAlignment="1">
      <alignment horizontal="center" vertical="center" shrinkToFit="1"/>
    </xf>
    <xf numFmtId="169" fontId="24" fillId="7" borderId="27" xfId="3" applyNumberFormat="1" applyFont="1" applyFill="1" applyBorder="1" applyAlignment="1">
      <alignment horizontal="right" vertical="center"/>
    </xf>
    <xf numFmtId="169" fontId="21" fillId="0" borderId="43" xfId="3" applyNumberFormat="1" applyFont="1" applyBorder="1" applyAlignment="1" applyProtection="1">
      <alignment horizontal="right" vertical="center"/>
      <protection locked="0"/>
    </xf>
    <xf numFmtId="169" fontId="21" fillId="0" borderId="13" xfId="3" applyNumberFormat="1" applyFont="1" applyBorder="1" applyAlignment="1" applyProtection="1">
      <alignment horizontal="right" vertical="center"/>
      <protection locked="0"/>
    </xf>
    <xf numFmtId="169" fontId="21" fillId="0" borderId="44" xfId="3" applyNumberFormat="1" applyFont="1" applyBorder="1" applyAlignment="1" applyProtection="1">
      <alignment horizontal="right" vertical="center"/>
      <protection locked="0"/>
    </xf>
    <xf numFmtId="169" fontId="39" fillId="0" borderId="0" xfId="3" applyNumberFormat="1" applyFont="1" applyAlignment="1">
      <alignment horizontal="center" vertical="center"/>
    </xf>
    <xf numFmtId="169" fontId="37" fillId="0" borderId="0" xfId="3" applyNumberFormat="1" applyFont="1" applyAlignment="1">
      <alignment horizontal="center" vertical="center"/>
    </xf>
    <xf numFmtId="169" fontId="15" fillId="7" borderId="10" xfId="3" applyNumberFormat="1" applyFont="1" applyFill="1" applyBorder="1" applyAlignment="1">
      <alignment horizontal="right" vertical="center" shrinkToFit="1"/>
    </xf>
    <xf numFmtId="169" fontId="27" fillId="2" borderId="10" xfId="3" applyNumberFormat="1" applyFont="1" applyFill="1" applyBorder="1" applyAlignment="1">
      <alignment horizontal="right" vertical="center" shrinkToFit="1"/>
    </xf>
    <xf numFmtId="165" fontId="23" fillId="2" borderId="8" xfId="20" applyNumberFormat="1" applyFont="1" applyFill="1" applyBorder="1" applyAlignment="1">
      <alignment horizontal="right" vertical="center" shrinkToFit="1"/>
    </xf>
    <xf numFmtId="0" fontId="25" fillId="7" borderId="8" xfId="1" applyNumberFormat="1" applyFont="1" applyFill="1" applyBorder="1" applyAlignment="1">
      <alignment horizontal="center" vertical="center" shrinkToFit="1"/>
    </xf>
    <xf numFmtId="0" fontId="15" fillId="7" borderId="8" xfId="1" applyNumberFormat="1" applyFont="1" applyFill="1" applyBorder="1" applyAlignment="1">
      <alignment horizontal="center" vertical="center" shrinkToFit="1"/>
    </xf>
    <xf numFmtId="0" fontId="64" fillId="0" borderId="18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>
      <alignment horizontal="center" vertical="center" wrapText="1"/>
    </xf>
    <xf numFmtId="169" fontId="29" fillId="7" borderId="15" xfId="15" applyNumberFormat="1" applyFont="1" applyFill="1" applyBorder="1" applyAlignment="1" applyProtection="1">
      <alignment horizontal="right" vertical="center"/>
      <protection locked="0"/>
    </xf>
    <xf numFmtId="1" fontId="29" fillId="7" borderId="14" xfId="0" applyNumberFormat="1" applyFont="1" applyFill="1" applyBorder="1" applyAlignment="1" applyProtection="1">
      <alignment horizontal="center" vertical="center"/>
      <protection locked="0"/>
    </xf>
    <xf numFmtId="165" fontId="33" fillId="7" borderId="8" xfId="20" applyNumberFormat="1" applyFont="1" applyFill="1" applyBorder="1" applyAlignment="1">
      <alignment horizontal="right" vertical="center" shrinkToFit="1"/>
    </xf>
    <xf numFmtId="165" fontId="25" fillId="0" borderId="32" xfId="18" applyFont="1" applyFill="1" applyBorder="1" applyAlignment="1">
      <alignment vertical="center"/>
    </xf>
    <xf numFmtId="165" fontId="10" fillId="7" borderId="27" xfId="1" applyFont="1" applyFill="1" applyBorder="1" applyAlignment="1">
      <alignment horizontal="center" vertical="center" shrinkToFit="1"/>
    </xf>
    <xf numFmtId="169" fontId="15" fillId="2" borderId="14" xfId="23" applyNumberFormat="1" applyFont="1" applyFill="1" applyBorder="1" applyAlignment="1" applyProtection="1">
      <alignment vertical="center"/>
      <protection locked="0"/>
    </xf>
    <xf numFmtId="169" fontId="15" fillId="2" borderId="13" xfId="3" applyNumberFormat="1" applyFont="1" applyFill="1" applyBorder="1" applyAlignment="1" applyProtection="1">
      <alignment horizontal="right" vertical="center"/>
      <protection locked="0"/>
    </xf>
    <xf numFmtId="0" fontId="36" fillId="10" borderId="1" xfId="0" applyFont="1" applyFill="1" applyBorder="1" applyAlignment="1">
      <alignment horizontal="center" vertical="center" wrapText="1"/>
    </xf>
    <xf numFmtId="169" fontId="23" fillId="0" borderId="0" xfId="3" applyNumberFormat="1" applyFont="1" applyAlignment="1">
      <alignment horizontal="left" vertical="center"/>
    </xf>
    <xf numFmtId="169" fontId="40" fillId="0" borderId="0" xfId="0" applyNumberFormat="1" applyFont="1" applyAlignment="1">
      <alignment horizontal="left" vertical="top"/>
    </xf>
    <xf numFmtId="165" fontId="40" fillId="0" borderId="0" xfId="0" applyNumberFormat="1" applyFont="1" applyAlignment="1">
      <alignment horizontal="left" vertical="top"/>
    </xf>
    <xf numFmtId="165" fontId="37" fillId="0" borderId="0" xfId="0" applyNumberFormat="1" applyFont="1" applyAlignment="1">
      <alignment horizontal="left" vertical="top"/>
    </xf>
    <xf numFmtId="1" fontId="30" fillId="7" borderId="14" xfId="0" applyNumberFormat="1" applyFont="1" applyFill="1" applyBorder="1" applyAlignment="1" applyProtection="1">
      <alignment horizontal="center" vertical="center"/>
      <protection locked="0"/>
    </xf>
    <xf numFmtId="0" fontId="29" fillId="7" borderId="18" xfId="0" applyFont="1" applyFill="1" applyBorder="1" applyAlignment="1" applyProtection="1">
      <alignment horizontal="left" vertical="center"/>
      <protection locked="0"/>
    </xf>
    <xf numFmtId="169" fontId="27" fillId="7" borderId="13" xfId="3" applyNumberFormat="1" applyFont="1" applyFill="1" applyBorder="1" applyAlignment="1" applyProtection="1">
      <alignment horizontal="right" vertical="center"/>
      <protection locked="0"/>
    </xf>
    <xf numFmtId="165" fontId="21" fillId="7" borderId="13" xfId="18" applyFont="1" applyFill="1" applyBorder="1" applyAlignment="1" applyProtection="1">
      <alignment horizontal="center" vertical="center"/>
      <protection locked="0"/>
    </xf>
    <xf numFmtId="0" fontId="27" fillId="2" borderId="8" xfId="1" applyNumberFormat="1" applyFont="1" applyFill="1" applyBorder="1" applyAlignment="1">
      <alignment horizontal="center" vertical="center" shrinkToFit="1"/>
    </xf>
    <xf numFmtId="169" fontId="27" fillId="2" borderId="14" xfId="23" applyNumberFormat="1" applyFont="1" applyFill="1" applyBorder="1" applyAlignment="1" applyProtection="1">
      <alignment vertical="center"/>
      <protection locked="0"/>
    </xf>
    <xf numFmtId="0" fontId="25" fillId="2" borderId="8" xfId="1" applyNumberFormat="1" applyFont="1" applyFill="1" applyBorder="1" applyAlignment="1">
      <alignment horizontal="center" vertical="center" shrinkToFit="1"/>
    </xf>
    <xf numFmtId="165" fontId="23" fillId="7" borderId="8" xfId="20" applyNumberFormat="1" applyFont="1" applyFill="1" applyBorder="1" applyAlignment="1">
      <alignment horizontal="right" vertical="center" shrinkToFit="1"/>
    </xf>
    <xf numFmtId="165" fontId="21" fillId="2" borderId="13" xfId="18" applyFont="1" applyFill="1" applyBorder="1" applyAlignment="1" applyProtection="1">
      <alignment horizontal="center" vertical="center"/>
      <protection locked="0"/>
    </xf>
    <xf numFmtId="169" fontId="9" fillId="2" borderId="13" xfId="15" applyNumberFormat="1" applyFont="1" applyFill="1" applyBorder="1" applyAlignment="1">
      <alignment vertical="center"/>
    </xf>
    <xf numFmtId="169" fontId="27" fillId="2" borderId="13" xfId="3" applyNumberFormat="1" applyFont="1" applyFill="1" applyBorder="1" applyAlignment="1" applyProtection="1">
      <alignment horizontal="right" vertical="center"/>
      <protection locked="0"/>
    </xf>
    <xf numFmtId="165" fontId="27" fillId="7" borderId="14" xfId="1" applyFont="1" applyFill="1" applyBorder="1" applyAlignment="1" applyProtection="1">
      <alignment vertical="center"/>
      <protection locked="0"/>
    </xf>
    <xf numFmtId="169" fontId="15" fillId="0" borderId="14" xfId="23" applyNumberFormat="1" applyFont="1" applyFill="1" applyBorder="1" applyAlignment="1" applyProtection="1">
      <alignment vertical="center"/>
      <protection locked="0"/>
    </xf>
    <xf numFmtId="169" fontId="15" fillId="0" borderId="13" xfId="3" applyNumberFormat="1" applyFont="1" applyFill="1" applyBorder="1" applyAlignment="1" applyProtection="1">
      <alignment horizontal="right" vertical="center"/>
      <protection locked="0"/>
    </xf>
    <xf numFmtId="165" fontId="15" fillId="0" borderId="8" xfId="20" applyNumberFormat="1" applyFont="1" applyFill="1" applyBorder="1" applyAlignment="1">
      <alignment horizontal="left" vertical="center"/>
    </xf>
    <xf numFmtId="169" fontId="29" fillId="0" borderId="13" xfId="3" applyNumberFormat="1" applyFont="1" applyBorder="1" applyAlignment="1" applyProtection="1">
      <alignment horizontal="right" vertical="center"/>
      <protection locked="0"/>
    </xf>
    <xf numFmtId="169" fontId="27" fillId="0" borderId="35" xfId="3" applyNumberFormat="1" applyFont="1" applyBorder="1" applyAlignment="1">
      <alignment horizontal="right" vertical="center" shrinkToFit="1"/>
    </xf>
    <xf numFmtId="169" fontId="27" fillId="7" borderId="35" xfId="3" applyNumberFormat="1" applyFont="1" applyFill="1" applyBorder="1" applyAlignment="1">
      <alignment horizontal="right" vertical="center" shrinkToFit="1"/>
    </xf>
    <xf numFmtId="169" fontId="29" fillId="7" borderId="13" xfId="3" applyNumberFormat="1" applyFont="1" applyFill="1" applyBorder="1" applyAlignment="1" applyProtection="1">
      <alignment horizontal="right" vertical="center"/>
      <protection locked="0"/>
    </xf>
    <xf numFmtId="169" fontId="27" fillId="2" borderId="36" xfId="3" applyNumberFormat="1" applyFont="1" applyFill="1" applyBorder="1" applyAlignment="1">
      <alignment horizontal="right" vertical="center" shrinkToFit="1"/>
    </xf>
    <xf numFmtId="169" fontId="27" fillId="0" borderId="59" xfId="3" applyNumberFormat="1" applyFont="1" applyBorder="1" applyAlignment="1">
      <alignment horizontal="right" vertical="center" shrinkToFit="1"/>
    </xf>
    <xf numFmtId="169" fontId="27" fillId="7" borderId="59" xfId="3" applyNumberFormat="1" applyFont="1" applyFill="1" applyBorder="1" applyAlignment="1">
      <alignment horizontal="right" vertical="center" shrinkToFit="1"/>
    </xf>
    <xf numFmtId="169" fontId="27" fillId="2" borderId="47" xfId="3" applyNumberFormat="1" applyFont="1" applyFill="1" applyBorder="1" applyAlignment="1">
      <alignment horizontal="right" vertical="center" shrinkToFit="1"/>
    </xf>
    <xf numFmtId="169" fontId="55" fillId="0" borderId="13" xfId="3" applyNumberFormat="1" applyFont="1" applyBorder="1" applyAlignment="1" applyProtection="1">
      <alignment horizontal="right" vertical="center"/>
      <protection locked="0"/>
    </xf>
    <xf numFmtId="169" fontId="25" fillId="0" borderId="59" xfId="3" applyNumberFormat="1" applyFont="1" applyBorder="1" applyAlignment="1">
      <alignment horizontal="right" vertical="center" shrinkToFit="1"/>
    </xf>
    <xf numFmtId="169" fontId="25" fillId="7" borderId="59" xfId="3" applyNumberFormat="1" applyFont="1" applyFill="1" applyBorder="1" applyAlignment="1">
      <alignment horizontal="right" vertical="center" shrinkToFit="1"/>
    </xf>
    <xf numFmtId="169" fontId="25" fillId="2" borderId="47" xfId="3" applyNumberFormat="1" applyFont="1" applyFill="1" applyBorder="1" applyAlignment="1">
      <alignment horizontal="right" vertical="center" shrinkToFit="1"/>
    </xf>
    <xf numFmtId="169" fontId="30" fillId="0" borderId="13" xfId="3" applyNumberFormat="1" applyFont="1" applyFill="1" applyBorder="1" applyAlignment="1" applyProtection="1">
      <alignment horizontal="right" vertical="center"/>
      <protection locked="0"/>
    </xf>
    <xf numFmtId="169" fontId="15" fillId="0" borderId="59" xfId="3" applyNumberFormat="1" applyFont="1" applyFill="1" applyBorder="1" applyAlignment="1">
      <alignment horizontal="right" vertical="center" shrinkToFit="1"/>
    </xf>
    <xf numFmtId="169" fontId="15" fillId="0" borderId="47" xfId="3" applyNumberFormat="1" applyFont="1" applyFill="1" applyBorder="1" applyAlignment="1">
      <alignment horizontal="right" vertical="center" shrinkToFit="1"/>
    </xf>
    <xf numFmtId="9" fontId="23" fillId="7" borderId="30" xfId="2" applyFont="1" applyFill="1" applyBorder="1" applyAlignment="1">
      <alignment horizontal="center" vertical="center"/>
    </xf>
    <xf numFmtId="169" fontId="10" fillId="0" borderId="15" xfId="20" applyNumberFormat="1" applyFont="1" applyFill="1" applyBorder="1" applyAlignment="1" applyProtection="1">
      <alignment horizontal="right" vertical="center"/>
      <protection locked="0"/>
    </xf>
    <xf numFmtId="165" fontId="24" fillId="0" borderId="27" xfId="20" applyNumberFormat="1" applyFont="1" applyFill="1" applyBorder="1" applyAlignment="1">
      <alignment horizontal="right" vertical="center"/>
    </xf>
    <xf numFmtId="169" fontId="34" fillId="2" borderId="14" xfId="3" applyNumberFormat="1" applyFont="1" applyFill="1" applyBorder="1" applyAlignment="1" applyProtection="1">
      <alignment vertical="center"/>
      <protection locked="0"/>
    </xf>
    <xf numFmtId="169" fontId="34" fillId="2" borderId="13" xfId="3" applyNumberFormat="1" applyFont="1" applyFill="1" applyBorder="1" applyAlignment="1" applyProtection="1">
      <alignment horizontal="right" vertical="center"/>
      <protection locked="0"/>
    </xf>
    <xf numFmtId="169" fontId="29" fillId="2" borderId="15" xfId="15" applyNumberFormat="1" applyFont="1" applyFill="1" applyBorder="1" applyAlignment="1" applyProtection="1">
      <alignment horizontal="right" vertical="center"/>
      <protection locked="0"/>
    </xf>
    <xf numFmtId="165" fontId="33" fillId="2" borderId="8" xfId="20" applyNumberFormat="1" applyFont="1" applyFill="1" applyBorder="1" applyAlignment="1">
      <alignment horizontal="right" vertical="center" shrinkToFit="1"/>
    </xf>
    <xf numFmtId="165" fontId="40" fillId="2" borderId="8" xfId="20" applyNumberFormat="1" applyFont="1" applyFill="1" applyBorder="1" applyAlignment="1">
      <alignment horizontal="left" vertical="center"/>
    </xf>
    <xf numFmtId="165" fontId="36" fillId="2" borderId="8" xfId="20" applyNumberFormat="1" applyFont="1" applyFill="1" applyBorder="1" applyAlignment="1">
      <alignment horizontal="right" vertical="center" shrinkToFit="1"/>
    </xf>
    <xf numFmtId="169" fontId="36" fillId="0" borderId="27" xfId="3" applyNumberFormat="1" applyFont="1" applyFill="1" applyBorder="1" applyAlignment="1">
      <alignment horizontal="right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9" fontId="9" fillId="0" borderId="28" xfId="3" applyNumberFormat="1" applyFont="1" applyFill="1" applyBorder="1" applyAlignment="1">
      <alignment horizontal="left" vertical="center"/>
    </xf>
    <xf numFmtId="169" fontId="22" fillId="0" borderId="28" xfId="3" applyNumberFormat="1" applyFont="1" applyFill="1" applyBorder="1" applyAlignment="1">
      <alignment horizontal="left" vertical="center"/>
    </xf>
    <xf numFmtId="169" fontId="15" fillId="0" borderId="28" xfId="3" applyNumberFormat="1" applyFont="1" applyFill="1" applyBorder="1" applyAlignment="1">
      <alignment horizontal="left" vertical="center"/>
    </xf>
    <xf numFmtId="169" fontId="24" fillId="0" borderId="28" xfId="3" applyNumberFormat="1" applyFont="1" applyFill="1" applyBorder="1" applyAlignment="1">
      <alignment horizontal="left" vertical="center"/>
    </xf>
    <xf numFmtId="169" fontId="22" fillId="0" borderId="29" xfId="3" applyNumberFormat="1" applyFont="1" applyFill="1" applyBorder="1" applyAlignment="1">
      <alignment horizontal="left" vertical="center"/>
    </xf>
    <xf numFmtId="9" fontId="24" fillId="0" borderId="28" xfId="2" applyFont="1" applyFill="1" applyBorder="1" applyAlignment="1">
      <alignment horizontal="center" vertical="center"/>
    </xf>
    <xf numFmtId="10" fontId="23" fillId="0" borderId="28" xfId="2" applyNumberFormat="1" applyFont="1" applyFill="1" applyBorder="1" applyAlignment="1">
      <alignment horizontal="center" vertical="center"/>
    </xf>
    <xf numFmtId="10" fontId="23" fillId="0" borderId="52" xfId="2" applyNumberFormat="1" applyFont="1" applyFill="1" applyBorder="1" applyAlignment="1">
      <alignment horizontal="center" vertical="center"/>
    </xf>
    <xf numFmtId="9" fontId="35" fillId="2" borderId="0" xfId="2" applyFont="1" applyFill="1" applyBorder="1" applyAlignment="1">
      <alignment horizontal="center" vertical="center"/>
    </xf>
    <xf numFmtId="1" fontId="35" fillId="2" borderId="0" xfId="2" applyNumberFormat="1" applyFont="1" applyFill="1" applyBorder="1" applyAlignment="1">
      <alignment horizontal="center" vertical="center"/>
    </xf>
    <xf numFmtId="169" fontId="22" fillId="7" borderId="52" xfId="3" applyNumberFormat="1" applyFont="1" applyFill="1" applyBorder="1" applyAlignment="1">
      <alignment horizontal="left" vertical="center"/>
    </xf>
    <xf numFmtId="165" fontId="37" fillId="0" borderId="0" xfId="1" applyFont="1" applyFill="1" applyAlignment="1">
      <alignment horizontal="left" vertical="center"/>
    </xf>
    <xf numFmtId="165" fontId="35" fillId="0" borderId="0" xfId="1" applyFont="1" applyFill="1" applyAlignment="1">
      <alignment horizontal="left" vertical="center"/>
    </xf>
    <xf numFmtId="167" fontId="39" fillId="0" borderId="0" xfId="1" applyNumberFormat="1" applyFont="1" applyFill="1" applyAlignment="1">
      <alignment horizontal="left" vertical="center"/>
    </xf>
    <xf numFmtId="1" fontId="39" fillId="0" borderId="0" xfId="1" applyNumberFormat="1" applyFont="1" applyFill="1" applyAlignment="1">
      <alignment horizontal="center" vertical="center"/>
    </xf>
    <xf numFmtId="174" fontId="39" fillId="0" borderId="0" xfId="3" applyNumberFormat="1" applyFont="1" applyFill="1" applyAlignment="1">
      <alignment horizontal="center" vertical="center"/>
    </xf>
    <xf numFmtId="174" fontId="36" fillId="0" borderId="0" xfId="3" applyNumberFormat="1" applyFont="1" applyFill="1" applyAlignment="1">
      <alignment horizontal="center" vertical="center" wrapText="1"/>
    </xf>
    <xf numFmtId="167" fontId="37" fillId="0" borderId="0" xfId="1" applyNumberFormat="1" applyFont="1" applyFill="1" applyAlignment="1">
      <alignment horizontal="left" vertical="center"/>
    </xf>
    <xf numFmtId="0" fontId="34" fillId="2" borderId="8" xfId="1" applyNumberFormat="1" applyFont="1" applyFill="1" applyBorder="1" applyAlignment="1">
      <alignment horizontal="center" vertical="center" shrinkToFit="1"/>
    </xf>
    <xf numFmtId="0" fontId="27" fillId="6" borderId="8" xfId="1" applyNumberFormat="1" applyFont="1" applyFill="1" applyBorder="1" applyAlignment="1">
      <alignment horizontal="center" vertical="center" shrinkToFit="1"/>
    </xf>
    <xf numFmtId="169" fontId="27" fillId="6" borderId="10" xfId="3" applyNumberFormat="1" applyFont="1" applyFill="1" applyBorder="1" applyAlignment="1">
      <alignment horizontal="right" vertical="center" shrinkToFit="1"/>
    </xf>
    <xf numFmtId="165" fontId="15" fillId="6" borderId="8" xfId="20" applyNumberFormat="1" applyFont="1" applyFill="1" applyBorder="1" applyAlignment="1">
      <alignment horizontal="right" vertical="center" shrinkToFit="1"/>
    </xf>
    <xf numFmtId="169" fontId="25" fillId="0" borderId="48" xfId="3" applyNumberFormat="1" applyFont="1" applyFill="1" applyBorder="1" applyAlignment="1">
      <alignment horizontal="left" vertical="center"/>
    </xf>
    <xf numFmtId="0" fontId="46" fillId="0" borderId="0" xfId="0" applyFont="1" applyAlignment="1">
      <alignment horizontal="left" vertical="top"/>
    </xf>
    <xf numFmtId="0" fontId="47" fillId="0" borderId="0" xfId="0" applyFont="1" applyAlignment="1">
      <alignment horizontal="left" vertical="center"/>
    </xf>
    <xf numFmtId="9" fontId="41" fillId="0" borderId="0" xfId="2" applyFont="1" applyFill="1" applyAlignment="1">
      <alignment horizontal="center" vertical="center"/>
    </xf>
    <xf numFmtId="169" fontId="9" fillId="0" borderId="0" xfId="0" applyNumberFormat="1" applyFont="1" applyAlignment="1">
      <alignment horizontal="left" vertical="center"/>
    </xf>
    <xf numFmtId="169" fontId="15" fillId="0" borderId="0" xfId="0" applyNumberFormat="1" applyFont="1" applyAlignment="1">
      <alignment horizontal="left" vertical="center"/>
    </xf>
    <xf numFmtId="169" fontId="65" fillId="0" borderId="8" xfId="3" applyNumberFormat="1" applyFont="1" applyFill="1" applyBorder="1" applyAlignment="1">
      <alignment horizontal="right" vertical="center"/>
    </xf>
    <xf numFmtId="0" fontId="50" fillId="0" borderId="60" xfId="3" applyNumberFormat="1" applyFont="1" applyFill="1" applyBorder="1" applyAlignment="1">
      <alignment horizontal="center" vertical="center"/>
    </xf>
    <xf numFmtId="165" fontId="27" fillId="0" borderId="0" xfId="1" applyFont="1" applyFill="1" applyBorder="1" applyAlignment="1" applyProtection="1">
      <alignment horizontal="right" vertical="center"/>
      <protection locked="0"/>
    </xf>
    <xf numFmtId="9" fontId="54" fillId="0" borderId="48" xfId="2" applyFont="1" applyFill="1" applyBorder="1" applyAlignment="1">
      <alignment horizontal="center" vertical="center"/>
    </xf>
    <xf numFmtId="169" fontId="24" fillId="0" borderId="23" xfId="3" applyNumberFormat="1" applyFont="1" applyFill="1" applyBorder="1" applyAlignment="1">
      <alignment horizontal="right" vertical="center"/>
    </xf>
    <xf numFmtId="0" fontId="27" fillId="9" borderId="8" xfId="1" applyNumberFormat="1" applyFont="1" applyFill="1" applyBorder="1" applyAlignment="1">
      <alignment horizontal="center" vertical="center" shrinkToFit="1"/>
    </xf>
    <xf numFmtId="169" fontId="27" fillId="9" borderId="14" xfId="23" applyNumberFormat="1" applyFont="1" applyFill="1" applyBorder="1" applyAlignment="1" applyProtection="1">
      <alignment horizontal="center" vertical="center"/>
      <protection locked="0"/>
    </xf>
    <xf numFmtId="169" fontId="27" fillId="9" borderId="10" xfId="3" applyNumberFormat="1" applyFont="1" applyFill="1" applyBorder="1" applyAlignment="1">
      <alignment horizontal="right" vertical="center" shrinkToFit="1"/>
    </xf>
    <xf numFmtId="165" fontId="27" fillId="9" borderId="13" xfId="1" applyFont="1" applyFill="1" applyBorder="1" applyAlignment="1" applyProtection="1">
      <alignment horizontal="right" vertical="center"/>
      <protection locked="0"/>
    </xf>
    <xf numFmtId="165" fontId="27" fillId="9" borderId="0" xfId="1" applyFont="1" applyFill="1" applyBorder="1" applyAlignment="1" applyProtection="1">
      <alignment horizontal="right" vertical="center"/>
      <protection locked="0"/>
    </xf>
    <xf numFmtId="165" fontId="15" fillId="9" borderId="8" xfId="20" applyNumberFormat="1" applyFont="1" applyFill="1" applyBorder="1" applyAlignment="1">
      <alignment horizontal="right" vertical="center" shrinkToFit="1"/>
    </xf>
    <xf numFmtId="1" fontId="21" fillId="9" borderId="14" xfId="0" applyNumberFormat="1" applyFont="1" applyFill="1" applyBorder="1" applyAlignment="1" applyProtection="1">
      <alignment horizontal="center" vertical="center"/>
      <protection locked="0"/>
    </xf>
    <xf numFmtId="169" fontId="30" fillId="9" borderId="13" xfId="15" applyNumberFormat="1" applyFont="1" applyFill="1" applyBorder="1" applyAlignment="1" applyProtection="1">
      <alignment horizontal="right" vertical="center"/>
      <protection locked="0"/>
    </xf>
    <xf numFmtId="165" fontId="24" fillId="9" borderId="27" xfId="20" applyNumberFormat="1" applyFont="1" applyFill="1" applyBorder="1" applyAlignment="1">
      <alignment horizontal="right" vertical="center"/>
    </xf>
    <xf numFmtId="169" fontId="21" fillId="9" borderId="15" xfId="20" applyNumberFormat="1" applyFont="1" applyFill="1" applyBorder="1" applyAlignment="1" applyProtection="1">
      <alignment horizontal="right" vertical="center"/>
      <protection locked="0"/>
    </xf>
    <xf numFmtId="165" fontId="23" fillId="0" borderId="0" xfId="0" applyNumberFormat="1" applyFont="1" applyAlignment="1">
      <alignment horizontal="left" vertical="center" wrapText="1"/>
    </xf>
    <xf numFmtId="169" fontId="24" fillId="11" borderId="27" xfId="3" applyNumberFormat="1" applyFont="1" applyFill="1" applyBorder="1" applyAlignment="1">
      <alignment horizontal="right" vertical="center"/>
    </xf>
    <xf numFmtId="169" fontId="25" fillId="11" borderId="27" xfId="3" applyNumberFormat="1" applyFont="1" applyFill="1" applyBorder="1" applyAlignment="1">
      <alignment horizontal="right" vertical="center"/>
    </xf>
    <xf numFmtId="169" fontId="24" fillId="12" borderId="27" xfId="3" applyNumberFormat="1" applyFont="1" applyFill="1" applyBorder="1" applyAlignment="1">
      <alignment horizontal="right" vertical="center"/>
    </xf>
    <xf numFmtId="169" fontId="23" fillId="12" borderId="27" xfId="3" applyNumberFormat="1" applyFont="1" applyFill="1" applyBorder="1" applyAlignment="1">
      <alignment horizontal="right" vertical="center"/>
    </xf>
    <xf numFmtId="165" fontId="24" fillId="0" borderId="0" xfId="0" applyNumberFormat="1" applyFont="1" applyAlignment="1">
      <alignment horizontal="left" vertical="center" wrapText="1"/>
    </xf>
    <xf numFmtId="169" fontId="23" fillId="0" borderId="0" xfId="0" applyNumberFormat="1" applyFont="1" applyAlignment="1">
      <alignment horizontal="center" vertical="center" wrapText="1"/>
    </xf>
    <xf numFmtId="169" fontId="23" fillId="0" borderId="7" xfId="0" applyNumberFormat="1" applyFont="1" applyBorder="1" applyAlignment="1">
      <alignment horizontal="center" vertical="center" wrapText="1"/>
    </xf>
    <xf numFmtId="169" fontId="22" fillId="0" borderId="0" xfId="0" applyNumberFormat="1" applyFont="1" applyAlignment="1">
      <alignment horizontal="center" vertical="center"/>
    </xf>
    <xf numFmtId="169" fontId="37" fillId="0" borderId="0" xfId="0" applyNumberFormat="1" applyFont="1" applyAlignment="1">
      <alignment horizontal="left" vertical="top"/>
    </xf>
    <xf numFmtId="0" fontId="47" fillId="7" borderId="8" xfId="1" applyNumberFormat="1" applyFont="1" applyFill="1" applyBorder="1" applyAlignment="1">
      <alignment horizontal="center" vertical="center" shrinkToFit="1"/>
    </xf>
    <xf numFmtId="0" fontId="66" fillId="9" borderId="8" xfId="1" applyNumberFormat="1" applyFont="1" applyFill="1" applyBorder="1" applyAlignment="1">
      <alignment horizontal="center" vertical="center" shrinkToFit="1"/>
    </xf>
    <xf numFmtId="169" fontId="47" fillId="7" borderId="15" xfId="20" applyNumberFormat="1" applyFont="1" applyFill="1" applyBorder="1" applyAlignment="1" applyProtection="1">
      <alignment horizontal="right" vertical="center"/>
      <protection locked="0"/>
    </xf>
    <xf numFmtId="165" fontId="24" fillId="7" borderId="27" xfId="20" applyNumberFormat="1" applyFont="1" applyFill="1" applyBorder="1" applyAlignment="1">
      <alignment horizontal="right" vertical="center"/>
    </xf>
    <xf numFmtId="165" fontId="15" fillId="2" borderId="12" xfId="20" applyNumberFormat="1" applyFont="1" applyFill="1" applyBorder="1" applyAlignment="1">
      <alignment horizontal="right" vertical="center" shrinkToFit="1"/>
    </xf>
    <xf numFmtId="165" fontId="36" fillId="0" borderId="20" xfId="1" applyFont="1" applyFill="1" applyBorder="1" applyAlignment="1">
      <alignment horizontal="right" vertical="center"/>
    </xf>
    <xf numFmtId="165" fontId="36" fillId="0" borderId="21" xfId="1" applyFont="1" applyFill="1" applyBorder="1" applyAlignment="1">
      <alignment horizontal="right" vertical="center"/>
    </xf>
    <xf numFmtId="9" fontId="35" fillId="0" borderId="20" xfId="2" applyFont="1" applyFill="1" applyBorder="1" applyAlignment="1">
      <alignment horizontal="center" vertical="center"/>
    </xf>
    <xf numFmtId="1" fontId="35" fillId="0" borderId="21" xfId="2" applyNumberFormat="1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vertical="center"/>
    </xf>
    <xf numFmtId="0" fontId="15" fillId="0" borderId="16" xfId="20" applyNumberFormat="1" applyFont="1" applyFill="1" applyBorder="1" applyAlignment="1">
      <alignment horizontal="center" vertical="center"/>
    </xf>
    <xf numFmtId="169" fontId="27" fillId="0" borderId="14" xfId="20" applyNumberFormat="1" applyFont="1" applyFill="1" applyBorder="1" applyAlignment="1" applyProtection="1">
      <alignment vertical="center"/>
      <protection locked="0"/>
    </xf>
    <xf numFmtId="169" fontId="27" fillId="7" borderId="8" xfId="20" applyNumberFormat="1" applyFont="1" applyFill="1" applyBorder="1" applyAlignment="1">
      <alignment horizontal="center" vertical="center" shrinkToFit="1"/>
    </xf>
    <xf numFmtId="169" fontId="27" fillId="0" borderId="8" xfId="20" applyNumberFormat="1" applyFont="1" applyFill="1" applyBorder="1" applyAlignment="1">
      <alignment horizontal="center" vertical="center" shrinkToFit="1"/>
    </xf>
    <xf numFmtId="169" fontId="25" fillId="0" borderId="8" xfId="20" applyNumberFormat="1" applyFont="1" applyFill="1" applyBorder="1" applyAlignment="1">
      <alignment horizontal="center" vertical="center" shrinkToFit="1"/>
    </xf>
    <xf numFmtId="169" fontId="21" fillId="0" borderId="13" xfId="20" applyNumberFormat="1" applyFont="1" applyFill="1" applyBorder="1" applyAlignment="1">
      <alignment vertical="center"/>
    </xf>
    <xf numFmtId="169" fontId="27" fillId="0" borderId="10" xfId="20" applyNumberFormat="1" applyFont="1" applyFill="1" applyBorder="1" applyAlignment="1">
      <alignment horizontal="right" vertical="center" shrinkToFit="1"/>
    </xf>
    <xf numFmtId="169" fontId="25" fillId="0" borderId="10" xfId="20" applyNumberFormat="1" applyFont="1" applyFill="1" applyBorder="1" applyAlignment="1">
      <alignment horizontal="right" vertical="center" shrinkToFit="1"/>
    </xf>
    <xf numFmtId="169" fontId="25" fillId="0" borderId="8" xfId="20" applyNumberFormat="1" applyFont="1" applyFill="1" applyBorder="1" applyAlignment="1">
      <alignment horizontal="right" vertical="center"/>
    </xf>
    <xf numFmtId="169" fontId="25" fillId="0" borderId="23" xfId="20" applyNumberFormat="1" applyFont="1" applyFill="1" applyBorder="1" applyAlignment="1">
      <alignment horizontal="right" vertical="center"/>
    </xf>
    <xf numFmtId="9" fontId="25" fillId="0" borderId="0" xfId="21" applyFont="1" applyFill="1" applyBorder="1" applyAlignment="1">
      <alignment horizontal="center" vertical="center"/>
    </xf>
    <xf numFmtId="169" fontId="27" fillId="7" borderId="14" xfId="20" applyNumberFormat="1" applyFont="1" applyFill="1" applyBorder="1" applyAlignment="1" applyProtection="1">
      <alignment vertical="center"/>
      <protection locked="0"/>
    </xf>
    <xf numFmtId="169" fontId="21" fillId="7" borderId="13" xfId="20" applyNumberFormat="1" applyFont="1" applyFill="1" applyBorder="1" applyAlignment="1">
      <alignment vertical="center"/>
    </xf>
    <xf numFmtId="169" fontId="10" fillId="0" borderId="27" xfId="20" applyNumberFormat="1" applyFont="1" applyBorder="1" applyAlignment="1">
      <alignment horizontal="right" vertical="center" shrinkToFit="1"/>
    </xf>
    <xf numFmtId="169" fontId="24" fillId="0" borderId="27" xfId="20" applyNumberFormat="1" applyFont="1" applyBorder="1" applyAlignment="1">
      <alignment horizontal="right" vertical="center"/>
    </xf>
    <xf numFmtId="169" fontId="24" fillId="7" borderId="27" xfId="20" applyNumberFormat="1" applyFont="1" applyFill="1" applyBorder="1" applyAlignment="1">
      <alignment horizontal="right" vertical="center"/>
    </xf>
    <xf numFmtId="169" fontId="24" fillId="0" borderId="27" xfId="20" applyNumberFormat="1" applyFont="1" applyBorder="1" applyAlignment="1">
      <alignment horizontal="right" vertical="center" shrinkToFit="1"/>
    </xf>
    <xf numFmtId="169" fontId="24" fillId="0" borderId="7" xfId="20" applyNumberFormat="1" applyFont="1" applyFill="1" applyBorder="1" applyAlignment="1">
      <alignment horizontal="right" vertical="center"/>
    </xf>
    <xf numFmtId="169" fontId="24" fillId="0" borderId="9" xfId="20" applyNumberFormat="1" applyFont="1" applyFill="1" applyBorder="1" applyAlignment="1">
      <alignment horizontal="right" vertical="center"/>
    </xf>
    <xf numFmtId="0" fontId="23" fillId="6" borderId="35" xfId="0" applyFont="1" applyFill="1" applyBorder="1" applyAlignment="1">
      <alignment horizontal="center" vertical="center" wrapText="1"/>
    </xf>
    <xf numFmtId="0" fontId="23" fillId="6" borderId="46" xfId="0" applyFont="1" applyFill="1" applyBorder="1" applyAlignment="1">
      <alignment horizontal="center" vertical="center" wrapText="1"/>
    </xf>
    <xf numFmtId="0" fontId="23" fillId="6" borderId="45" xfId="0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>
      <alignment horizontal="center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56" xfId="0" applyFont="1" applyFill="1" applyBorder="1" applyAlignment="1">
      <alignment horizontal="center" vertical="center" wrapText="1"/>
    </xf>
    <xf numFmtId="0" fontId="23" fillId="9" borderId="57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165" fontId="23" fillId="2" borderId="1" xfId="1" applyFont="1" applyFill="1" applyBorder="1" applyAlignment="1">
      <alignment horizontal="center" vertical="center" wrapText="1"/>
    </xf>
    <xf numFmtId="165" fontId="23" fillId="2" borderId="3" xfId="1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37" xfId="0" applyFont="1" applyFill="1" applyBorder="1" applyAlignment="1">
      <alignment horizontal="center" vertical="center" wrapText="1"/>
    </xf>
    <xf numFmtId="0" fontId="23" fillId="6" borderId="38" xfId="0" applyFont="1" applyFill="1" applyBorder="1" applyAlignment="1">
      <alignment horizontal="center" vertical="center" wrapText="1"/>
    </xf>
    <xf numFmtId="0" fontId="23" fillId="6" borderId="39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3" fillId="6" borderId="4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5" borderId="24" xfId="0" applyFont="1" applyFill="1" applyBorder="1" applyAlignment="1">
      <alignment horizontal="center" vertical="center" wrapText="1"/>
    </xf>
    <xf numFmtId="0" fontId="36" fillId="5" borderId="26" xfId="0" applyFont="1" applyFill="1" applyBorder="1" applyAlignment="1">
      <alignment horizontal="center" vertical="center" wrapText="1"/>
    </xf>
    <xf numFmtId="0" fontId="36" fillId="5" borderId="25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36" fillId="8" borderId="8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6" fillId="6" borderId="37" xfId="0" applyFont="1" applyFill="1" applyBorder="1" applyAlignment="1">
      <alignment horizontal="center" vertical="center" wrapText="1"/>
    </xf>
    <xf numFmtId="0" fontId="36" fillId="6" borderId="38" xfId="0" applyFont="1" applyFill="1" applyBorder="1" applyAlignment="1">
      <alignment horizontal="center" vertical="center" wrapText="1"/>
    </xf>
    <xf numFmtId="0" fontId="36" fillId="6" borderId="39" xfId="0" applyFont="1" applyFill="1" applyBorder="1" applyAlignment="1">
      <alignment horizontal="center" vertical="center" wrapText="1"/>
    </xf>
    <xf numFmtId="0" fontId="36" fillId="6" borderId="33" xfId="0" applyFont="1" applyFill="1" applyBorder="1" applyAlignment="1">
      <alignment horizontal="center" vertical="center" wrapText="1"/>
    </xf>
    <xf numFmtId="0" fontId="36" fillId="6" borderId="40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36" fillId="4" borderId="11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 vertical="center" wrapText="1"/>
    </xf>
    <xf numFmtId="0" fontId="36" fillId="5" borderId="41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36" fillId="8" borderId="10" xfId="0" applyFont="1" applyFill="1" applyBorder="1" applyAlignment="1">
      <alignment horizontal="center" vertical="center" wrapText="1"/>
    </xf>
    <xf numFmtId="0" fontId="36" fillId="8" borderId="11" xfId="0" applyFont="1" applyFill="1" applyBorder="1" applyAlignment="1">
      <alignment horizontal="center" vertical="center" wrapText="1"/>
    </xf>
    <xf numFmtId="0" fontId="36" fillId="8" borderId="12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center" vertical="center" wrapText="1"/>
    </xf>
    <xf numFmtId="0" fontId="36" fillId="6" borderId="7" xfId="0" applyFont="1" applyFill="1" applyBorder="1" applyAlignment="1">
      <alignment horizontal="center" vertical="center" wrapText="1"/>
    </xf>
    <xf numFmtId="0" fontId="36" fillId="2" borderId="41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165" fontId="23" fillId="2" borderId="4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0" fontId="52" fillId="0" borderId="14" xfId="0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6" fillId="4" borderId="14" xfId="0" applyFont="1" applyFill="1" applyBorder="1" applyAlignment="1">
      <alignment horizontal="center" vertical="center" wrapText="1"/>
    </xf>
    <xf numFmtId="0" fontId="46" fillId="4" borderId="18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165" fontId="10" fillId="0" borderId="27" xfId="0" applyNumberFormat="1" applyFont="1" applyFill="1" applyBorder="1" applyAlignment="1">
      <alignment horizontal="center" vertical="center"/>
    </xf>
    <xf numFmtId="165" fontId="10" fillId="0" borderId="27" xfId="1" applyFont="1" applyFill="1" applyBorder="1" applyAlignment="1">
      <alignment horizontal="left" vertical="center"/>
    </xf>
    <xf numFmtId="165" fontId="10" fillId="0" borderId="27" xfId="1" applyFont="1" applyFill="1" applyBorder="1" applyAlignment="1">
      <alignment horizontal="right" vertical="center" shrinkToFit="1"/>
    </xf>
    <xf numFmtId="169" fontId="10" fillId="0" borderId="27" xfId="3" applyNumberFormat="1" applyFont="1" applyFill="1" applyBorder="1" applyAlignment="1">
      <alignment horizontal="right" vertical="center" shrinkToFit="1"/>
    </xf>
    <xf numFmtId="169" fontId="24" fillId="0" borderId="27" xfId="3" applyNumberFormat="1" applyFont="1" applyFill="1" applyBorder="1" applyAlignment="1">
      <alignment horizontal="right" vertical="center" shrinkToFit="1"/>
    </xf>
    <xf numFmtId="9" fontId="24" fillId="0" borderId="0" xfId="0" applyNumberFormat="1" applyFont="1" applyFill="1" applyAlignment="1">
      <alignment horizontal="center" vertical="center"/>
    </xf>
    <xf numFmtId="167" fontId="10" fillId="0" borderId="0" xfId="1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65" fontId="10" fillId="0" borderId="27" xfId="0" applyNumberFormat="1" applyFont="1" applyFill="1" applyBorder="1" applyAlignment="1">
      <alignment vertical="center"/>
    </xf>
    <xf numFmtId="169" fontId="10" fillId="0" borderId="27" xfId="3" applyNumberFormat="1" applyFont="1" applyFill="1" applyBorder="1" applyAlignment="1">
      <alignment horizontal="left" vertical="center"/>
    </xf>
    <xf numFmtId="1" fontId="10" fillId="0" borderId="0" xfId="1" applyNumberFormat="1" applyFont="1" applyFill="1" applyAlignment="1">
      <alignment horizontal="center" vertical="center"/>
    </xf>
  </cellXfs>
  <cellStyles count="26">
    <cellStyle name="Comma" xfId="3" builtinId="3"/>
    <cellStyle name="Comma [0]" xfId="1" builtinId="6"/>
    <cellStyle name="Comma [0] 10" xfId="6" xr:uid="{00000000-0005-0000-0000-000002000000}"/>
    <cellStyle name="Comma [0] 2" xfId="17" xr:uid="{00000000-0005-0000-0000-000003000000}"/>
    <cellStyle name="Comma [0] 3" xfId="18" xr:uid="{00000000-0005-0000-0000-000004000000}"/>
    <cellStyle name="Comma [0] 4" xfId="24" xr:uid="{00000000-0005-0000-0000-000005000000}"/>
    <cellStyle name="Comma 10" xfId="5" xr:uid="{00000000-0005-0000-0000-000006000000}"/>
    <cellStyle name="Comma 11 3" xfId="11" xr:uid="{00000000-0005-0000-0000-000007000000}"/>
    <cellStyle name="Comma 12" xfId="10" xr:uid="{00000000-0005-0000-0000-000008000000}"/>
    <cellStyle name="Comma 2" xfId="15" xr:uid="{00000000-0005-0000-0000-000009000000}"/>
    <cellStyle name="Comma 3" xfId="16" xr:uid="{00000000-0005-0000-0000-00000A000000}"/>
    <cellStyle name="Comma 4" xfId="20" xr:uid="{00000000-0005-0000-0000-00000B000000}"/>
    <cellStyle name="Comma 5" xfId="23" xr:uid="{00000000-0005-0000-0000-00000C000000}"/>
    <cellStyle name="Normal" xfId="0" builtinId="0"/>
    <cellStyle name="Normal 110" xfId="8" xr:uid="{00000000-0005-0000-0000-00000E000000}"/>
    <cellStyle name="Normal 14" xfId="19" xr:uid="{00000000-0005-0000-0000-00000F000000}"/>
    <cellStyle name="Normal 2" xfId="4" xr:uid="{00000000-0005-0000-0000-000010000000}"/>
    <cellStyle name="Normal 2 2" xfId="13" xr:uid="{00000000-0005-0000-0000-000011000000}"/>
    <cellStyle name="Normal 3" xfId="9" xr:uid="{00000000-0005-0000-0000-000012000000}"/>
    <cellStyle name="Normal 4" xfId="14" xr:uid="{00000000-0005-0000-0000-000013000000}"/>
    <cellStyle name="Normal 4 2" xfId="7" xr:uid="{00000000-0005-0000-0000-000014000000}"/>
    <cellStyle name="Normal 5" xfId="22" xr:uid="{00000000-0005-0000-0000-000015000000}"/>
    <cellStyle name="Normal 6" xfId="25" xr:uid="{00000000-0005-0000-0000-000016000000}"/>
    <cellStyle name="Percent" xfId="2" builtinId="5"/>
    <cellStyle name="Percent 2" xfId="12" xr:uid="{00000000-0005-0000-0000-000018000000}"/>
    <cellStyle name="Percent 3" xfId="21" xr:uid="{00000000-0005-0000-0000-000019000000}"/>
  </cellStyles>
  <dxfs count="0"/>
  <tableStyles count="0" defaultTableStyle="TableStyleMedium9" defaultPivotStyle="PivotStyleLight16"/>
  <colors>
    <mruColors>
      <color rgb="FFFF66CC"/>
      <color rgb="FFFF00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kniks%20SIDRAP\ANALISA%20BARU\Bina%20Marga\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TazMania\Smoke%20Project\Penawaran%202005\cv%20buyung\paket%207\kaluku\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SHAM-FIKA\polewali\13%20MILYAR\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ee%202014\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K%20RAB\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RRI\DATA%20KOMPUTER%20IWAN%20(D)%2027%20Juni%2012\My%20Document%20Windat\Perkebunan%20SULBAR\GOWA\GOWA%202010\Kantor%20DPRD%20Gowa%202010\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PDAM-PANGKEP%20(TOMBOLO)\D-STIMULUS(PEM.SARANA%20AIR%20BAKU%20TOMBOLO)\PERENCANAAN%20PPI%20PANGKEP\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PEMBOBOTAN%20DERMAGA\limbangan\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RRI\My%20Document%20Windat\BONE\PASAR%20BONE%2008\GUDANG%20BONE%202009\JUNI\Juli\RAB%20GUDANG%20BONE%20FILE\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%20Windat\MAKASSAR\BKPMD\RAB%20BKPMD\Kakanta%20Project\File%20Penawaran\2010\Tender%20UNM\TENDER%20PASCASARJANA\PT.%20KAKANTA\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ntor%20D\OP%20II\Documents%20and%20Settings\171208\My%20Documents\RAB%20Batangmata\Tender\TIM-EST\budi\TenderJalan\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AIN\Pujananting\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02-Sadli\Data%202006\RSUD\PEMELIHARAAN%20RSU\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Documents%20and%20Settings\mjc\My%20Documents\PASAR%20SIDRAP\Dokumen%20Lelang%20Pasar%20Pangkajene\1-RAB%20REVISI-PANG\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DINAS%20PARIWISATA\gambar\LPM%20Boriappaka\Documents%20and%20Settings\Start%20Menu\INSTANT-ACCESS\My%20Documents\RSU%20Enrekang%202005\maros\pbb\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Data%202010\Data%20Untuk%20Dinas\RAB%20SARANA%20DAN%20PRASARANA%20APARATUR\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DATA%202013\PERHUB.%202013\perhub%202013\rambu%202013\anggaran%20perubahan\penawarana%20perubahan\HALTE%20NISAR\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UMPULAN%20ANALISA%20HARGA\MY%20PROJECT\PT.%20NARAYANA%20ADICIPTA\FAJAR%20MAKMUR\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RRI\DATA%20KOMPUTER%20IWAN%20(D)%2027%20Juni%2012\My%20Document%20Windat\Perkebunan%20SULBAR\GOWA\GOWA%202010\Kantor%20DPRD%20Gowa%202010\cAmpUr2\Pekerjaan%20Penyelesaian%20B1\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DINAS%20PARIWISATA\gambar\LPM%20Boriappaka\data%202012\perikanan%202012\PENAWARAN%20H.MIMING\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DINAS%20PARIWISATA\gambar\LPM%20Boriappaka\PDAM-PANGKEP%20(TOMBOLO)\D-STIMULUS(PEM.SARANA%20AIR%20BAKU%20TOMBOLO)\PERENCANAAN%20PPI%20PANGKEP\rev_RAB%20PEMBANGUNAN%20PPI%20PANGK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ntor%20D\OP%20II\Documents%20and%20Settings\171208\My%20Documents\RAB%20Batangmata\TIM-EST\budi\TenderJalan\CM-Ja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NTAI%20APATANAH\My%20Documents\reog\teka\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DINAS%20PARIWISATA\gambar\PENAWARAN-2010\JN_2010\RAB%20LUTIM-2010\JEMBT.LAUMPAN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alatan (3)"/>
      <sheetName val="Peralatan"/>
      <sheetName val="Peralatan (2)"/>
    </sheetNames>
    <sheetDataSet>
      <sheetData sheetId="0"/>
      <sheetData sheetId="1">
        <row r="26">
          <cell r="BO26" t="str">
            <v xml:space="preserve"> Alat Baru</v>
          </cell>
        </row>
        <row r="27">
          <cell r="BO27">
            <v>1450000000</v>
          </cell>
        </row>
        <row r="46">
          <cell r="BO46" t="str">
            <v xml:space="preserve"> Alat Baru</v>
          </cell>
        </row>
        <row r="47">
          <cell r="BO47">
            <v>450000000</v>
          </cell>
        </row>
        <row r="66">
          <cell r="BO66" t="str">
            <v xml:space="preserve"> Alat Baru</v>
          </cell>
        </row>
        <row r="67">
          <cell r="BO67">
            <v>75000000</v>
          </cell>
        </row>
        <row r="86">
          <cell r="BO86" t="str">
            <v xml:space="preserve"> Alat Baru</v>
          </cell>
        </row>
        <row r="87">
          <cell r="BO87">
            <v>475000000</v>
          </cell>
        </row>
        <row r="106">
          <cell r="BO106" t="str">
            <v xml:space="preserve"> Alat Baru</v>
          </cell>
        </row>
        <row r="107">
          <cell r="BO107">
            <v>65000000</v>
          </cell>
        </row>
        <row r="126">
          <cell r="BO126" t="str">
            <v xml:space="preserve"> Alat Baru</v>
          </cell>
        </row>
        <row r="127">
          <cell r="BO127">
            <v>117605778</v>
          </cell>
        </row>
        <row r="146">
          <cell r="BO146" t="str">
            <v xml:space="preserve"> Alat Baru</v>
          </cell>
        </row>
        <row r="147">
          <cell r="BO147">
            <v>777038177</v>
          </cell>
        </row>
        <row r="166">
          <cell r="BO166" t="str">
            <v xml:space="preserve"> Alat Baru</v>
          </cell>
        </row>
        <row r="167">
          <cell r="BO167">
            <v>100000000</v>
          </cell>
        </row>
        <row r="186">
          <cell r="BO186" t="str">
            <v xml:space="preserve"> Alat Baru</v>
          </cell>
        </row>
        <row r="187">
          <cell r="BO187">
            <v>170000000</v>
          </cell>
        </row>
        <row r="206">
          <cell r="BO206" t="str">
            <v xml:space="preserve"> Alat Baru</v>
          </cell>
        </row>
        <row r="207">
          <cell r="BO207">
            <v>1300000000</v>
          </cell>
        </row>
        <row r="226">
          <cell r="BO226" t="str">
            <v xml:space="preserve"> Alat Baru</v>
          </cell>
        </row>
        <row r="227">
          <cell r="BO227">
            <v>175000000</v>
          </cell>
        </row>
        <row r="246">
          <cell r="BO246" t="str">
            <v xml:space="preserve"> Alat Baru</v>
          </cell>
        </row>
        <row r="247">
          <cell r="BO247">
            <v>125000000</v>
          </cell>
        </row>
        <row r="266">
          <cell r="BO266" t="str">
            <v xml:space="preserve"> Alat Baru</v>
          </cell>
        </row>
        <row r="267">
          <cell r="BO267">
            <v>300000000</v>
          </cell>
        </row>
        <row r="286">
          <cell r="BO286" t="str">
            <v xml:space="preserve"> Alat Baru</v>
          </cell>
        </row>
        <row r="287">
          <cell r="BO287">
            <v>504024763</v>
          </cell>
        </row>
        <row r="306">
          <cell r="BO306" t="str">
            <v xml:space="preserve"> Alat Baru</v>
          </cell>
        </row>
        <row r="307">
          <cell r="BO307">
            <v>300000000</v>
          </cell>
        </row>
        <row r="326">
          <cell r="BO326" t="str">
            <v xml:space="preserve"> Alat Baru</v>
          </cell>
        </row>
        <row r="327">
          <cell r="BO327">
            <v>125000000</v>
          </cell>
        </row>
        <row r="346">
          <cell r="BO346" t="str">
            <v xml:space="preserve"> Alat Baru</v>
          </cell>
        </row>
        <row r="347">
          <cell r="BO347">
            <v>225000000</v>
          </cell>
        </row>
        <row r="366">
          <cell r="BO366" t="str">
            <v xml:space="preserve"> Alat Baru</v>
          </cell>
        </row>
        <row r="367">
          <cell r="BO367">
            <v>225000000</v>
          </cell>
        </row>
        <row r="386">
          <cell r="BO386" t="str">
            <v xml:space="preserve"> Alat Baru</v>
          </cell>
        </row>
        <row r="387">
          <cell r="BO387">
            <v>350000000</v>
          </cell>
        </row>
        <row r="406">
          <cell r="BO406" t="str">
            <v xml:space="preserve"> Alat Baru</v>
          </cell>
        </row>
        <row r="407">
          <cell r="BO407">
            <v>5000000</v>
          </cell>
        </row>
        <row r="426">
          <cell r="BO426" t="str">
            <v xml:space="preserve"> Alat Baru</v>
          </cell>
        </row>
        <row r="427">
          <cell r="BO427">
            <v>950000000</v>
          </cell>
        </row>
        <row r="446">
          <cell r="BO446" t="str">
            <v xml:space="preserve"> Alat Baru</v>
          </cell>
        </row>
        <row r="447">
          <cell r="BO447">
            <v>5500000</v>
          </cell>
        </row>
        <row r="466">
          <cell r="BO466" t="str">
            <v xml:space="preserve"> Alat Baru</v>
          </cell>
        </row>
        <row r="467">
          <cell r="BO467">
            <v>70000000</v>
          </cell>
        </row>
        <row r="486">
          <cell r="BO486" t="str">
            <v xml:space="preserve"> Alat Baru</v>
          </cell>
        </row>
        <row r="487">
          <cell r="BO487">
            <v>100000000</v>
          </cell>
        </row>
        <row r="506">
          <cell r="BO506" t="str">
            <v xml:space="preserve"> Alat Baru</v>
          </cell>
        </row>
        <row r="507">
          <cell r="BO507">
            <v>10000000</v>
          </cell>
        </row>
        <row r="526">
          <cell r="BO526" t="str">
            <v xml:space="preserve"> Alat Baru</v>
          </cell>
        </row>
        <row r="527">
          <cell r="BO527">
            <v>27721362</v>
          </cell>
        </row>
        <row r="546">
          <cell r="BO546" t="str">
            <v xml:space="preserve"> Alat Baru</v>
          </cell>
        </row>
        <row r="547">
          <cell r="BO547">
            <v>46000000</v>
          </cell>
        </row>
        <row r="566">
          <cell r="BO566" t="str">
            <v xml:space="preserve"> Alat Baru</v>
          </cell>
        </row>
        <row r="567">
          <cell r="BO567">
            <v>100000000</v>
          </cell>
        </row>
        <row r="586">
          <cell r="BO586" t="str">
            <v xml:space="preserve"> Alat Baru</v>
          </cell>
        </row>
        <row r="587">
          <cell r="BO587">
            <v>166250000</v>
          </cell>
        </row>
        <row r="606">
          <cell r="BO606" t="str">
            <v xml:space="preserve"> Alat Baru</v>
          </cell>
        </row>
        <row r="607">
          <cell r="BO607">
            <v>70000000</v>
          </cell>
        </row>
        <row r="626">
          <cell r="BO626" t="str">
            <v xml:space="preserve"> Alat Baru</v>
          </cell>
        </row>
        <row r="627">
          <cell r="BO627">
            <v>350000000</v>
          </cell>
        </row>
        <row r="646">
          <cell r="BO646" t="str">
            <v xml:space="preserve"> Alat Baru</v>
          </cell>
        </row>
        <row r="647">
          <cell r="BO647">
            <v>17500000</v>
          </cell>
        </row>
        <row r="666">
          <cell r="BO666" t="str">
            <v xml:space="preserve"> Alat Baru</v>
          </cell>
        </row>
        <row r="667">
          <cell r="BO667">
            <v>2250000000</v>
          </cell>
        </row>
        <row r="697">
          <cell r="BO697" t="str">
            <v xml:space="preserve"> Alat Baru</v>
          </cell>
        </row>
        <row r="698">
          <cell r="BO698">
            <v>15000000</v>
          </cell>
        </row>
      </sheetData>
      <sheetData sheetId="2">
        <row r="26">
          <cell r="R26" t="str">
            <v xml:space="preserve"> Alat Baru</v>
          </cell>
        </row>
        <row r="27">
          <cell r="R27">
            <v>115000000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0">
          <cell r="H30">
            <v>12781798631.286753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9">
          <cell r="AW9">
            <v>467707.26136056206</v>
          </cell>
        </row>
        <row r="12">
          <cell r="AW12">
            <v>141719.99416040618</v>
          </cell>
        </row>
        <row r="13">
          <cell r="AW13">
            <v>129797.6224252492</v>
          </cell>
        </row>
        <row r="14">
          <cell r="AW14">
            <v>546067.51894643786</v>
          </cell>
        </row>
        <row r="15">
          <cell r="AW15">
            <v>218560.56208522132</v>
          </cell>
        </row>
        <row r="16">
          <cell r="AW16">
            <v>379497.98598497483</v>
          </cell>
        </row>
        <row r="17">
          <cell r="AW17">
            <v>421162.09322059539</v>
          </cell>
        </row>
        <row r="18">
          <cell r="AW18">
            <v>399232.71211119508</v>
          </cell>
        </row>
        <row r="20">
          <cell r="AW20">
            <v>364800.16636393958</v>
          </cell>
        </row>
        <row r="23">
          <cell r="AW23">
            <v>177213.55390979</v>
          </cell>
        </row>
        <row r="24">
          <cell r="AW24">
            <v>319006.52024057799</v>
          </cell>
        </row>
        <row r="30">
          <cell r="AW30">
            <v>206606.7081541408</v>
          </cell>
        </row>
        <row r="34">
          <cell r="AW34">
            <v>1146374.1555954497</v>
          </cell>
        </row>
        <row r="36">
          <cell r="AW36">
            <v>425535.28258158843</v>
          </cell>
        </row>
        <row r="38">
          <cell r="AW38">
            <v>396670.51937153604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8">
          <cell r="D8" t="str">
            <v>(L01)</v>
          </cell>
          <cell r="E8" t="str">
            <v>Jam</v>
          </cell>
          <cell r="F8">
            <v>9285.7142857142862</v>
          </cell>
        </row>
        <row r="9">
          <cell r="D9" t="str">
            <v>(L02)</v>
          </cell>
          <cell r="E9" t="str">
            <v>Jam</v>
          </cell>
          <cell r="F9">
            <v>11428.571428571429</v>
          </cell>
        </row>
        <row r="10">
          <cell r="D10" t="str">
            <v>(L03)</v>
          </cell>
          <cell r="E10" t="str">
            <v>Jam</v>
          </cell>
          <cell r="F10">
            <v>12857.142857142857</v>
          </cell>
        </row>
        <row r="11">
          <cell r="D11" t="str">
            <v>(L04)</v>
          </cell>
          <cell r="E11" t="str">
            <v>Jam</v>
          </cell>
          <cell r="F11">
            <v>12857.142857142857</v>
          </cell>
        </row>
        <row r="12">
          <cell r="D12" t="str">
            <v>(L05)</v>
          </cell>
          <cell r="E12" t="str">
            <v>Jam</v>
          </cell>
          <cell r="F12">
            <v>11428.571428571429</v>
          </cell>
        </row>
        <row r="13">
          <cell r="D13" t="str">
            <v>(L06)</v>
          </cell>
          <cell r="E13" t="str">
            <v>Jam</v>
          </cell>
          <cell r="F13">
            <v>11428.571428571429</v>
          </cell>
        </row>
        <row r="14">
          <cell r="D14" t="str">
            <v>(L07)</v>
          </cell>
          <cell r="E14" t="str">
            <v>Jam</v>
          </cell>
          <cell r="F14">
            <v>11428.571428571429</v>
          </cell>
        </row>
        <row r="15">
          <cell r="D15" t="str">
            <v>(L08)</v>
          </cell>
          <cell r="E15" t="str">
            <v>Jam</v>
          </cell>
          <cell r="F15">
            <v>12857.142857142857</v>
          </cell>
        </row>
        <row r="16">
          <cell r="D16" t="str">
            <v>(L09)</v>
          </cell>
          <cell r="E16" t="str">
            <v>Jam</v>
          </cell>
          <cell r="F16">
            <v>11428.571428571429</v>
          </cell>
        </row>
        <row r="17">
          <cell r="D17" t="str">
            <v>(L10)</v>
          </cell>
          <cell r="E17" t="str">
            <v>Jam</v>
          </cell>
          <cell r="F17">
            <v>12142.857142857143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>
        <row r="3">
          <cell r="B3" t="str">
            <v>REKAPITULASI DAFTAR KUANTITAS DAN HARGA</v>
          </cell>
        </row>
        <row r="5">
          <cell r="B5" t="str">
            <v xml:space="preserve"> KEGIATAN</v>
          </cell>
          <cell r="D5" t="str">
            <v>: PEMBANGUNAN SARANA &amp; PRASARANA PENDIDIKAN DAN KEBUDAYAAN</v>
          </cell>
        </row>
        <row r="6">
          <cell r="D6" t="str">
            <v xml:space="preserve">  KABUPATEN LUWU UTARA T.A. 2007</v>
          </cell>
        </row>
        <row r="7">
          <cell r="B7" t="str">
            <v xml:space="preserve"> PEKERJAAN</v>
          </cell>
          <cell r="D7" t="str">
            <v>: PEMBANGUNAN ASRAMA MAHASISWA LUWU UTARA</v>
          </cell>
        </row>
        <row r="8">
          <cell r="B8" t="str">
            <v xml:space="preserve"> LOKASI </v>
          </cell>
          <cell r="D8" t="str">
            <v>: KOTA MAKASSAR</v>
          </cell>
        </row>
        <row r="10">
          <cell r="B10" t="str">
            <v>NO.</v>
          </cell>
          <cell r="C10" t="str">
            <v>URAIAN JENIS PEKERJAAN</v>
          </cell>
          <cell r="G10" t="str">
            <v>JUMLAH HARGA</v>
          </cell>
        </row>
        <row r="13">
          <cell r="B13" t="str">
            <v>I</v>
          </cell>
          <cell r="C13" t="str">
            <v xml:space="preserve"> PEKERJAAN PENDAHULUAN</v>
          </cell>
          <cell r="G13">
            <v>2850000</v>
          </cell>
        </row>
        <row r="14">
          <cell r="B14" t="str">
            <v>II</v>
          </cell>
          <cell r="C14" t="str">
            <v xml:space="preserve"> PEKERJAAN TANAH / PASIR</v>
          </cell>
          <cell r="G14">
            <v>12861619.951187501</v>
          </cell>
        </row>
        <row r="15">
          <cell r="B15" t="str">
            <v>III</v>
          </cell>
          <cell r="C15" t="str">
            <v xml:space="preserve"> PEKERJAAN PONDASI, TEMBOK BATU BATA DAN BETON</v>
          </cell>
          <cell r="G15">
            <v>275927213.66568005</v>
          </cell>
        </row>
        <row r="16">
          <cell r="B16" t="str">
            <v>IV</v>
          </cell>
          <cell r="C16" t="str">
            <v>PEKERJAAN PLESTERAN</v>
          </cell>
          <cell r="G16">
            <v>27110072.451280005</v>
          </cell>
        </row>
        <row r="17">
          <cell r="B17" t="str">
            <v>V</v>
          </cell>
          <cell r="C17" t="str">
            <v xml:space="preserve"> PEKERJAAN ATAP / KAP</v>
          </cell>
          <cell r="G17">
            <v>73566197.409200013</v>
          </cell>
        </row>
        <row r="18">
          <cell r="B18" t="str">
            <v>VI</v>
          </cell>
          <cell r="C18" t="str">
            <v xml:space="preserve"> PEKERJAAN PLAFOND DAN RANGKA</v>
          </cell>
          <cell r="G18">
            <v>18250233.080000006</v>
          </cell>
        </row>
        <row r="19">
          <cell r="B19" t="str">
            <v>VII</v>
          </cell>
          <cell r="C19" t="str">
            <v xml:space="preserve"> PEKERJAAN KERAMIK</v>
          </cell>
          <cell r="G19">
            <v>65115931.592</v>
          </cell>
        </row>
        <row r="20">
          <cell r="B20" t="str">
            <v>VIII</v>
          </cell>
          <cell r="C20" t="str">
            <v xml:space="preserve"> PEKERJAAN KUSEN PINTU/JENDELA</v>
          </cell>
          <cell r="G20">
            <v>56644928</v>
          </cell>
        </row>
        <row r="21">
          <cell r="B21" t="str">
            <v>IX</v>
          </cell>
          <cell r="C21" t="str">
            <v>PEKERJAAN KUNCI, ENGSEL, GRENDEL DAN HAK ANGIN</v>
          </cell>
          <cell r="G21">
            <v>28321095</v>
          </cell>
        </row>
        <row r="22">
          <cell r="B22" t="str">
            <v>X</v>
          </cell>
          <cell r="C22" t="str">
            <v>PEKERJAAN LISTRIK</v>
          </cell>
          <cell r="G22">
            <v>21808240</v>
          </cell>
        </row>
        <row r="23">
          <cell r="B23" t="str">
            <v>XI</v>
          </cell>
          <cell r="C23" t="str">
            <v>PEKERJAAN SANITASI / PIPA</v>
          </cell>
          <cell r="G23">
            <v>19970703.007083334</v>
          </cell>
        </row>
        <row r="24">
          <cell r="B24" t="str">
            <v>XII</v>
          </cell>
          <cell r="C24" t="str">
            <v>PEKERJAAN CAT</v>
          </cell>
          <cell r="G24">
            <v>13536949.638959998</v>
          </cell>
        </row>
        <row r="25">
          <cell r="B25" t="str">
            <v>XIII</v>
          </cell>
          <cell r="C25" t="str">
            <v>PEKERJAAN LUAR GEDUNG</v>
          </cell>
          <cell r="G25">
            <v>5319618</v>
          </cell>
        </row>
        <row r="26">
          <cell r="B26" t="str">
            <v>Jumlah Harga Pekejaan A</v>
          </cell>
          <cell r="G26">
            <v>621282801.79539084</v>
          </cell>
        </row>
        <row r="27">
          <cell r="B27" t="str">
            <v>B.</v>
          </cell>
          <cell r="C27" t="str">
            <v>PEMBANGUNAN PAGAR KELILING</v>
          </cell>
        </row>
        <row r="28">
          <cell r="B28" t="str">
            <v>I</v>
          </cell>
          <cell r="C28" t="e">
            <v>#REF!</v>
          </cell>
          <cell r="G28" t="e">
            <v>#REF!</v>
          </cell>
        </row>
        <row r="29">
          <cell r="B29" t="str">
            <v>II</v>
          </cell>
          <cell r="C29" t="e">
            <v>#REF!</v>
          </cell>
          <cell r="G29" t="e">
            <v>#REF!</v>
          </cell>
        </row>
        <row r="30">
          <cell r="B30" t="str">
            <v>III</v>
          </cell>
          <cell r="C30" t="e">
            <v>#REF!</v>
          </cell>
          <cell r="G30" t="e">
            <v>#REF!</v>
          </cell>
        </row>
        <row r="31">
          <cell r="B31" t="str">
            <v>IV</v>
          </cell>
          <cell r="C31" t="e">
            <v>#REF!</v>
          </cell>
          <cell r="G31" t="e">
            <v>#REF!</v>
          </cell>
        </row>
        <row r="32">
          <cell r="B32" t="str">
            <v>Jumlah Harga Pekejaan B</v>
          </cell>
          <cell r="G32" t="e">
            <v>#REF!</v>
          </cell>
        </row>
        <row r="34">
          <cell r="B34" t="str">
            <v>A</v>
          </cell>
          <cell r="C34" t="str">
            <v>Jumlah Harga Pekerjaan  (termasuk biaya umum dan keuntungan)</v>
          </cell>
          <cell r="G34">
            <v>621282801.79539084</v>
          </cell>
        </row>
        <row r="35">
          <cell r="B35" t="str">
            <v>B</v>
          </cell>
          <cell r="C35" t="str">
            <v>Pajak Pertambahan Nilai ( PPN ) = 10% x (A)</v>
          </cell>
          <cell r="G35">
            <v>62128280.179539084</v>
          </cell>
        </row>
        <row r="36">
          <cell r="B36" t="str">
            <v>C</v>
          </cell>
          <cell r="C36" t="str">
            <v>JUMLAH  TOTAL HARGA PEKERJAAN = (A) + (B)</v>
          </cell>
          <cell r="G36">
            <v>683411081.97492993</v>
          </cell>
        </row>
        <row r="37">
          <cell r="B37" t="str">
            <v>D</v>
          </cell>
          <cell r="C37" t="str">
            <v>PEMBULATAN JUMLAH TOTAL HARGA PEKERJAAN</v>
          </cell>
          <cell r="G37">
            <v>683411000</v>
          </cell>
        </row>
        <row r="38">
          <cell r="B38" t="str">
            <v>Terbilang : Enam Ratus Delapan Puluh Tiga Juta Empat Ratus Sebelas Ribu Rupiah</v>
          </cell>
        </row>
        <row r="42">
          <cell r="F42" t="str">
            <v>Masamba,  29  Maret  2007</v>
          </cell>
        </row>
        <row r="43">
          <cell r="B43" t="str">
            <v>Diperiksa,</v>
          </cell>
        </row>
        <row r="44">
          <cell r="B44" t="str">
            <v>P P T K</v>
          </cell>
          <cell r="F44" t="str">
            <v>CV. TIDAR  JAYA</v>
          </cell>
        </row>
        <row r="50">
          <cell r="B50" t="str">
            <v>HAERUDDIN, SH</v>
          </cell>
          <cell r="F50" t="str">
            <v>Ir. MUH. SOFYAN KASO</v>
          </cell>
        </row>
        <row r="51">
          <cell r="B51" t="str">
            <v>Nip. 580 055 929</v>
          </cell>
          <cell r="F51" t="str">
            <v>Direktur</v>
          </cell>
        </row>
        <row r="52">
          <cell r="B52" t="str">
            <v>Nip. 010 170 081</v>
          </cell>
          <cell r="F52" t="str">
            <v>Nip : 010 247 987</v>
          </cell>
        </row>
      </sheetData>
      <sheetData sheetId="1"/>
      <sheetData sheetId="2"/>
      <sheetData sheetId="3">
        <row r="16">
          <cell r="F16">
            <v>30000</v>
          </cell>
        </row>
        <row r="34">
          <cell r="F34">
            <v>70000</v>
          </cell>
        </row>
        <row r="37">
          <cell r="F37">
            <v>2500</v>
          </cell>
        </row>
        <row r="52">
          <cell r="F52">
            <v>30000</v>
          </cell>
        </row>
        <row r="62">
          <cell r="F62">
            <v>7000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P8" t="str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>
        <row r="57">
          <cell r="H57">
            <v>20050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>
        <row r="465">
          <cell r="M465">
            <v>156656.25</v>
          </cell>
        </row>
        <row r="511">
          <cell r="M511">
            <v>30690</v>
          </cell>
        </row>
        <row r="545">
          <cell r="M545">
            <v>16657.5</v>
          </cell>
        </row>
      </sheetData>
      <sheetData sheetId="5">
        <row r="8">
          <cell r="N8">
            <v>112500</v>
          </cell>
        </row>
        <row r="9">
          <cell r="N9">
            <v>270000</v>
          </cell>
        </row>
        <row r="14">
          <cell r="N14">
            <v>87000</v>
          </cell>
        </row>
        <row r="15">
          <cell r="N15">
            <v>112500</v>
          </cell>
        </row>
        <row r="16">
          <cell r="N16">
            <v>150000</v>
          </cell>
        </row>
        <row r="17">
          <cell r="N17">
            <v>87000</v>
          </cell>
        </row>
        <row r="20">
          <cell r="N20">
            <v>15000</v>
          </cell>
        </row>
        <row r="23">
          <cell r="N23">
            <v>550</v>
          </cell>
        </row>
        <row r="26">
          <cell r="N26">
            <v>11000000</v>
          </cell>
        </row>
        <row r="30">
          <cell r="N30">
            <v>4500000</v>
          </cell>
        </row>
        <row r="31">
          <cell r="N31">
            <v>5000000</v>
          </cell>
        </row>
        <row r="33">
          <cell r="N33">
            <v>2625000</v>
          </cell>
        </row>
        <row r="70">
          <cell r="N70">
            <v>10500</v>
          </cell>
        </row>
        <row r="88">
          <cell r="N88">
            <v>18750</v>
          </cell>
        </row>
        <row r="99">
          <cell r="N99">
            <v>23750</v>
          </cell>
        </row>
        <row r="100">
          <cell r="N100">
            <v>13750</v>
          </cell>
        </row>
        <row r="108">
          <cell r="N108">
            <v>2000</v>
          </cell>
        </row>
        <row r="122">
          <cell r="N122">
            <v>60000</v>
          </cell>
        </row>
        <row r="146">
          <cell r="N146">
            <v>150000</v>
          </cell>
        </row>
        <row r="154">
          <cell r="N154">
            <v>25000</v>
          </cell>
        </row>
        <row r="155">
          <cell r="N155">
            <v>20000</v>
          </cell>
        </row>
        <row r="157">
          <cell r="N157">
            <v>15000</v>
          </cell>
        </row>
        <row r="158">
          <cell r="N158">
            <v>14500</v>
          </cell>
        </row>
        <row r="165">
          <cell r="N165">
            <v>176500</v>
          </cell>
        </row>
        <row r="166">
          <cell r="N166">
            <v>400000</v>
          </cell>
        </row>
        <row r="169">
          <cell r="N169">
            <v>20000</v>
          </cell>
        </row>
        <row r="178">
          <cell r="N178">
            <v>80000</v>
          </cell>
        </row>
        <row r="179">
          <cell r="N179">
            <v>93000</v>
          </cell>
        </row>
        <row r="180">
          <cell r="N180">
            <v>22500</v>
          </cell>
        </row>
        <row r="181">
          <cell r="N181">
            <v>10000</v>
          </cell>
        </row>
        <row r="186">
          <cell r="N186">
            <v>15000</v>
          </cell>
        </row>
        <row r="189">
          <cell r="N189">
            <v>31500</v>
          </cell>
        </row>
        <row r="195">
          <cell r="N195">
            <v>25000</v>
          </cell>
        </row>
        <row r="200">
          <cell r="N200">
            <v>8000</v>
          </cell>
        </row>
        <row r="212">
          <cell r="N212">
            <v>13000</v>
          </cell>
        </row>
        <row r="213">
          <cell r="N213">
            <v>17000</v>
          </cell>
        </row>
        <row r="223">
          <cell r="N223">
            <v>210000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6">
          <cell r="B366" t="str">
            <v>Pengaduk beton 125 ltr - 6 HP</v>
          </cell>
        </row>
      </sheetData>
      <sheetData sheetId="9"/>
      <sheetData sheetId="10">
        <row r="5">
          <cell r="E5" t="str">
            <v>E.001</v>
          </cell>
          <cell r="F5">
            <v>700000000</v>
          </cell>
          <cell r="G5">
            <v>0.20483218564643682</v>
          </cell>
          <cell r="H5">
            <v>2.5</v>
          </cell>
          <cell r="I5">
            <v>8</v>
          </cell>
          <cell r="J5">
            <v>750</v>
          </cell>
          <cell r="K5">
            <v>6000</v>
          </cell>
          <cell r="L5">
            <v>510748.14454058622</v>
          </cell>
          <cell r="M5">
            <v>1276870.3613514656</v>
          </cell>
          <cell r="O5" t="str">
            <v>E.001</v>
          </cell>
          <cell r="P5" t="str">
            <v>Bulldozer</v>
          </cell>
          <cell r="Q5">
            <v>180</v>
          </cell>
          <cell r="R5" t="str">
            <v>HP</v>
          </cell>
          <cell r="S5" t="str">
            <v>UMUR KERJA : 8 Tahun</v>
          </cell>
        </row>
        <row r="6">
          <cell r="E6" t="str">
            <v>E.002</v>
          </cell>
          <cell r="F6">
            <v>950000000</v>
          </cell>
          <cell r="G6">
            <v>0.20483218564643682</v>
          </cell>
          <cell r="H6">
            <v>2.5</v>
          </cell>
          <cell r="I6">
            <v>8</v>
          </cell>
          <cell r="J6">
            <v>750</v>
          </cell>
          <cell r="K6">
            <v>6000</v>
          </cell>
          <cell r="L6">
            <v>578585.44301399391</v>
          </cell>
          <cell r="M6">
            <v>1446463.6075349848</v>
          </cell>
          <cell r="O6" t="str">
            <v>E.002</v>
          </cell>
          <cell r="P6" t="str">
            <v>Excavator</v>
          </cell>
          <cell r="Q6">
            <v>145</v>
          </cell>
          <cell r="R6" t="str">
            <v>HP</v>
          </cell>
          <cell r="S6" t="str">
            <v>UMUR KERJA : 8 Tahun</v>
          </cell>
        </row>
        <row r="7">
          <cell r="E7" t="str">
            <v>E.010</v>
          </cell>
          <cell r="F7">
            <v>660000000</v>
          </cell>
          <cell r="G7">
            <v>0.20483218564643682</v>
          </cell>
          <cell r="H7">
            <v>2.5</v>
          </cell>
          <cell r="I7">
            <v>8</v>
          </cell>
          <cell r="J7">
            <v>750</v>
          </cell>
          <cell r="K7">
            <v>6000</v>
          </cell>
          <cell r="L7">
            <v>453042.98765573744</v>
          </cell>
          <cell r="M7">
            <v>1132607.4691393436</v>
          </cell>
          <cell r="O7" t="str">
            <v>E.010</v>
          </cell>
          <cell r="P7" t="str">
            <v>Motor Grader</v>
          </cell>
          <cell r="Q7">
            <v>145</v>
          </cell>
          <cell r="R7" t="str">
            <v>HP</v>
          </cell>
          <cell r="S7" t="str">
            <v>UMUR KERJA : 8 Tahun</v>
          </cell>
        </row>
        <row r="8">
          <cell r="E8" t="str">
            <v>E.052</v>
          </cell>
          <cell r="F8">
            <v>520000000</v>
          </cell>
          <cell r="G8">
            <v>0.20483218564643682</v>
          </cell>
          <cell r="H8">
            <v>2.5</v>
          </cell>
          <cell r="I8">
            <v>8</v>
          </cell>
          <cell r="J8">
            <v>750</v>
          </cell>
          <cell r="K8">
            <v>6000</v>
          </cell>
          <cell r="L8">
            <v>392436.28506899276</v>
          </cell>
          <cell r="M8">
            <v>981090.7126724819</v>
          </cell>
          <cell r="O8" t="str">
            <v>E.052</v>
          </cell>
          <cell r="P8" t="str">
            <v>Loader Wheeled</v>
          </cell>
          <cell r="Q8">
            <v>145</v>
          </cell>
          <cell r="R8" t="str">
            <v>HP</v>
          </cell>
          <cell r="S8" t="str">
            <v>UMUR KERJA : 8 Tahun</v>
          </cell>
        </row>
        <row r="9">
          <cell r="E9" t="str">
            <v>E.080</v>
          </cell>
          <cell r="F9">
            <v>200000000</v>
          </cell>
          <cell r="G9">
            <v>0.18062178192763814</v>
          </cell>
          <cell r="H9">
            <v>2</v>
          </cell>
          <cell r="I9">
            <v>10</v>
          </cell>
          <cell r="J9">
            <v>600</v>
          </cell>
          <cell r="K9">
            <v>6000</v>
          </cell>
          <cell r="L9">
            <v>197116.87604866421</v>
          </cell>
          <cell r="M9">
            <v>394233.75209732843</v>
          </cell>
          <cell r="O9" t="str">
            <v>E.080</v>
          </cell>
          <cell r="P9" t="str">
            <v>Roller 3 Wheel 8-10 ton</v>
          </cell>
          <cell r="Q9">
            <v>87</v>
          </cell>
          <cell r="R9" t="str">
            <v>HP</v>
          </cell>
          <cell r="S9" t="str">
            <v>UMUR KERJA : 10 Tahun</v>
          </cell>
        </row>
        <row r="10">
          <cell r="E10" t="str">
            <v>E.082</v>
          </cell>
          <cell r="F10">
            <v>325000000</v>
          </cell>
          <cell r="G10">
            <v>0.20483218564643682</v>
          </cell>
          <cell r="H10">
            <v>2.5</v>
          </cell>
          <cell r="I10">
            <v>8</v>
          </cell>
          <cell r="J10">
            <v>750</v>
          </cell>
          <cell r="K10">
            <v>6000</v>
          </cell>
          <cell r="L10">
            <v>267630.85032024811</v>
          </cell>
          <cell r="M10">
            <v>669077.1258006203</v>
          </cell>
          <cell r="O10" t="str">
            <v>E.082</v>
          </cell>
          <cell r="P10" t="str">
            <v>Self Vibrator Roller 10 ton</v>
          </cell>
          <cell r="Q10">
            <v>110</v>
          </cell>
          <cell r="R10" t="str">
            <v>HP</v>
          </cell>
          <cell r="S10" t="str">
            <v>UMUR KERJA : 8 Tahun</v>
          </cell>
        </row>
        <row r="11">
          <cell r="E11" t="str">
            <v>E.084</v>
          </cell>
          <cell r="F11">
            <v>500000000</v>
          </cell>
          <cell r="G11">
            <v>0.18062178192763814</v>
          </cell>
          <cell r="H11">
            <v>2</v>
          </cell>
          <cell r="I11">
            <v>10</v>
          </cell>
          <cell r="J11">
            <v>600</v>
          </cell>
          <cell r="K11">
            <v>6000</v>
          </cell>
          <cell r="L11">
            <v>351430.84361143416</v>
          </cell>
          <cell r="M11">
            <v>702861.68722286832</v>
          </cell>
          <cell r="O11" t="str">
            <v>E.084</v>
          </cell>
          <cell r="P11" t="str">
            <v>Pneumatic Roller 8-15 ton</v>
          </cell>
          <cell r="Q11">
            <v>95</v>
          </cell>
          <cell r="R11" t="str">
            <v>HP</v>
          </cell>
          <cell r="S11" t="str">
            <v>UMUR KERJA : 10 Tahun</v>
          </cell>
        </row>
        <row r="12">
          <cell r="E12" t="str">
            <v>E.087</v>
          </cell>
          <cell r="F12">
            <v>160000000</v>
          </cell>
          <cell r="G12">
            <v>0.24667978105957364</v>
          </cell>
          <cell r="H12">
            <v>3.3333333333333335</v>
          </cell>
          <cell r="I12">
            <v>6</v>
          </cell>
          <cell r="J12">
            <v>1000</v>
          </cell>
          <cell r="K12">
            <v>6000</v>
          </cell>
          <cell r="L12">
            <v>75341.513447688732</v>
          </cell>
          <cell r="M12">
            <v>251138.37815896244</v>
          </cell>
          <cell r="O12" t="str">
            <v>E.087</v>
          </cell>
          <cell r="P12" t="str">
            <v>Vibrator Roller 600 kg</v>
          </cell>
          <cell r="Q12">
            <v>12</v>
          </cell>
          <cell r="R12" t="str">
            <v>HP</v>
          </cell>
          <cell r="S12" t="str">
            <v>UMUR KERJA : 6 Tahun</v>
          </cell>
        </row>
        <row r="13">
          <cell r="E13" t="str">
            <v>E.088</v>
          </cell>
          <cell r="F13">
            <v>15000000</v>
          </cell>
          <cell r="G13">
            <v>0.24667978105957364</v>
          </cell>
          <cell r="H13">
            <v>1.25</v>
          </cell>
          <cell r="I13">
            <v>6</v>
          </cell>
          <cell r="J13">
            <v>375</v>
          </cell>
          <cell r="K13">
            <v>2250</v>
          </cell>
          <cell r="L13">
            <v>19989.348537515867</v>
          </cell>
          <cell r="M13">
            <v>24986.685671894833</v>
          </cell>
          <cell r="O13" t="str">
            <v>E.088</v>
          </cell>
          <cell r="P13" t="str">
            <v>Plate Vibrator Tamper</v>
          </cell>
          <cell r="Q13">
            <v>4</v>
          </cell>
          <cell r="R13" t="str">
            <v>HP</v>
          </cell>
          <cell r="S13" t="str">
            <v>UMUR KERJA : 6 Tahun</v>
          </cell>
        </row>
        <row r="14">
          <cell r="E14" t="str">
            <v>E.089</v>
          </cell>
          <cell r="F14">
            <v>15000000</v>
          </cell>
          <cell r="G14">
            <v>0.28085403903961037</v>
          </cell>
          <cell r="H14">
            <v>1.2</v>
          </cell>
          <cell r="I14">
            <v>5</v>
          </cell>
          <cell r="J14">
            <v>360</v>
          </cell>
          <cell r="K14">
            <v>1800</v>
          </cell>
          <cell r="L14">
            <v>21682.372478952857</v>
          </cell>
          <cell r="M14">
            <v>26018.846974743428</v>
          </cell>
          <cell r="O14" t="str">
            <v>E.089</v>
          </cell>
          <cell r="P14" t="str">
            <v xml:space="preserve">Concrete Vibrator </v>
          </cell>
          <cell r="Q14">
            <v>4</v>
          </cell>
          <cell r="R14" t="str">
            <v>HP</v>
          </cell>
          <cell r="S14" t="str">
            <v>UMUR KERJA : 5 Tahun</v>
          </cell>
        </row>
        <row r="15">
          <cell r="E15" t="str">
            <v>E.154</v>
          </cell>
          <cell r="F15">
            <v>75000000</v>
          </cell>
          <cell r="G15">
            <v>0.24667978105957364</v>
          </cell>
          <cell r="H15">
            <v>3.3333333333333335</v>
          </cell>
          <cell r="I15">
            <v>6</v>
          </cell>
          <cell r="J15">
            <v>1000</v>
          </cell>
          <cell r="K15">
            <v>6000</v>
          </cell>
          <cell r="L15">
            <v>34282.841030889613</v>
          </cell>
          <cell r="M15">
            <v>114276.13676963205</v>
          </cell>
          <cell r="O15" t="str">
            <v>E.154</v>
          </cell>
          <cell r="P15" t="str">
            <v>Asphalt Sprayer Towed 400 L</v>
          </cell>
          <cell r="Q15">
            <v>6</v>
          </cell>
          <cell r="R15" t="str">
            <v>HP</v>
          </cell>
          <cell r="S15" t="str">
            <v>UMUR KERJA : 6 Tahun</v>
          </cell>
        </row>
        <row r="16">
          <cell r="E16" t="str">
            <v>E.155</v>
          </cell>
          <cell r="F16">
            <v>1400000000</v>
          </cell>
          <cell r="G16">
            <v>0.18062178192763814</v>
          </cell>
          <cell r="H16">
            <v>2</v>
          </cell>
          <cell r="I16">
            <v>10</v>
          </cell>
          <cell r="J16">
            <v>600</v>
          </cell>
          <cell r="K16">
            <v>6000</v>
          </cell>
          <cell r="L16">
            <v>813490.01640409546</v>
          </cell>
          <cell r="M16">
            <v>1626980.0328081909</v>
          </cell>
          <cell r="O16" t="str">
            <v>E.155</v>
          </cell>
          <cell r="P16" t="str">
            <v>Asphalt Mixing Plant 30 t / h</v>
          </cell>
          <cell r="Q16">
            <v>150</v>
          </cell>
          <cell r="R16" t="str">
            <v>HP</v>
          </cell>
          <cell r="S16" t="str">
            <v>UMUR KERJA : 10 Tahun</v>
          </cell>
        </row>
        <row r="17">
          <cell r="E17" t="str">
            <v>E.157</v>
          </cell>
          <cell r="F17">
            <v>400000000</v>
          </cell>
          <cell r="G17">
            <v>0.22260307571215759</v>
          </cell>
          <cell r="H17">
            <v>2.8571428571428572</v>
          </cell>
          <cell r="I17">
            <v>7</v>
          </cell>
          <cell r="J17">
            <v>857.14285714285711</v>
          </cell>
          <cell r="K17">
            <v>6000</v>
          </cell>
          <cell r="L17">
            <v>217915.26260978417</v>
          </cell>
          <cell r="M17">
            <v>622615.03602795477</v>
          </cell>
          <cell r="O17" t="str">
            <v>E.157</v>
          </cell>
          <cell r="P17" t="str">
            <v>Asphalt Finisher</v>
          </cell>
          <cell r="Q17">
            <v>60</v>
          </cell>
          <cell r="R17" t="str">
            <v>HP</v>
          </cell>
          <cell r="S17" t="str">
            <v>UMUR KERJA : 7 Tahun</v>
          </cell>
        </row>
        <row r="18">
          <cell r="E18" t="str">
            <v>E.182</v>
          </cell>
          <cell r="F18">
            <v>175000000</v>
          </cell>
          <cell r="G18">
            <v>0.24667978105957364</v>
          </cell>
          <cell r="H18">
            <v>3.3333333333333335</v>
          </cell>
          <cell r="I18">
            <v>6</v>
          </cell>
          <cell r="J18">
            <v>1000</v>
          </cell>
          <cell r="K18">
            <v>6000</v>
          </cell>
          <cell r="L18">
            <v>171862.70787874245</v>
          </cell>
          <cell r="M18">
            <v>572875.69292914157</v>
          </cell>
          <cell r="O18" t="str">
            <v>E.182</v>
          </cell>
          <cell r="P18" t="str">
            <v>Water Tank Truck</v>
          </cell>
          <cell r="Q18">
            <v>115</v>
          </cell>
          <cell r="R18" t="str">
            <v>HP</v>
          </cell>
          <cell r="S18" t="str">
            <v>UMUR KERJA : 6 Tahun</v>
          </cell>
        </row>
        <row r="19">
          <cell r="E19" t="str">
            <v>E.211</v>
          </cell>
          <cell r="F19">
            <v>140000000</v>
          </cell>
          <cell r="G19">
            <v>0.24667978105957364</v>
          </cell>
          <cell r="H19">
            <v>3.3333333333333335</v>
          </cell>
          <cell r="I19">
            <v>6</v>
          </cell>
          <cell r="J19">
            <v>1000</v>
          </cell>
          <cell r="K19">
            <v>6000</v>
          </cell>
          <cell r="L19">
            <v>158410.92352299395</v>
          </cell>
          <cell r="M19">
            <v>528036.41174331319</v>
          </cell>
          <cell r="O19" t="str">
            <v>E.211</v>
          </cell>
          <cell r="P19" t="str">
            <v>Dump Truck, 3,5 ton</v>
          </cell>
          <cell r="Q19">
            <v>115</v>
          </cell>
          <cell r="R19" t="str">
            <v>HP</v>
          </cell>
          <cell r="S19" t="str">
            <v>UMUR KERJA : 6 Tahun</v>
          </cell>
        </row>
        <row r="20">
          <cell r="E20" t="str">
            <v>E.212</v>
          </cell>
          <cell r="F20">
            <v>175000000</v>
          </cell>
          <cell r="G20">
            <v>0.24667978105957364</v>
          </cell>
          <cell r="H20">
            <v>3.3333333333333335</v>
          </cell>
          <cell r="I20">
            <v>6</v>
          </cell>
          <cell r="J20">
            <v>1000</v>
          </cell>
          <cell r="K20">
            <v>6000</v>
          </cell>
          <cell r="L20">
            <v>199150.65207874242</v>
          </cell>
          <cell r="M20">
            <v>663835.50692914147</v>
          </cell>
          <cell r="O20" t="str">
            <v>E.212</v>
          </cell>
          <cell r="P20" t="str">
            <v>Dump Truck, 5,0 ton</v>
          </cell>
          <cell r="Q20">
            <v>145</v>
          </cell>
          <cell r="R20" t="str">
            <v>HP</v>
          </cell>
          <cell r="S20" t="str">
            <v>UMUR KERJA : 6 Tahun</v>
          </cell>
        </row>
        <row r="21">
          <cell r="E21" t="str">
            <v>E.221</v>
          </cell>
          <cell r="F21">
            <v>150000000</v>
          </cell>
          <cell r="G21">
            <v>0.24667978105957364</v>
          </cell>
          <cell r="H21">
            <v>3.3333333333333335</v>
          </cell>
          <cell r="I21">
            <v>6</v>
          </cell>
          <cell r="J21">
            <v>1000</v>
          </cell>
          <cell r="K21">
            <v>6000</v>
          </cell>
          <cell r="L21">
            <v>162254.29048177923</v>
          </cell>
          <cell r="M21">
            <v>540847.63493926416</v>
          </cell>
          <cell r="O21" t="str">
            <v>E.221</v>
          </cell>
          <cell r="P21" t="str">
            <v>Flat Bed Truck 4,0 ton</v>
          </cell>
          <cell r="Q21">
            <v>115</v>
          </cell>
          <cell r="R21" t="str">
            <v>HP</v>
          </cell>
          <cell r="S21" t="str">
            <v>UMUR KERJA : 6 Tahun</v>
          </cell>
        </row>
        <row r="22">
          <cell r="E22" t="str">
            <v>E.251</v>
          </cell>
          <cell r="F22">
            <v>10000000</v>
          </cell>
          <cell r="G22">
            <v>0.28085403903961037</v>
          </cell>
          <cell r="H22">
            <v>3</v>
          </cell>
          <cell r="I22">
            <v>5</v>
          </cell>
          <cell r="J22">
            <v>900</v>
          </cell>
          <cell r="K22">
            <v>4500</v>
          </cell>
          <cell r="L22">
            <v>10269.31681838743</v>
          </cell>
          <cell r="M22">
            <v>30807.950455162289</v>
          </cell>
          <cell r="O22" t="str">
            <v>E.251</v>
          </cell>
          <cell r="P22" t="str">
            <v>Concrete Mixer 0,125 m3</v>
          </cell>
          <cell r="Q22">
            <v>6</v>
          </cell>
          <cell r="R22" t="str">
            <v>HP</v>
          </cell>
          <cell r="S22" t="str">
            <v>UMUR KERJA : 5 Tahun</v>
          </cell>
        </row>
        <row r="23">
          <cell r="E23" t="str">
            <v>E.252</v>
          </cell>
          <cell r="F23">
            <v>15000000</v>
          </cell>
          <cell r="G23">
            <v>0.28085403903961037</v>
          </cell>
          <cell r="H23">
            <v>3</v>
          </cell>
          <cell r="I23">
            <v>5</v>
          </cell>
          <cell r="J23">
            <v>900</v>
          </cell>
          <cell r="K23">
            <v>4500</v>
          </cell>
          <cell r="L23">
            <v>16313.573367581144</v>
          </cell>
          <cell r="M23">
            <v>48940.720102743435</v>
          </cell>
          <cell r="O23" t="str">
            <v>E.252</v>
          </cell>
          <cell r="P23" t="str">
            <v>Concrete Mixer 0,25 m3</v>
          </cell>
          <cell r="Q23">
            <v>10</v>
          </cell>
          <cell r="R23" t="str">
            <v>HP</v>
          </cell>
          <cell r="S23" t="str">
            <v>UMUR KERJA : 5 Tahun</v>
          </cell>
        </row>
        <row r="24">
          <cell r="E24" t="str">
            <v>E.301</v>
          </cell>
          <cell r="F24">
            <v>35000000</v>
          </cell>
          <cell r="G24">
            <v>0.20483218564643682</v>
          </cell>
          <cell r="H24">
            <v>1.5625</v>
          </cell>
          <cell r="I24">
            <v>8</v>
          </cell>
          <cell r="J24">
            <v>468.75</v>
          </cell>
          <cell r="K24">
            <v>3750</v>
          </cell>
          <cell r="L24">
            <v>56078.615934697838</v>
          </cell>
          <cell r="M24">
            <v>87622.83739796537</v>
          </cell>
          <cell r="O24" t="str">
            <v>E.301</v>
          </cell>
          <cell r="P24" t="str">
            <v>Compresor, Air 150 m3</v>
          </cell>
          <cell r="Q24">
            <v>35</v>
          </cell>
          <cell r="R24" t="str">
            <v>HP</v>
          </cell>
          <cell r="S24" t="str">
            <v>UMUR KERJA : 8 Tahun</v>
          </cell>
        </row>
        <row r="25">
          <cell r="E25" t="str">
            <v>E.341</v>
          </cell>
          <cell r="F25">
            <v>21000000</v>
          </cell>
          <cell r="G25">
            <v>0.3327079107505071</v>
          </cell>
          <cell r="H25">
            <v>1.875</v>
          </cell>
          <cell r="I25">
            <v>4</v>
          </cell>
          <cell r="J25">
            <v>562.5</v>
          </cell>
          <cell r="K25">
            <v>2250</v>
          </cell>
          <cell r="L25">
            <v>26203.978629127785</v>
          </cell>
          <cell r="M25">
            <v>49132.459929614597</v>
          </cell>
          <cell r="O25" t="str">
            <v>E.341</v>
          </cell>
          <cell r="P25" t="str">
            <v>Water Pump ( Ø 5 cm)</v>
          </cell>
          <cell r="Q25">
            <v>8</v>
          </cell>
          <cell r="R25" t="str">
            <v>HP</v>
          </cell>
          <cell r="S25" t="str">
            <v>UMUR KERJA : 4 Tahun</v>
          </cell>
        </row>
        <row r="26">
          <cell r="E26" t="str">
            <v>E.342</v>
          </cell>
          <cell r="F26">
            <v>12000000</v>
          </cell>
          <cell r="G26">
            <v>0.3327079107505071</v>
          </cell>
          <cell r="H26">
            <v>2.5</v>
          </cell>
          <cell r="I26">
            <v>4</v>
          </cell>
          <cell r="J26">
            <v>750</v>
          </cell>
          <cell r="K26">
            <v>3000</v>
          </cell>
          <cell r="L26">
            <v>17207.635761054767</v>
          </cell>
          <cell r="M26">
            <v>43019.089402636921</v>
          </cell>
          <cell r="O26" t="str">
            <v>E.342</v>
          </cell>
          <cell r="P26" t="str">
            <v>Water Pump ( Ø 10 cm)</v>
          </cell>
          <cell r="Q26">
            <v>10</v>
          </cell>
          <cell r="R26" t="str">
            <v>HP</v>
          </cell>
          <cell r="S26" t="str">
            <v>UMUR KERJA : 4 Tahun</v>
          </cell>
        </row>
        <row r="27">
          <cell r="E27" t="str">
            <v>E.351</v>
          </cell>
          <cell r="F27">
            <v>2446000</v>
          </cell>
          <cell r="G27">
            <v>0.28085403903961037</v>
          </cell>
          <cell r="H27">
            <v>2.5</v>
          </cell>
          <cell r="I27">
            <v>5</v>
          </cell>
          <cell r="J27">
            <v>750</v>
          </cell>
          <cell r="K27">
            <v>3750</v>
          </cell>
          <cell r="L27">
            <v>1412.3383962162779</v>
          </cell>
          <cell r="M27">
            <v>3530.8459905406949</v>
          </cell>
          <cell r="O27" t="str">
            <v>E.351</v>
          </cell>
          <cell r="P27" t="str">
            <v>Jackhamer, Equipment, etc.</v>
          </cell>
          <cell r="Q27">
            <v>0</v>
          </cell>
          <cell r="R27" t="str">
            <v>HP</v>
          </cell>
          <cell r="S27" t="str">
            <v>UMUR KERJA : 5 Tahun</v>
          </cell>
        </row>
        <row r="28">
          <cell r="E28" t="str">
            <v>E.401</v>
          </cell>
          <cell r="F28">
            <v>20452000</v>
          </cell>
          <cell r="G28">
            <v>0.28085403903961037</v>
          </cell>
          <cell r="H28">
            <v>2</v>
          </cell>
          <cell r="I28">
            <v>5</v>
          </cell>
          <cell r="J28">
            <v>600</v>
          </cell>
          <cell r="K28">
            <v>3000</v>
          </cell>
          <cell r="L28">
            <v>14761.419092096952</v>
          </cell>
          <cell r="M28">
            <v>29522.838184193904</v>
          </cell>
          <cell r="O28" t="str">
            <v>E.401</v>
          </cell>
          <cell r="P28" t="str">
            <v>Tractor Equipment, etc.</v>
          </cell>
          <cell r="Q28">
            <v>0</v>
          </cell>
          <cell r="R28" t="str">
            <v>HP</v>
          </cell>
          <cell r="S28" t="str">
            <v>UMUR KERJA : 5 Tahun</v>
          </cell>
        </row>
      </sheetData>
      <sheetData sheetId="11"/>
      <sheetData sheetId="12"/>
      <sheetData sheetId="13"/>
      <sheetData sheetId="14">
        <row r="6">
          <cell r="F6" t="str">
            <v>M.010</v>
          </cell>
          <cell r="G6">
            <v>55000</v>
          </cell>
          <cell r="H6">
            <v>70</v>
          </cell>
          <cell r="I6">
            <v>3224.8612299105816</v>
          </cell>
          <cell r="J6">
            <v>277932.88323280332</v>
          </cell>
        </row>
        <row r="7">
          <cell r="F7" t="str">
            <v>M.011</v>
          </cell>
          <cell r="G7">
            <v>65000</v>
          </cell>
          <cell r="H7">
            <v>70</v>
          </cell>
          <cell r="I7">
            <v>3173.8635885514946</v>
          </cell>
          <cell r="J7">
            <v>284298.7466866186</v>
          </cell>
        </row>
        <row r="8">
          <cell r="F8" t="str">
            <v>M.012</v>
          </cell>
          <cell r="G8">
            <v>50000</v>
          </cell>
          <cell r="H8">
            <v>70</v>
          </cell>
          <cell r="I8">
            <v>3173.8635885514946</v>
          </cell>
          <cell r="J8">
            <v>269448.7466866186</v>
          </cell>
        </row>
        <row r="9">
          <cell r="F9" t="str">
            <v>M.022</v>
          </cell>
          <cell r="G9">
            <v>200000</v>
          </cell>
          <cell r="H9">
            <v>70</v>
          </cell>
          <cell r="I9">
            <v>3173.8635885514946</v>
          </cell>
          <cell r="J9">
            <v>417948.7466866186</v>
          </cell>
        </row>
        <row r="10">
          <cell r="F10" t="str">
            <v>M.023</v>
          </cell>
          <cell r="G10">
            <v>200000</v>
          </cell>
          <cell r="H10">
            <v>70</v>
          </cell>
          <cell r="I10">
            <v>3173.8635885514946</v>
          </cell>
          <cell r="J10">
            <v>417948.7466866186</v>
          </cell>
        </row>
        <row r="11">
          <cell r="F11" t="str">
            <v>M.024</v>
          </cell>
          <cell r="G11">
            <v>200000</v>
          </cell>
          <cell r="H11">
            <v>70</v>
          </cell>
          <cell r="I11">
            <v>3173.8635885514946</v>
          </cell>
          <cell r="J11">
            <v>417948.7466866186</v>
          </cell>
        </row>
        <row r="12">
          <cell r="F12" t="str">
            <v>M.025</v>
          </cell>
          <cell r="G12">
            <v>200000</v>
          </cell>
          <cell r="H12">
            <v>70</v>
          </cell>
          <cell r="I12">
            <v>3173.8635885514946</v>
          </cell>
          <cell r="J12">
            <v>417948.7466866186</v>
          </cell>
        </row>
        <row r="13">
          <cell r="F13" t="str">
            <v>M.026</v>
          </cell>
          <cell r="G13">
            <v>200000</v>
          </cell>
          <cell r="H13">
            <v>70</v>
          </cell>
          <cell r="I13">
            <v>3173.8635885514946</v>
          </cell>
          <cell r="J13">
            <v>417948.7466866186</v>
          </cell>
        </row>
        <row r="14">
          <cell r="F14" t="str">
            <v>M.026</v>
          </cell>
          <cell r="G14">
            <v>200000</v>
          </cell>
          <cell r="H14">
            <v>70</v>
          </cell>
          <cell r="I14">
            <v>3173.8635885514946</v>
          </cell>
          <cell r="J14">
            <v>417948.7466866186</v>
          </cell>
        </row>
        <row r="15">
          <cell r="F15" t="str">
            <v>M.031</v>
          </cell>
          <cell r="G15">
            <v>110000</v>
          </cell>
          <cell r="H15">
            <v>5</v>
          </cell>
          <cell r="I15">
            <v>2245.0387519440183</v>
          </cell>
          <cell r="J15">
            <v>120012.94182212288</v>
          </cell>
        </row>
        <row r="16">
          <cell r="F16" t="str">
            <v>M.033</v>
          </cell>
          <cell r="G16">
            <v>150000</v>
          </cell>
          <cell r="H16">
            <v>5</v>
          </cell>
          <cell r="I16">
            <v>2245.0387519440183</v>
          </cell>
          <cell r="J16">
            <v>159612.9418221229</v>
          </cell>
        </row>
        <row r="17">
          <cell r="F17" t="str">
            <v>M.035</v>
          </cell>
          <cell r="G17">
            <v>160000</v>
          </cell>
          <cell r="H17">
            <v>5</v>
          </cell>
          <cell r="I17">
            <v>2245.0387519440183</v>
          </cell>
          <cell r="J17">
            <v>169512.9418221229</v>
          </cell>
        </row>
        <row r="18">
          <cell r="F18" t="str">
            <v>M.040</v>
          </cell>
          <cell r="G18">
            <v>35000</v>
          </cell>
          <cell r="H18">
            <v>5</v>
          </cell>
          <cell r="I18">
            <v>3173.8635885514946</v>
          </cell>
          <cell r="J18">
            <v>50360.624763329899</v>
          </cell>
        </row>
        <row r="19">
          <cell r="F19" t="str">
            <v>M.041</v>
          </cell>
          <cell r="G19">
            <v>85000</v>
          </cell>
          <cell r="H19">
            <v>70</v>
          </cell>
          <cell r="I19">
            <v>3173.8635885514946</v>
          </cell>
          <cell r="J19">
            <v>304098.7466866186</v>
          </cell>
        </row>
        <row r="20">
          <cell r="F20" t="str">
            <v>M.042</v>
          </cell>
          <cell r="G20">
            <v>100000</v>
          </cell>
          <cell r="H20">
            <v>70</v>
          </cell>
          <cell r="I20">
            <v>3173.8635885514946</v>
          </cell>
          <cell r="J20">
            <v>318948.7466866186</v>
          </cell>
        </row>
        <row r="21">
          <cell r="F21" t="str">
            <v>M.050</v>
          </cell>
          <cell r="G21">
            <v>25000</v>
          </cell>
          <cell r="H21">
            <v>5</v>
          </cell>
          <cell r="I21">
            <v>3173.8635885514946</v>
          </cell>
          <cell r="J21">
            <v>40460.624763329899</v>
          </cell>
        </row>
        <row r="22">
          <cell r="F22" t="str">
            <v>M.061</v>
          </cell>
          <cell r="G22">
            <v>6500</v>
          </cell>
          <cell r="H22">
            <v>20</v>
          </cell>
          <cell r="I22">
            <v>4.9424705815234917</v>
          </cell>
          <cell r="J22">
            <v>6532.8609175141655</v>
          </cell>
        </row>
        <row r="23">
          <cell r="F23" t="str">
            <v>M.062</v>
          </cell>
          <cell r="G23">
            <v>3000000</v>
          </cell>
          <cell r="H23">
            <v>10</v>
          </cell>
          <cell r="I23">
            <v>4942.470581523492</v>
          </cell>
          <cell r="J23">
            <v>3018930.4587570829</v>
          </cell>
        </row>
        <row r="24">
          <cell r="F24" t="str">
            <v>M.063</v>
          </cell>
          <cell r="G24">
            <v>16250</v>
          </cell>
          <cell r="H24">
            <v>5</v>
          </cell>
          <cell r="I24">
            <v>13.162797862377271</v>
          </cell>
          <cell r="J24">
            <v>16152.655849418767</v>
          </cell>
        </row>
        <row r="25">
          <cell r="F25" t="str">
            <v>M.065</v>
          </cell>
          <cell r="G25">
            <v>2500</v>
          </cell>
          <cell r="H25">
            <v>5</v>
          </cell>
          <cell r="I25">
            <v>13.162797862377271</v>
          </cell>
          <cell r="J25">
            <v>2540.1558494187675</v>
          </cell>
        </row>
        <row r="26">
          <cell r="F26" t="str">
            <v>M.070</v>
          </cell>
          <cell r="G26">
            <v>30000</v>
          </cell>
          <cell r="H26">
            <v>5</v>
          </cell>
          <cell r="I26">
            <v>3224.8612299105816</v>
          </cell>
          <cell r="J26">
            <v>45663.063088057381</v>
          </cell>
        </row>
        <row r="27">
          <cell r="F27" t="str">
            <v>M.080</v>
          </cell>
          <cell r="G27">
            <v>42500</v>
          </cell>
          <cell r="H27">
            <v>5</v>
          </cell>
          <cell r="I27">
            <v>553.46285637947688</v>
          </cell>
          <cell r="J27">
            <v>44814.641139078412</v>
          </cell>
        </row>
        <row r="28">
          <cell r="F28" t="str">
            <v>M.081</v>
          </cell>
          <cell r="G28">
            <v>180000</v>
          </cell>
          <cell r="H28">
            <v>5</v>
          </cell>
          <cell r="I28">
            <v>2245.0387519440183</v>
          </cell>
          <cell r="J28">
            <v>189312.9418221229</v>
          </cell>
        </row>
        <row r="29">
          <cell r="F29" t="str">
            <v>M.090</v>
          </cell>
          <cell r="G29">
            <v>60000</v>
          </cell>
          <cell r="H29">
            <v>5</v>
          </cell>
          <cell r="I29">
            <v>4.9424705815234917</v>
          </cell>
          <cell r="J29">
            <v>59424.46522937854</v>
          </cell>
        </row>
        <row r="30">
          <cell r="F30" t="str">
            <v>M.091</v>
          </cell>
          <cell r="G30">
            <v>48000</v>
          </cell>
          <cell r="H30">
            <v>5</v>
          </cell>
          <cell r="I30">
            <v>4.9424705815234917</v>
          </cell>
          <cell r="J30">
            <v>47544.46522937854</v>
          </cell>
        </row>
        <row r="31">
          <cell r="F31" t="str">
            <v>M.164</v>
          </cell>
          <cell r="G31">
            <v>18750</v>
          </cell>
          <cell r="H31">
            <v>5</v>
          </cell>
          <cell r="I31">
            <v>4.9424705815234917</v>
          </cell>
          <cell r="J31">
            <v>18586.96522937854</v>
          </cell>
        </row>
        <row r="32">
          <cell r="F32" t="str">
            <v>M.165</v>
          </cell>
          <cell r="G32">
            <v>15000</v>
          </cell>
          <cell r="H32">
            <v>7</v>
          </cell>
          <cell r="I32">
            <v>4.9424705815234917</v>
          </cell>
          <cell r="J32">
            <v>14884.251321129959</v>
          </cell>
        </row>
        <row r="33">
          <cell r="F33" t="str">
            <v>M.166</v>
          </cell>
          <cell r="G33">
            <v>16500</v>
          </cell>
          <cell r="H33">
            <v>7</v>
          </cell>
          <cell r="I33">
            <v>4.9424705815234917</v>
          </cell>
          <cell r="J33">
            <v>16369.251321129957</v>
          </cell>
        </row>
        <row r="34">
          <cell r="F34" t="str">
            <v>M.166a</v>
          </cell>
          <cell r="G34">
            <v>13750</v>
          </cell>
          <cell r="H34">
            <v>5</v>
          </cell>
          <cell r="I34">
            <v>4.9424705815234917</v>
          </cell>
          <cell r="J34">
            <v>13636.965229378542</v>
          </cell>
        </row>
        <row r="35">
          <cell r="F35" t="str">
            <v>M.167</v>
          </cell>
          <cell r="G35">
            <v>11000</v>
          </cell>
          <cell r="H35">
            <v>5</v>
          </cell>
          <cell r="I35">
            <v>4.9424705815234917</v>
          </cell>
          <cell r="J35">
            <v>10914.465229378542</v>
          </cell>
        </row>
        <row r="36">
          <cell r="F36" t="str">
            <v>M.167</v>
          </cell>
          <cell r="G36">
            <v>13500</v>
          </cell>
          <cell r="H36">
            <v>5</v>
          </cell>
          <cell r="I36">
            <v>4.9424705815234917</v>
          </cell>
          <cell r="J36">
            <v>13389.465229378542</v>
          </cell>
        </row>
        <row r="37">
          <cell r="F37" t="str">
            <v>M.168</v>
          </cell>
          <cell r="G37">
            <v>12500</v>
          </cell>
          <cell r="H37">
            <v>5</v>
          </cell>
          <cell r="I37">
            <v>4.9424705815234917</v>
          </cell>
          <cell r="J37">
            <v>12399.465229378542</v>
          </cell>
        </row>
        <row r="38">
          <cell r="F38" t="str">
            <v>M.170</v>
          </cell>
          <cell r="G38">
            <v>60000</v>
          </cell>
          <cell r="H38">
            <v>70</v>
          </cell>
          <cell r="I38">
            <v>4.9424705815234917</v>
          </cell>
          <cell r="J38">
            <v>59742.513211299578</v>
          </cell>
        </row>
        <row r="39">
          <cell r="F39" t="str">
            <v>M.180</v>
          </cell>
          <cell r="G39">
            <v>1000000</v>
          </cell>
          <cell r="H39">
            <v>5</v>
          </cell>
          <cell r="I39">
            <v>3992.0319012001187</v>
          </cell>
          <cell r="J39">
            <v>1009760.5579109406</v>
          </cell>
        </row>
        <row r="40">
          <cell r="F40" t="str">
            <v>M.180a</v>
          </cell>
          <cell r="G40">
            <v>10000</v>
          </cell>
          <cell r="H40">
            <v>5</v>
          </cell>
          <cell r="I40">
            <v>50.355614548213623</v>
          </cell>
          <cell r="J40">
            <v>10149.260292013658</v>
          </cell>
        </row>
        <row r="41">
          <cell r="F41" t="str">
            <v>M.181</v>
          </cell>
          <cell r="G41">
            <v>1500000</v>
          </cell>
          <cell r="H41">
            <v>5</v>
          </cell>
          <cell r="I41">
            <v>4279.3194062897683</v>
          </cell>
          <cell r="J41">
            <v>1506182.6310611342</v>
          </cell>
        </row>
        <row r="42">
          <cell r="F42" t="str">
            <v>M.181a</v>
          </cell>
          <cell r="G42">
            <v>2000000</v>
          </cell>
          <cell r="H42">
            <v>5</v>
          </cell>
          <cell r="I42">
            <v>4279.3194062897683</v>
          </cell>
          <cell r="J42">
            <v>2001182.6310611342</v>
          </cell>
        </row>
        <row r="43">
          <cell r="F43" t="str">
            <v>M.183</v>
          </cell>
          <cell r="G43">
            <v>6321</v>
          </cell>
          <cell r="H43">
            <v>5</v>
          </cell>
          <cell r="I43">
            <v>1.25354751566366</v>
          </cell>
          <cell r="J43">
            <v>6263.9950602025356</v>
          </cell>
        </row>
        <row r="44">
          <cell r="F44" t="str">
            <v>M.184</v>
          </cell>
          <cell r="G44">
            <v>6502</v>
          </cell>
          <cell r="H44">
            <v>5</v>
          </cell>
          <cell r="I44">
            <v>1.25354751566366</v>
          </cell>
          <cell r="J44">
            <v>6443.1850602025352</v>
          </cell>
        </row>
        <row r="45">
          <cell r="F45" t="str">
            <v>M.185</v>
          </cell>
          <cell r="G45">
            <v>27500</v>
          </cell>
          <cell r="H45">
            <v>5</v>
          </cell>
          <cell r="I45">
            <v>1.25354751566366</v>
          </cell>
          <cell r="J45">
            <v>27231.205060202534</v>
          </cell>
        </row>
      </sheetData>
      <sheetData sheetId="15">
        <row r="7">
          <cell r="E7" t="str">
            <v>L.061</v>
          </cell>
          <cell r="F7">
            <v>7142.8571428571431</v>
          </cell>
          <cell r="G7">
            <v>50000</v>
          </cell>
        </row>
        <row r="8">
          <cell r="E8" t="str">
            <v>L.072</v>
          </cell>
          <cell r="F8">
            <v>8571.4285714285706</v>
          </cell>
          <cell r="G8">
            <v>60000</v>
          </cell>
        </row>
        <row r="9">
          <cell r="E9" t="str">
            <v>L.073</v>
          </cell>
          <cell r="F9">
            <v>8571.4285714285706</v>
          </cell>
          <cell r="G9">
            <v>60000</v>
          </cell>
        </row>
        <row r="10">
          <cell r="E10" t="str">
            <v>L.079</v>
          </cell>
          <cell r="F10">
            <v>7857.1428571428569</v>
          </cell>
          <cell r="G10">
            <v>55000</v>
          </cell>
        </row>
        <row r="11">
          <cell r="E11" t="str">
            <v>L.081</v>
          </cell>
          <cell r="F11">
            <v>8571.4285714285706</v>
          </cell>
          <cell r="G11">
            <v>60000</v>
          </cell>
        </row>
        <row r="12">
          <cell r="E12" t="str">
            <v>L.082</v>
          </cell>
          <cell r="F12">
            <v>7142.8571428571431</v>
          </cell>
          <cell r="G12">
            <v>50000</v>
          </cell>
        </row>
        <row r="13">
          <cell r="E13" t="str">
            <v>L.083</v>
          </cell>
          <cell r="F13">
            <v>5714.2857142857147</v>
          </cell>
          <cell r="G13">
            <v>40000</v>
          </cell>
        </row>
        <row r="14">
          <cell r="E14" t="str">
            <v>L.091</v>
          </cell>
          <cell r="F14">
            <v>7142.8571428571431</v>
          </cell>
          <cell r="G14">
            <v>50000</v>
          </cell>
        </row>
        <row r="15">
          <cell r="E15" t="str">
            <v>L.099</v>
          </cell>
          <cell r="F15">
            <v>5357.1428571428569</v>
          </cell>
          <cell r="G15">
            <v>37500</v>
          </cell>
        </row>
        <row r="16">
          <cell r="E16" t="str">
            <v>L.101</v>
          </cell>
          <cell r="F16">
            <v>5000</v>
          </cell>
          <cell r="G16">
            <v>35000</v>
          </cell>
        </row>
        <row r="17">
          <cell r="E17" t="str">
            <v>L.103</v>
          </cell>
          <cell r="F17">
            <v>5357.1428571428569</v>
          </cell>
          <cell r="G17">
            <v>37500</v>
          </cell>
        </row>
        <row r="18">
          <cell r="E18" t="str">
            <v>L.106</v>
          </cell>
          <cell r="F18">
            <v>5714.2857142857147</v>
          </cell>
          <cell r="G18">
            <v>40000</v>
          </cell>
        </row>
      </sheetData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C4" t="str">
            <v>Bulldozer 100HP</v>
          </cell>
          <cell r="D4" t="str">
            <v>Per Jam</v>
          </cell>
          <cell r="E4">
            <v>248292.12800000003</v>
          </cell>
        </row>
        <row r="5">
          <cell r="C5" t="str">
            <v>Motor Greder</v>
          </cell>
          <cell r="D5" t="str">
            <v>Per Jam</v>
          </cell>
          <cell r="E5">
            <v>248577.6</v>
          </cell>
        </row>
        <row r="6">
          <cell r="C6" t="str">
            <v>Loader Wheeled</v>
          </cell>
          <cell r="D6" t="str">
            <v>Per Jam</v>
          </cell>
          <cell r="E6">
            <v>250335.76</v>
          </cell>
        </row>
        <row r="7">
          <cell r="C7" t="str">
            <v>Roller Three Wheeled</v>
          </cell>
          <cell r="D7" t="str">
            <v>Per Jam</v>
          </cell>
          <cell r="E7">
            <v>61911.152000000002</v>
          </cell>
        </row>
        <row r="8">
          <cell r="C8" t="str">
            <v>Dumptruck 5 ton</v>
          </cell>
          <cell r="D8" t="str">
            <v>Per Jam</v>
          </cell>
          <cell r="E8">
            <v>213254.47999999998</v>
          </cell>
        </row>
        <row r="9">
          <cell r="C9" t="str">
            <v>Dumptruck 3,5 ton</v>
          </cell>
          <cell r="D9" t="str">
            <v>Per Jam</v>
          </cell>
          <cell r="E9">
            <v>155522.88</v>
          </cell>
        </row>
        <row r="10">
          <cell r="C10" t="str">
            <v>Water Tanker</v>
          </cell>
          <cell r="D10" t="str">
            <v>Per Jam</v>
          </cell>
          <cell r="E10">
            <v>141288.17599999998</v>
          </cell>
        </row>
        <row r="11">
          <cell r="C11" t="str">
            <v>Water Pump</v>
          </cell>
          <cell r="D11" t="str">
            <v>Per Jam</v>
          </cell>
          <cell r="E11">
            <v>31041.728000000003</v>
          </cell>
        </row>
      </sheetData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>
        <row r="552">
          <cell r="J552">
            <v>9437.5</v>
          </cell>
        </row>
        <row r="832">
          <cell r="J832">
            <v>6411.6565211686493</v>
          </cell>
        </row>
        <row r="902">
          <cell r="J902">
            <v>39347</v>
          </cell>
        </row>
        <row r="1042">
          <cell r="J1042">
            <v>182288.79740365112</v>
          </cell>
        </row>
        <row r="1112">
          <cell r="J1112">
            <v>53438.850155888853</v>
          </cell>
        </row>
        <row r="1182">
          <cell r="J1182">
            <v>99998.916217128033</v>
          </cell>
        </row>
        <row r="1198">
          <cell r="I1198">
            <v>10752.5</v>
          </cell>
        </row>
        <row r="1213">
          <cell r="I1213">
            <v>8114.1676840215441</v>
          </cell>
        </row>
        <row r="1320">
          <cell r="J1320">
            <v>55980.658570277425</v>
          </cell>
        </row>
        <row r="2090">
          <cell r="J2090">
            <v>273073.42786310945</v>
          </cell>
        </row>
        <row r="2160">
          <cell r="J2160">
            <v>21468.626832587564</v>
          </cell>
        </row>
        <row r="2300">
          <cell r="J2300">
            <v>15843.707723208241</v>
          </cell>
        </row>
        <row r="3700">
          <cell r="J3700">
            <v>724171.78187766683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>
        <row r="17">
          <cell r="D17" t="str">
            <v>Pekerja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BO26" t="str">
            <v xml:space="preserve"> Alat Baru</v>
          </cell>
        </row>
        <row r="27">
          <cell r="BO27">
            <v>1341125891</v>
          </cell>
        </row>
        <row r="46">
          <cell r="BO46" t="str">
            <v xml:space="preserve"> Alat Baru</v>
          </cell>
        </row>
        <row r="47">
          <cell r="BO47">
            <v>247812175</v>
          </cell>
        </row>
        <row r="66">
          <cell r="BO66" t="str">
            <v xml:space="preserve"> Alat Baru</v>
          </cell>
        </row>
        <row r="67">
          <cell r="BO67">
            <v>55862745</v>
          </cell>
        </row>
        <row r="86">
          <cell r="BO86" t="str">
            <v xml:space="preserve"> Alat Baru</v>
          </cell>
        </row>
        <row r="87">
          <cell r="BO87">
            <v>888028890</v>
          </cell>
        </row>
        <row r="106">
          <cell r="BO106" t="str">
            <v xml:space="preserve"> Alat Baru</v>
          </cell>
        </row>
        <row r="107">
          <cell r="BO107">
            <v>54602683</v>
          </cell>
        </row>
        <row r="126">
          <cell r="BO126" t="str">
            <v xml:space="preserve"> Alat Baru</v>
          </cell>
        </row>
        <row r="127">
          <cell r="BO127">
            <v>117605778</v>
          </cell>
        </row>
        <row r="146">
          <cell r="BO146" t="str">
            <v xml:space="preserve"> Alat Baru</v>
          </cell>
        </row>
        <row r="147">
          <cell r="BO147">
            <v>777038177</v>
          </cell>
        </row>
        <row r="166">
          <cell r="BO166" t="str">
            <v xml:space="preserve"> Alat Baru</v>
          </cell>
        </row>
        <row r="167">
          <cell r="BO167">
            <v>92404540</v>
          </cell>
        </row>
        <row r="186">
          <cell r="BO186" t="str">
            <v xml:space="preserve"> Alat Baru</v>
          </cell>
        </row>
        <row r="187">
          <cell r="BO187">
            <v>285614032</v>
          </cell>
        </row>
        <row r="206">
          <cell r="BO206" t="str">
            <v xml:space="preserve"> Alat Baru</v>
          </cell>
        </row>
        <row r="207">
          <cell r="BO207">
            <v>1404024763</v>
          </cell>
        </row>
        <row r="226">
          <cell r="BO226" t="str">
            <v xml:space="preserve"> Alat Baru</v>
          </cell>
        </row>
        <row r="227">
          <cell r="BO227">
            <v>105005159</v>
          </cell>
        </row>
        <row r="246">
          <cell r="BO246" t="str">
            <v xml:space="preserve"> Alat Baru</v>
          </cell>
        </row>
        <row r="247">
          <cell r="BO247">
            <v>46006191</v>
          </cell>
        </row>
        <row r="266">
          <cell r="BO266" t="str">
            <v xml:space="preserve"> Alat Baru</v>
          </cell>
        </row>
        <row r="267">
          <cell r="BO267">
            <v>1224220842</v>
          </cell>
        </row>
        <row r="286">
          <cell r="BO286" t="str">
            <v xml:space="preserve"> Alat Baru</v>
          </cell>
        </row>
        <row r="287">
          <cell r="BO287">
            <v>504024763</v>
          </cell>
        </row>
        <row r="306">
          <cell r="BO306" t="str">
            <v xml:space="preserve"> Alat Baru</v>
          </cell>
        </row>
        <row r="307">
          <cell r="BO307">
            <v>1099019604</v>
          </cell>
        </row>
        <row r="326">
          <cell r="BO326" t="str">
            <v xml:space="preserve"> Alat Baru</v>
          </cell>
        </row>
        <row r="327">
          <cell r="BO327">
            <v>155407635</v>
          </cell>
        </row>
        <row r="346">
          <cell r="BO346" t="str">
            <v xml:space="preserve"> Alat Baru</v>
          </cell>
        </row>
        <row r="347">
          <cell r="BO347">
            <v>155407635</v>
          </cell>
        </row>
        <row r="366">
          <cell r="BO366" t="str">
            <v xml:space="preserve"> Alat Baru</v>
          </cell>
        </row>
        <row r="367">
          <cell r="BO367">
            <v>176408667</v>
          </cell>
        </row>
        <row r="386">
          <cell r="BO386" t="str">
            <v xml:space="preserve"> Alat Baru</v>
          </cell>
        </row>
        <row r="387">
          <cell r="BO387">
            <v>1297409699</v>
          </cell>
        </row>
        <row r="406">
          <cell r="BO406" t="str">
            <v xml:space="preserve"> Alat Baru</v>
          </cell>
        </row>
        <row r="407">
          <cell r="BO407">
            <v>35854386</v>
          </cell>
        </row>
        <row r="426">
          <cell r="BO426" t="str">
            <v xml:space="preserve"> Alat Baru</v>
          </cell>
        </row>
        <row r="427">
          <cell r="BO427">
            <v>1310989671</v>
          </cell>
        </row>
        <row r="446">
          <cell r="BO446" t="str">
            <v xml:space="preserve"> Alat Baru</v>
          </cell>
        </row>
        <row r="447">
          <cell r="BO447">
            <v>20450464</v>
          </cell>
        </row>
        <row r="466">
          <cell r="BO466" t="str">
            <v xml:space="preserve"> Alat Baru</v>
          </cell>
        </row>
        <row r="467">
          <cell r="BO467">
            <v>105005159</v>
          </cell>
        </row>
        <row r="486">
          <cell r="BO486" t="str">
            <v xml:space="preserve"> Alat Baru</v>
          </cell>
        </row>
        <row r="487">
          <cell r="BO487">
            <v>71403508</v>
          </cell>
        </row>
        <row r="506">
          <cell r="BO506" t="str">
            <v xml:space="preserve"> Alat Baru</v>
          </cell>
        </row>
        <row r="507">
          <cell r="BO507">
            <v>6720330</v>
          </cell>
        </row>
        <row r="526">
          <cell r="BO526" t="str">
            <v xml:space="preserve"> Alat Baru</v>
          </cell>
        </row>
        <row r="527">
          <cell r="BO527">
            <v>27721362</v>
          </cell>
        </row>
        <row r="546">
          <cell r="BO546" t="str">
            <v xml:space="preserve"> Alat Baru</v>
          </cell>
        </row>
        <row r="547">
          <cell r="BO547">
            <v>46000000</v>
          </cell>
        </row>
        <row r="566">
          <cell r="BO566" t="str">
            <v xml:space="preserve"> Alat Baru</v>
          </cell>
        </row>
        <row r="567">
          <cell r="BO567">
            <v>112500000</v>
          </cell>
        </row>
        <row r="586">
          <cell r="BO586" t="str">
            <v xml:space="preserve"> Alat Baru</v>
          </cell>
        </row>
        <row r="587">
          <cell r="BO587">
            <v>166250000</v>
          </cell>
        </row>
        <row r="606">
          <cell r="BO606" t="str">
            <v xml:space="preserve"> Alat Baru</v>
          </cell>
        </row>
        <row r="607">
          <cell r="BO607">
            <v>70000000</v>
          </cell>
        </row>
        <row r="626">
          <cell r="BO626" t="str">
            <v xml:space="preserve"> Alat Baru</v>
          </cell>
        </row>
        <row r="627">
          <cell r="BO627">
            <v>350000000</v>
          </cell>
        </row>
        <row r="646">
          <cell r="BO646" t="str">
            <v xml:space="preserve"> Alat Baru</v>
          </cell>
        </row>
        <row r="647">
          <cell r="BO647">
            <v>17500000</v>
          </cell>
        </row>
        <row r="666">
          <cell r="BO666" t="str">
            <v xml:space="preserve"> Alat Baru</v>
          </cell>
        </row>
        <row r="667">
          <cell r="BO667">
            <v>2250000000</v>
          </cell>
        </row>
        <row r="697">
          <cell r="BO697" t="str">
            <v xml:space="preserve"> Alat Baru</v>
          </cell>
        </row>
        <row r="698">
          <cell r="BO698">
            <v>15000000</v>
          </cell>
        </row>
      </sheetData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3">
          <cell r="I43">
            <v>97.105629050154732</v>
          </cell>
        </row>
      </sheetData>
      <sheetData sheetId="17">
        <row r="43">
          <cell r="I43">
            <v>99.999999999999986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E8" t="str">
            <v>BAHAN BATU, PASIR, CIPPING DAN BATU MERAH</v>
          </cell>
        </row>
        <row r="9">
          <cell r="E9" t="str">
            <v>Batu gunung</v>
          </cell>
        </row>
        <row r="10">
          <cell r="E10" t="str">
            <v>Pasir pasang</v>
          </cell>
        </row>
        <row r="11">
          <cell r="E11" t="str">
            <v>Pasir beton</v>
          </cell>
        </row>
        <row r="12">
          <cell r="E12" t="str">
            <v>Pasir beton (Kg)</v>
          </cell>
        </row>
        <row r="13">
          <cell r="E13" t="str">
            <v>Pasir urug</v>
          </cell>
        </row>
        <row r="14">
          <cell r="E14" t="str">
            <v>split/chipping 2-3 cm</v>
          </cell>
        </row>
        <row r="15">
          <cell r="E15" t="str">
            <v>split/chipping 2-3 cm(Kg)</v>
          </cell>
        </row>
        <row r="16">
          <cell r="E16" t="str">
            <v>Koral beton</v>
          </cell>
        </row>
        <row r="17">
          <cell r="E17" t="str">
            <v>Tanah Timbunan</v>
          </cell>
        </row>
        <row r="18">
          <cell r="E18" t="str">
            <v>Krikil</v>
          </cell>
        </row>
        <row r="19">
          <cell r="E19" t="str">
            <v>Krikil (Kg)</v>
          </cell>
        </row>
        <row r="20">
          <cell r="E20" t="str">
            <v>Tanah urug didatangkan</v>
          </cell>
        </row>
        <row r="21">
          <cell r="E21" t="str">
            <v>Sirtu</v>
          </cell>
        </row>
        <row r="22">
          <cell r="E22" t="str">
            <v>Batu merah</v>
          </cell>
        </row>
        <row r="23">
          <cell r="E23" t="str">
            <v>Batu kali</v>
          </cell>
        </row>
        <row r="24">
          <cell r="E24" t="str">
            <v>Batu belah 15/20</v>
          </cell>
        </row>
        <row r="25">
          <cell r="E25" t="str">
            <v>Batu pecah 5/7</v>
          </cell>
        </row>
        <row r="26">
          <cell r="E26" t="str">
            <v>Kapur Padam</v>
          </cell>
        </row>
        <row r="27">
          <cell r="E27" t="str">
            <v>Tanah Liat</v>
          </cell>
        </row>
        <row r="28">
          <cell r="E28" t="str">
            <v>Ijuk</v>
          </cell>
        </row>
        <row r="29">
          <cell r="E29" t="str">
            <v>Batu granit</v>
          </cell>
        </row>
        <row r="30">
          <cell r="E30" t="str">
            <v>Batu teraso</v>
          </cell>
        </row>
        <row r="31">
          <cell r="E31" t="str">
            <v>Batacote</v>
          </cell>
        </row>
        <row r="32">
          <cell r="E32" t="str">
            <v>Air</v>
          </cell>
        </row>
        <row r="33">
          <cell r="E33" t="str">
            <v>Pasir silika</v>
          </cell>
        </row>
        <row r="34">
          <cell r="E34" t="str">
            <v>Batu apung</v>
          </cell>
        </row>
        <row r="36">
          <cell r="E36" t="str">
            <v>BAHAN SEMEN</v>
          </cell>
        </row>
        <row r="37">
          <cell r="E37" t="str">
            <v>Semen PC 50kg</v>
          </cell>
        </row>
        <row r="38">
          <cell r="E38" t="str">
            <v>Semen PC 50kg (zak)</v>
          </cell>
        </row>
        <row r="39">
          <cell r="E39" t="str">
            <v>PC Warna</v>
          </cell>
        </row>
        <row r="40">
          <cell r="E40" t="str">
            <v>Semen Portland</v>
          </cell>
        </row>
        <row r="41">
          <cell r="E41" t="str">
            <v>Semen PC 40 kg (zak)</v>
          </cell>
        </row>
        <row r="42">
          <cell r="E42" t="str">
            <v>Semen Abu-abu</v>
          </cell>
        </row>
        <row r="43">
          <cell r="E43" t="str">
            <v>Strorox-100</v>
          </cell>
        </row>
        <row r="44">
          <cell r="E44" t="str">
            <v>Rapidrant</v>
          </cell>
        </row>
        <row r="45">
          <cell r="E45" t="str">
            <v>Puzzdith-100 XR</v>
          </cell>
        </row>
        <row r="46">
          <cell r="E46" t="str">
            <v>Semen Nat</v>
          </cell>
        </row>
        <row r="47">
          <cell r="E47" t="str">
            <v>Semen Putih</v>
          </cell>
        </row>
        <row r="48">
          <cell r="E48" t="str">
            <v>Semen Merah</v>
          </cell>
        </row>
        <row r="50">
          <cell r="E50" t="str">
            <v>BAHAN BESI</v>
          </cell>
        </row>
        <row r="51">
          <cell r="E51" t="str">
            <v>Besi beton polos</v>
          </cell>
        </row>
        <row r="52">
          <cell r="E52" t="str">
            <v>Kawat beton</v>
          </cell>
        </row>
        <row r="53">
          <cell r="E53" t="str">
            <v>Paku Biasa 1/2" - 1"</v>
          </cell>
        </row>
        <row r="54">
          <cell r="E54" t="str">
            <v>Paku biasa 2" - 5"</v>
          </cell>
        </row>
        <row r="55">
          <cell r="E55" t="str">
            <v>Paku asbes</v>
          </cell>
        </row>
        <row r="56">
          <cell r="E56" t="str">
            <v>Paku 3 cm</v>
          </cell>
        </row>
        <row r="57">
          <cell r="E57" t="str">
            <v>Paku 6 cm</v>
          </cell>
        </row>
        <row r="58">
          <cell r="E58" t="str">
            <v>Paku 7 cm</v>
          </cell>
        </row>
        <row r="59">
          <cell r="E59" t="str">
            <v>Paku 10 cm</v>
          </cell>
        </row>
        <row r="60">
          <cell r="E60" t="str">
            <v>Paku 12 cm</v>
          </cell>
        </row>
        <row r="61">
          <cell r="E61" t="str">
            <v>Paku 5-7 cm</v>
          </cell>
        </row>
        <row r="62">
          <cell r="E62" t="str">
            <v>Paku 5-10 cm</v>
          </cell>
        </row>
        <row r="63">
          <cell r="E63" t="str">
            <v>Paku 7-10 cm</v>
          </cell>
        </row>
        <row r="64">
          <cell r="E64" t="str">
            <v>Paku beton</v>
          </cell>
        </row>
        <row r="65">
          <cell r="E65" t="str">
            <v>Paku pancing</v>
          </cell>
        </row>
        <row r="66">
          <cell r="E66" t="str">
            <v>Paku tripleks</v>
          </cell>
        </row>
        <row r="67">
          <cell r="E67" t="str">
            <v>Besi plat 2 mm 120 x 240 mm</v>
          </cell>
        </row>
        <row r="68">
          <cell r="E68" t="str">
            <v>Besi plat 3 mm 120 x 240 mm</v>
          </cell>
        </row>
        <row r="69">
          <cell r="E69" t="str">
            <v>Besi plat 10 mm</v>
          </cell>
        </row>
        <row r="70">
          <cell r="E70" t="str">
            <v>Besi strip 30,3 mm</v>
          </cell>
        </row>
        <row r="71">
          <cell r="E71" t="str">
            <v>Besi strip 35,4 mm</v>
          </cell>
        </row>
        <row r="72">
          <cell r="E72" t="str">
            <v>Besi strip 40,6 mm</v>
          </cell>
        </row>
        <row r="73">
          <cell r="E73" t="str">
            <v>Besi strip 50,6 mm</v>
          </cell>
        </row>
        <row r="74">
          <cell r="E74" t="str">
            <v>Besi siku 30.30.3</v>
          </cell>
        </row>
        <row r="75">
          <cell r="E75" t="str">
            <v>Besi siku 40.40.4</v>
          </cell>
        </row>
        <row r="76">
          <cell r="E76" t="str">
            <v>Besi siku 50.50.5</v>
          </cell>
        </row>
        <row r="77">
          <cell r="E77" t="str">
            <v>Besi siku 60.60.6</v>
          </cell>
        </row>
        <row r="78">
          <cell r="E78" t="str">
            <v>Besi siku 70.70.7</v>
          </cell>
        </row>
        <row r="79">
          <cell r="E79" t="str">
            <v>Besi Canal CNP  125 x 50 x 20 x 2,3</v>
          </cell>
        </row>
        <row r="80">
          <cell r="E80" t="str">
            <v>Besi strip</v>
          </cell>
        </row>
        <row r="81">
          <cell r="E81" t="str">
            <v>Besi strip tebal 5 mm</v>
          </cell>
        </row>
        <row r="82">
          <cell r="E82" t="str">
            <v>Besi Hollow 4 x 4</v>
          </cell>
        </row>
        <row r="83">
          <cell r="E83" t="str">
            <v>Kawat Duri</v>
          </cell>
        </row>
        <row r="84">
          <cell r="E84" t="str">
            <v>Pagar kawat jaring</v>
          </cell>
        </row>
        <row r="85">
          <cell r="E85" t="str">
            <v>Besi Angkur Ø8mm</v>
          </cell>
        </row>
        <row r="86">
          <cell r="E86" t="str">
            <v>Paku sekrup 3,5"</v>
          </cell>
        </row>
        <row r="87">
          <cell r="E87" t="str">
            <v xml:space="preserve">Paku sekrup 5 cm </v>
          </cell>
        </row>
        <row r="88">
          <cell r="E88" t="str">
            <v xml:space="preserve">Paku sekrup10 cm </v>
          </cell>
        </row>
        <row r="89">
          <cell r="E89" t="str">
            <v>Jaring kawat baja</v>
          </cell>
        </row>
        <row r="90">
          <cell r="E90" t="str">
            <v>Besi presstressed polos</v>
          </cell>
        </row>
        <row r="91">
          <cell r="E91" t="str">
            <v>Paku hak panjang 15cm</v>
          </cell>
        </row>
        <row r="92">
          <cell r="E92" t="str">
            <v>Kawat besi</v>
          </cell>
        </row>
        <row r="93">
          <cell r="E93" t="str">
            <v>Kawat las</v>
          </cell>
        </row>
        <row r="94">
          <cell r="E94" t="str">
            <v>Besi profil</v>
          </cell>
        </row>
        <row r="95">
          <cell r="E95" t="str">
            <v>Besi baja IWF 300x200</v>
          </cell>
        </row>
        <row r="96">
          <cell r="E96" t="str">
            <v>Besi baja IWF 200x150</v>
          </cell>
        </row>
        <row r="97">
          <cell r="E97" t="str">
            <v>Besi Beton Dia 12 mm</v>
          </cell>
        </row>
        <row r="98">
          <cell r="E98" t="str">
            <v>Besi Beton Dia 16 mm</v>
          </cell>
        </row>
        <row r="99">
          <cell r="E99" t="str">
            <v>Angker baut 19 mm</v>
          </cell>
        </row>
        <row r="100">
          <cell r="E100" t="str">
            <v>Mur Baut 19 mm</v>
          </cell>
        </row>
        <row r="101">
          <cell r="E101" t="str">
            <v>Mur Baut 16 mm</v>
          </cell>
        </row>
        <row r="102">
          <cell r="E102" t="str">
            <v>Mur Baut 12 mm</v>
          </cell>
        </row>
        <row r="103">
          <cell r="E103" t="str">
            <v>Pintu besi baja</v>
          </cell>
        </row>
        <row r="104">
          <cell r="E104" t="str">
            <v>Jendela besi</v>
          </cell>
        </row>
        <row r="105">
          <cell r="E105" t="str">
            <v>Jendela besi tahan api</v>
          </cell>
        </row>
        <row r="106">
          <cell r="E106" t="str">
            <v>Pintu gulung besi</v>
          </cell>
        </row>
        <row r="107">
          <cell r="E107" t="str">
            <v>Pintu lipat</v>
          </cell>
        </row>
        <row r="108">
          <cell r="E108" t="str">
            <v>Pintu sunscreen aluminium</v>
          </cell>
        </row>
        <row r="109">
          <cell r="E109" t="str">
            <v>Rolling door</v>
          </cell>
        </row>
        <row r="110">
          <cell r="E110" t="str">
            <v>Pintu Aluminium</v>
          </cell>
        </row>
        <row r="111">
          <cell r="E111" t="str">
            <v>Venetions blinds</v>
          </cell>
        </row>
        <row r="112">
          <cell r="E112" t="str">
            <v>Vertikals blinds</v>
          </cell>
        </row>
        <row r="113">
          <cell r="E113" t="str">
            <v>Besi strips 2x3</v>
          </cell>
        </row>
        <row r="114">
          <cell r="E114" t="str">
            <v>Kawat nyamuk</v>
          </cell>
        </row>
        <row r="115">
          <cell r="E115" t="str">
            <v>Kawat kassa</v>
          </cell>
        </row>
        <row r="116">
          <cell r="E116" t="str">
            <v>Kawat burung</v>
          </cell>
        </row>
        <row r="117">
          <cell r="E117" t="str">
            <v>Kawat Harmonika</v>
          </cell>
        </row>
        <row r="118">
          <cell r="E118" t="str">
            <v>Baja strip (0.2x2) cm</v>
          </cell>
        </row>
        <row r="119">
          <cell r="E119" t="str">
            <v>Profil Alluminium</v>
          </cell>
        </row>
        <row r="120">
          <cell r="E120" t="str">
            <v>Profil kaca</v>
          </cell>
        </row>
        <row r="121">
          <cell r="E121" t="str">
            <v>Besi scuare tube</v>
          </cell>
        </row>
        <row r="122">
          <cell r="E122" t="str">
            <v>Besi Lis kaca (1x1) cm</v>
          </cell>
        </row>
        <row r="123">
          <cell r="E123" t="str">
            <v>Skrup fixer</v>
          </cell>
        </row>
        <row r="124">
          <cell r="E124" t="str">
            <v>Sealant</v>
          </cell>
        </row>
        <row r="125">
          <cell r="E125" t="str">
            <v>Alluminium strip</v>
          </cell>
        </row>
        <row r="126">
          <cell r="E126" t="str">
            <v>Alluminium C</v>
          </cell>
        </row>
        <row r="127">
          <cell r="E127" t="str">
            <v>Alluminium B</v>
          </cell>
        </row>
        <row r="130">
          <cell r="E130" t="str">
            <v>BAHAN PLAPON</v>
          </cell>
        </row>
        <row r="131">
          <cell r="E131" t="str">
            <v>Mulripleks 1.22 x 2.44 x 4 mm</v>
          </cell>
        </row>
        <row r="132">
          <cell r="E132" t="str">
            <v>Multipleks 1.22 x 2.44 x 6 mm</v>
          </cell>
        </row>
        <row r="133">
          <cell r="E133" t="str">
            <v>Multipleks 1.22 x 2.44 x 9 mm</v>
          </cell>
        </row>
        <row r="134">
          <cell r="E134" t="str">
            <v>Fiber semen (Harpleks)  super 240 x 108 x 0,4 cm</v>
          </cell>
        </row>
        <row r="135">
          <cell r="E135" t="str">
            <v>Fiber semen (Harpleks)  super 180 x 108 x 0,4 cm</v>
          </cell>
        </row>
        <row r="136">
          <cell r="E136" t="str">
            <v>Tripleks melamin</v>
          </cell>
        </row>
        <row r="137">
          <cell r="E137" t="str">
            <v>Asbes  plat harpleks 200 x 100 x 0,3 cm</v>
          </cell>
        </row>
        <row r="138">
          <cell r="E138" t="str">
            <v>List profil 2 x 3 cm</v>
          </cell>
        </row>
        <row r="139">
          <cell r="E139" t="str">
            <v>List profil 3 x 3 cm</v>
          </cell>
        </row>
        <row r="140">
          <cell r="E140" t="str">
            <v>List profil 3 x 4cm</v>
          </cell>
        </row>
        <row r="141">
          <cell r="E141" t="str">
            <v>List profil 4 x 4 cm</v>
          </cell>
        </row>
        <row r="142">
          <cell r="E142" t="str">
            <v>List profil 4 x 5 cm</v>
          </cell>
        </row>
        <row r="143">
          <cell r="E143" t="str">
            <v>Woodplank 2/20 x 4 M</v>
          </cell>
        </row>
        <row r="144">
          <cell r="E144" t="str">
            <v>Asbes 3,5 mm</v>
          </cell>
        </row>
        <row r="145">
          <cell r="E145" t="str">
            <v>Asbes semen 4 mm (1,00x1,00)m</v>
          </cell>
        </row>
        <row r="146">
          <cell r="E146" t="str">
            <v>Asbes semen 5 mm (1,00x1,00)m</v>
          </cell>
        </row>
        <row r="147">
          <cell r="E147" t="str">
            <v>Asbes semen 6 mm (1,00x1,00)m</v>
          </cell>
        </row>
        <row r="148">
          <cell r="E148" t="str">
            <v>GRC,4 mm</v>
          </cell>
        </row>
        <row r="149">
          <cell r="E149" t="str">
            <v>Gypsumboard 9 mm</v>
          </cell>
        </row>
        <row r="150">
          <cell r="E150" t="str">
            <v>Gypsumboard 8 mm</v>
          </cell>
        </row>
        <row r="151">
          <cell r="E151" t="str">
            <v>Profil gypsumboard type CE (besar)</v>
          </cell>
        </row>
        <row r="152">
          <cell r="E152" t="str">
            <v>Tripleks.4"</v>
          </cell>
        </row>
        <row r="153">
          <cell r="E153" t="str">
            <v>List profil 3 x 3 cm</v>
          </cell>
        </row>
        <row r="154">
          <cell r="E154" t="str">
            <v>Akustik ukuran 30x30 cm</v>
          </cell>
        </row>
        <row r="155">
          <cell r="E155" t="str">
            <v>Akustik ukuran 30x60 cm</v>
          </cell>
        </row>
        <row r="156">
          <cell r="E156" t="str">
            <v>Akustik ukuran 60x120 cm</v>
          </cell>
        </row>
        <row r="157">
          <cell r="E157" t="str">
            <v>Plywood (30x60) tebal 4mm</v>
          </cell>
        </row>
        <row r="158">
          <cell r="E158" t="str">
            <v>Plywood (30x60) tebal 6mm</v>
          </cell>
        </row>
        <row r="159">
          <cell r="E159" t="str">
            <v>Plywood (60x120) tebal 4mm</v>
          </cell>
        </row>
        <row r="160">
          <cell r="E160" t="str">
            <v>Plywood (60x120) tebal 6mm</v>
          </cell>
        </row>
        <row r="161">
          <cell r="E161" t="str">
            <v>Ramset</v>
          </cell>
        </row>
        <row r="166">
          <cell r="E166" t="str">
            <v>BAHAN KERAMIK</v>
          </cell>
        </row>
        <row r="167">
          <cell r="E167" t="str">
            <v>Tegel keramik  30 x 30 cm</v>
          </cell>
        </row>
        <row r="168">
          <cell r="E168" t="str">
            <v>Tegel keramik 30 x 30 cm (putih polos)</v>
          </cell>
        </row>
        <row r="169">
          <cell r="E169" t="str">
            <v>Tegel keramik  20 x 20 cm (kasar)</v>
          </cell>
        </row>
        <row r="170">
          <cell r="E170" t="str">
            <v>Tegel keramik  20 x 20 cm (putih)</v>
          </cell>
        </row>
        <row r="171">
          <cell r="E171" t="str">
            <v>Tegel keramik  20 x 25 cm ( warna )</v>
          </cell>
        </row>
        <row r="172">
          <cell r="E172" t="str">
            <v>Tegel keramik 10 x 10 cm ( putih )</v>
          </cell>
        </row>
        <row r="173">
          <cell r="E173" t="str">
            <v>Tegel granite 40 x 40 cm</v>
          </cell>
        </row>
        <row r="174">
          <cell r="E174" t="str">
            <v>Tegel granite 40 x 40 cm</v>
          </cell>
        </row>
        <row r="175">
          <cell r="E175" t="str">
            <v>Tegel granite 30 x 30 cm</v>
          </cell>
        </row>
        <row r="176">
          <cell r="E176" t="str">
            <v xml:space="preserve">Tegel keramik  40 x 40 cm </v>
          </cell>
        </row>
        <row r="177">
          <cell r="E177" t="str">
            <v>Tegel keramik 30 x 30 cm impresso</v>
          </cell>
        </row>
        <row r="178">
          <cell r="E178" t="str">
            <v>Tegel keramik 20 x 20 cm kia</v>
          </cell>
        </row>
        <row r="179">
          <cell r="E179" t="str">
            <v>Tegel keramik 20 x 25 cm kia</v>
          </cell>
        </row>
        <row r="180">
          <cell r="E180" t="str">
            <v>Porselen Bak Mandi (11x11)cm</v>
          </cell>
        </row>
        <row r="181">
          <cell r="E181" t="str">
            <v>Porselen (10x20) cm</v>
          </cell>
        </row>
        <row r="182">
          <cell r="E182" t="str">
            <v>Porselen (20x20) cm</v>
          </cell>
        </row>
        <row r="183">
          <cell r="E183" t="str">
            <v>Ubin PC abu-abu (40x40) cm</v>
          </cell>
        </row>
        <row r="184">
          <cell r="E184" t="str">
            <v>Ubin PC abu-abu (30x30) cm</v>
          </cell>
        </row>
        <row r="185">
          <cell r="E185" t="str">
            <v>Ubin PC abu-abu (20x20) cm</v>
          </cell>
        </row>
        <row r="186">
          <cell r="E186" t="str">
            <v>Ubin warna (40x40) cm</v>
          </cell>
        </row>
        <row r="187">
          <cell r="E187" t="str">
            <v>Ubin warna (30x30) cm</v>
          </cell>
        </row>
        <row r="188">
          <cell r="E188" t="str">
            <v>Ubin warna (20x20) cm</v>
          </cell>
        </row>
        <row r="189">
          <cell r="E189" t="str">
            <v>Ubin teraso (40x40) cm</v>
          </cell>
        </row>
        <row r="190">
          <cell r="E190" t="str">
            <v>Ubin teraso (30x30) cm</v>
          </cell>
        </row>
        <row r="191">
          <cell r="E191" t="str">
            <v>Ubin keramik (33x33) cm</v>
          </cell>
        </row>
        <row r="192">
          <cell r="E192" t="str">
            <v>Ubin keramik (30x30) cm</v>
          </cell>
        </row>
        <row r="193">
          <cell r="E193" t="str">
            <v>Ubin keramik (20x20) cm</v>
          </cell>
        </row>
        <row r="194">
          <cell r="E194" t="str">
            <v>Ubin keramik (10x33) cm</v>
          </cell>
        </row>
        <row r="195">
          <cell r="E195" t="str">
            <v>Ubin keramik (15x15) cm</v>
          </cell>
        </row>
        <row r="196">
          <cell r="E196" t="str">
            <v>Ubin keramik (20x20) cm</v>
          </cell>
        </row>
        <row r="197">
          <cell r="E197" t="str">
            <v>Ubin keramik (25x25) cm</v>
          </cell>
        </row>
        <row r="198">
          <cell r="E198" t="str">
            <v>Ubin keramik (15x20) cm</v>
          </cell>
        </row>
        <row r="199">
          <cell r="E199" t="str">
            <v>Marmer (100x100) cm</v>
          </cell>
        </row>
        <row r="200">
          <cell r="E200" t="str">
            <v>karpet</v>
          </cell>
        </row>
        <row r="201">
          <cell r="E201" t="str">
            <v>lem karpet</v>
          </cell>
        </row>
        <row r="202">
          <cell r="E202" t="str">
            <v>Underlayer/rubber corrugate</v>
          </cell>
        </row>
        <row r="203">
          <cell r="E203" t="str">
            <v>Bata pelapis dinding</v>
          </cell>
        </row>
        <row r="204">
          <cell r="E204" t="str">
            <v>Batu paras</v>
          </cell>
        </row>
        <row r="205">
          <cell r="E205" t="str">
            <v>Batu tempel hitam</v>
          </cell>
        </row>
        <row r="206">
          <cell r="E206" t="str">
            <v>Vynil</v>
          </cell>
        </row>
        <row r="207">
          <cell r="E207" t="str">
            <v>Lem vynil</v>
          </cell>
        </row>
        <row r="208">
          <cell r="E208" t="str">
            <v>Vynil karet</v>
          </cell>
        </row>
        <row r="209">
          <cell r="E209" t="str">
            <v>Ubin teralux (30x30)cm</v>
          </cell>
        </row>
        <row r="210">
          <cell r="E210" t="str">
            <v>Ubin teralux (40x40)cm</v>
          </cell>
        </row>
        <row r="211">
          <cell r="E211" t="str">
            <v>Ubin teralux marmer (60x60)cm</v>
          </cell>
        </row>
        <row r="212">
          <cell r="E212" t="str">
            <v>Ubin teralux marmer (40x40)cm</v>
          </cell>
        </row>
        <row r="213">
          <cell r="E213" t="str">
            <v>Ubin teralux marmer (30x30)cm</v>
          </cell>
        </row>
        <row r="214">
          <cell r="E214" t="str">
            <v>Ubin porselen</v>
          </cell>
        </row>
        <row r="215">
          <cell r="E215" t="str">
            <v>Plint ubin (15x20)cm</v>
          </cell>
        </row>
        <row r="216">
          <cell r="E216" t="str">
            <v>Plint ubin (10x30)cm</v>
          </cell>
        </row>
        <row r="217">
          <cell r="E217" t="str">
            <v>Plint ubin (10x40)cm</v>
          </cell>
        </row>
        <row r="218">
          <cell r="E218" t="str">
            <v>Plint ubin marmer (10x60)cm</v>
          </cell>
        </row>
        <row r="219">
          <cell r="E219" t="str">
            <v>Plint ubin PC warna (10x20)cm</v>
          </cell>
        </row>
        <row r="220">
          <cell r="E220" t="str">
            <v>Plint ubin PC warna (10x30)cm</v>
          </cell>
        </row>
        <row r="221">
          <cell r="E221" t="str">
            <v>Plint ubin PC warna (10x40)cm</v>
          </cell>
        </row>
        <row r="222">
          <cell r="E222" t="str">
            <v>Plint ubin teraso (10x30)cm</v>
          </cell>
        </row>
        <row r="223">
          <cell r="E223" t="str">
            <v>Plint ubin teraso (10x40)cm</v>
          </cell>
        </row>
        <row r="224">
          <cell r="E224" t="str">
            <v>Plint ubin granit (10x30)cm</v>
          </cell>
        </row>
        <row r="225">
          <cell r="E225" t="str">
            <v>Plint ubin granit (10x40)cm</v>
          </cell>
        </row>
        <row r="226">
          <cell r="E226" t="str">
            <v>Plint ubin teralux kerang (10x30)cm</v>
          </cell>
        </row>
        <row r="227">
          <cell r="E227" t="str">
            <v>Plint ubin teralux kerang (10x40)cm</v>
          </cell>
        </row>
        <row r="228">
          <cell r="E228" t="str">
            <v>Plint ubin teralux marmer (10x30)cm</v>
          </cell>
        </row>
        <row r="229">
          <cell r="E229" t="str">
            <v>Plint ubin teralux marmer (10x40)cm</v>
          </cell>
        </row>
        <row r="230">
          <cell r="E230" t="str">
            <v>Plint ubin teralux marmer (10x60)cm</v>
          </cell>
        </row>
        <row r="231">
          <cell r="E231" t="str">
            <v>Plint keramik artistik (10x20) cm</v>
          </cell>
        </row>
        <row r="232">
          <cell r="E232" t="str">
            <v>Plint keramik artistik (10x10) cm</v>
          </cell>
        </row>
        <row r="233">
          <cell r="E233" t="str">
            <v>Plint keramik artistik (5x20) cm</v>
          </cell>
        </row>
        <row r="234">
          <cell r="E234" t="str">
            <v>Internal cove</v>
          </cell>
        </row>
        <row r="235">
          <cell r="E235" t="str">
            <v>Ubin keramik artistik (10x20) cm</v>
          </cell>
        </row>
        <row r="236">
          <cell r="E236" t="str">
            <v>Ubin keramik artistik (10x10) cm</v>
          </cell>
        </row>
        <row r="237">
          <cell r="E237" t="str">
            <v>Ubin keramik artistik (5x20) cm</v>
          </cell>
        </row>
        <row r="238">
          <cell r="E238" t="str">
            <v>Lantai Mosaik (30x30)</v>
          </cell>
        </row>
        <row r="239">
          <cell r="E239" t="str">
            <v>Parquet jati</v>
          </cell>
        </row>
        <row r="240">
          <cell r="E240" t="str">
            <v>Gymfloor</v>
          </cell>
        </row>
        <row r="241">
          <cell r="E241" t="str">
            <v>Porselin (11x11)</v>
          </cell>
        </row>
        <row r="242">
          <cell r="E242" t="str">
            <v>Porselin (10x20)</v>
          </cell>
        </row>
        <row r="243">
          <cell r="E243" t="str">
            <v>Porselin (20x20)</v>
          </cell>
        </row>
        <row r="244">
          <cell r="E244" t="str">
            <v>Floor hardener</v>
          </cell>
        </row>
        <row r="246">
          <cell r="E246" t="str">
            <v>BAHAN ATAP</v>
          </cell>
        </row>
        <row r="247">
          <cell r="E247" t="str">
            <v>Genteng  keramik</v>
          </cell>
        </row>
        <row r="248">
          <cell r="E248" t="str">
            <v>Genteng beton</v>
          </cell>
        </row>
        <row r="249">
          <cell r="E249" t="str">
            <v>Karet Pelapis Genteng</v>
          </cell>
        </row>
        <row r="250">
          <cell r="E250" t="str">
            <v>Nok genteng keramik</v>
          </cell>
        </row>
        <row r="251">
          <cell r="E251" t="str">
            <v>Nok genteng palentong</v>
          </cell>
        </row>
        <row r="252">
          <cell r="E252" t="str">
            <v>Genteng palentong kecil</v>
          </cell>
        </row>
        <row r="253">
          <cell r="E253" t="str">
            <v>Genteng palentong besar</v>
          </cell>
        </row>
        <row r="254">
          <cell r="E254" t="str">
            <v>Genteng bubung palentong</v>
          </cell>
        </row>
        <row r="255">
          <cell r="E255" t="str">
            <v>Nok genteng keramik</v>
          </cell>
        </row>
        <row r="256">
          <cell r="E256" t="str">
            <v>Karet pelapis atap genteng lebar 110 cm x 25 m</v>
          </cell>
        </row>
        <row r="257">
          <cell r="E257" t="str">
            <v>Seng plat</v>
          </cell>
        </row>
        <row r="258">
          <cell r="E258" t="str">
            <v>Gunting seng</v>
          </cell>
        </row>
        <row r="259">
          <cell r="E259" t="str">
            <v>Karet talang 50 cm</v>
          </cell>
        </row>
        <row r="260">
          <cell r="E260" t="str">
            <v>Seng talang 50 cm</v>
          </cell>
        </row>
        <row r="261">
          <cell r="E261" t="str">
            <v>Genteng metal Ex. Multi Roof</v>
          </cell>
        </row>
        <row r="262">
          <cell r="E262" t="str">
            <v>Genteng metal Ex. Sakura Roof</v>
          </cell>
        </row>
        <row r="263">
          <cell r="E263" t="str">
            <v>Nok genteng Metal Ex. Multi Roof</v>
          </cell>
        </row>
        <row r="264">
          <cell r="E264" t="str">
            <v>Nok genteng Metal Ex. Sakura Roof</v>
          </cell>
        </row>
        <row r="265">
          <cell r="E265" t="str">
            <v>Nok genteng Aspal</v>
          </cell>
        </row>
        <row r="266">
          <cell r="E266" t="str">
            <v>Genteng sirap</v>
          </cell>
        </row>
        <row r="267">
          <cell r="E267" t="str">
            <v>Nok genteng beton</v>
          </cell>
        </row>
        <row r="268">
          <cell r="E268" t="str">
            <v>Atap Spandek G550 AZ-100 T=0,4 mm</v>
          </cell>
        </row>
        <row r="269">
          <cell r="E269" t="str">
            <v>Nok Spandek G550 AZ-100 T=0,4 mm</v>
          </cell>
        </row>
        <row r="270">
          <cell r="E270" t="str">
            <v>Plastic Aerator</v>
          </cell>
        </row>
        <row r="271">
          <cell r="E271" t="str">
            <v>Aluminium Foil</v>
          </cell>
        </row>
        <row r="272">
          <cell r="E272" t="str">
            <v>Atap aluminium gelombang</v>
          </cell>
        </row>
        <row r="273">
          <cell r="E273" t="str">
            <v>Nok aluminium standar 40 cm</v>
          </cell>
        </row>
        <row r="274">
          <cell r="E274" t="str">
            <v>Genteng Decra bond</v>
          </cell>
        </row>
        <row r="275">
          <cell r="E275" t="str">
            <v>Aluminium foil/sisalation</v>
          </cell>
        </row>
        <row r="276">
          <cell r="E276" t="str">
            <v>Paku Sekrup + Mor + Pelapis</v>
          </cell>
        </row>
        <row r="277">
          <cell r="E277" t="str">
            <v>Smar Truss C75.100</v>
          </cell>
        </row>
        <row r="278">
          <cell r="E278" t="str">
            <v>Web C75.75</v>
          </cell>
        </row>
        <row r="279">
          <cell r="E279" t="str">
            <v>Top Span 40</v>
          </cell>
        </row>
        <row r="280">
          <cell r="E280" t="str">
            <v>ZA, G550</v>
          </cell>
        </row>
        <row r="281">
          <cell r="E281" t="str">
            <v>Main Truss 1.05 TCT</v>
          </cell>
        </row>
        <row r="282">
          <cell r="E282" t="str">
            <v>Web 0,8 TCT</v>
          </cell>
        </row>
        <row r="283">
          <cell r="E283" t="str">
            <v>Ancor / Seng Pelapis Genteng</v>
          </cell>
        </row>
        <row r="286">
          <cell r="E286" t="str">
            <v>BAHAN SENG/ALUMINIUM</v>
          </cell>
        </row>
        <row r="287">
          <cell r="E287" t="str">
            <v>Seng plat   BJLS 0.30</v>
          </cell>
        </row>
        <row r="288">
          <cell r="E288" t="str">
            <v>Seng plat   BJLS 0.28</v>
          </cell>
        </row>
        <row r="289">
          <cell r="E289" t="str">
            <v>Seng gelombang  BWG 34 "  BJLS 0.18 mm</v>
          </cell>
        </row>
        <row r="290">
          <cell r="E290" t="str">
            <v>Seng gelombang  BWG 33 "  BJLS 0.22 mm</v>
          </cell>
        </row>
        <row r="291">
          <cell r="E291" t="str">
            <v>Seng gelombang  BWG 32 "  BJLS 0.30 mm</v>
          </cell>
        </row>
        <row r="292">
          <cell r="E292" t="str">
            <v>Seng gelombang  BWG 28 "  BJLS 0.35 mm</v>
          </cell>
        </row>
        <row r="293">
          <cell r="E293" t="str">
            <v>Plat aluminium 0,31 mm</v>
          </cell>
        </row>
        <row r="294">
          <cell r="E294" t="str">
            <v>Seng Gelombang 3" - 5"</v>
          </cell>
        </row>
        <row r="295">
          <cell r="E295" t="str">
            <v>Seng Gelombang BJLS 32</v>
          </cell>
        </row>
        <row r="296">
          <cell r="E296" t="str">
            <v>Profil Aluminium 'T"</v>
          </cell>
        </row>
        <row r="298">
          <cell r="E298" t="str">
            <v>BAHAN KAYU</v>
          </cell>
        </row>
        <row r="299">
          <cell r="E299" t="str">
            <v>Kayu klas I  (balok) untuk kuda-kuda</v>
          </cell>
        </row>
        <row r="300">
          <cell r="E300" t="str">
            <v>Kayu klas II (balok)</v>
          </cell>
        </row>
        <row r="301">
          <cell r="E301" t="str">
            <v>Kayu klas II (papan)</v>
          </cell>
        </row>
        <row r="302">
          <cell r="E302" t="str">
            <v>Kayu klas III (balok)</v>
          </cell>
        </row>
        <row r="303">
          <cell r="E303" t="str">
            <v>Kayu klas III (papan)</v>
          </cell>
        </row>
        <row r="304">
          <cell r="E304" t="str">
            <v>Kayu klas I (papan) listplank dan pintu/jendela</v>
          </cell>
        </row>
        <row r="305">
          <cell r="E305" t="str">
            <v>Dolken kayu Ø8-10/400 cm</v>
          </cell>
        </row>
        <row r="306">
          <cell r="E306" t="str">
            <v>Kayu klas I (balok) untuk kosen  pintu/jendela</v>
          </cell>
        </row>
        <row r="307">
          <cell r="E307" t="str">
            <v>Kayu borneo. balok</v>
          </cell>
        </row>
        <row r="308">
          <cell r="E308" t="str">
            <v>Kayu borneo. papan</v>
          </cell>
        </row>
        <row r="309">
          <cell r="E309" t="str">
            <v>Kayu kamper. Balok</v>
          </cell>
        </row>
        <row r="310">
          <cell r="E310" t="str">
            <v>Kayu kamper. Papan</v>
          </cell>
        </row>
        <row r="311">
          <cell r="E311" t="str">
            <v>Kayu jati. Balok</v>
          </cell>
        </row>
        <row r="312">
          <cell r="E312" t="str">
            <v>Kayu jati. Papan</v>
          </cell>
        </row>
        <row r="313">
          <cell r="E313" t="str">
            <v>Kayu damar laut. Balok</v>
          </cell>
        </row>
        <row r="314">
          <cell r="E314" t="str">
            <v>Ply wood 4' x 3' x 4 mm</v>
          </cell>
        </row>
        <row r="315">
          <cell r="E315" t="str">
            <v>Ply wood 4' x 8' x 4 mm</v>
          </cell>
        </row>
        <row r="316">
          <cell r="E316" t="str">
            <v>Ply wood 4' x 8' x 6 mm</v>
          </cell>
        </row>
        <row r="317">
          <cell r="E317" t="str">
            <v>Plywood Ukuran 90x220 cm Tebal 4 mm</v>
          </cell>
        </row>
        <row r="318">
          <cell r="E318" t="str">
            <v>Plywood Ukuran 120x240 cm Tebal 4 mm</v>
          </cell>
        </row>
        <row r="319">
          <cell r="E319" t="str">
            <v>Formika 4' x 3'</v>
          </cell>
        </row>
        <row r="320">
          <cell r="E320" t="str">
            <v>Teakwood 4' x 8' x 4 mm</v>
          </cell>
        </row>
        <row r="321">
          <cell r="E321" t="str">
            <v>Teakwood 90x220 Tebal 4 mm</v>
          </cell>
        </row>
        <row r="322">
          <cell r="E322" t="str">
            <v>Teakwood 120x240 Tebal 4 mm</v>
          </cell>
        </row>
        <row r="323">
          <cell r="E323" t="str">
            <v>Formika 4' x 8'</v>
          </cell>
        </row>
        <row r="324">
          <cell r="E324" t="str">
            <v>Kayu 2/3</v>
          </cell>
        </row>
        <row r="325">
          <cell r="E325" t="str">
            <v>Kayu 5/7</v>
          </cell>
        </row>
        <row r="326">
          <cell r="E326" t="str">
            <v>Kayu 3/5</v>
          </cell>
        </row>
        <row r="327">
          <cell r="E327" t="str">
            <v>Kayu 6/12</v>
          </cell>
        </row>
        <row r="328">
          <cell r="E328" t="str">
            <v>Kayu 4/6</v>
          </cell>
        </row>
        <row r="329">
          <cell r="E329" t="str">
            <v>Papan Mal</v>
          </cell>
        </row>
        <row r="330">
          <cell r="E330" t="str">
            <v>Kayu papan 3/20</v>
          </cell>
        </row>
        <row r="331">
          <cell r="E331" t="str">
            <v>Kayu biasa</v>
          </cell>
        </row>
        <row r="332">
          <cell r="E332" t="str">
            <v>Jendela Nako</v>
          </cell>
        </row>
        <row r="333">
          <cell r="E333" t="str">
            <v>Kayu Terentang</v>
          </cell>
        </row>
        <row r="334">
          <cell r="E334" t="str">
            <v>Bambu ø 6-8/600 cm</v>
          </cell>
        </row>
        <row r="335">
          <cell r="E335" t="str">
            <v>Bilik bambu</v>
          </cell>
        </row>
        <row r="336">
          <cell r="E336" t="str">
            <v>List kayu 2/4</v>
          </cell>
        </row>
        <row r="337">
          <cell r="E337" t="str">
            <v>Kayu perancah</v>
          </cell>
        </row>
        <row r="338">
          <cell r="E338" t="str">
            <v>Kayu</v>
          </cell>
        </row>
        <row r="339">
          <cell r="E339" t="str">
            <v>Bilik bambu</v>
          </cell>
        </row>
        <row r="341">
          <cell r="E341" t="str">
            <v>BAHAN KUNCI, ENGSEL, GRENDEL DAN HAK ANGIN</v>
          </cell>
        </row>
        <row r="342">
          <cell r="E342" t="str">
            <v>Kunci tanam antik</v>
          </cell>
        </row>
        <row r="343">
          <cell r="E343" t="str">
            <v>Kunci tanam biasa</v>
          </cell>
        </row>
        <row r="344">
          <cell r="E344" t="str">
            <v>Kunci tanam kamar mandi</v>
          </cell>
        </row>
        <row r="345">
          <cell r="E345" t="str">
            <v>Kunci tanam kamar silinder</v>
          </cell>
        </row>
        <row r="346">
          <cell r="E346" t="str">
            <v>Kunci selot</v>
          </cell>
        </row>
        <row r="347">
          <cell r="E347" t="str">
            <v>Kunci lemari</v>
          </cell>
        </row>
        <row r="348">
          <cell r="E348" t="str">
            <v>Kunci tanam</v>
          </cell>
        </row>
        <row r="349">
          <cell r="E349" t="str">
            <v>Kunci Pintu 2x Putar</v>
          </cell>
        </row>
        <row r="350">
          <cell r="E350" t="str">
            <v>Engsel pintu</v>
          </cell>
        </row>
        <row r="351">
          <cell r="E351" t="str">
            <v>Engsel jendela</v>
          </cell>
        </row>
        <row r="352">
          <cell r="E352" t="str">
            <v>Grendel jendela</v>
          </cell>
        </row>
        <row r="353">
          <cell r="E353" t="str">
            <v>Expanyolet tanam</v>
          </cell>
        </row>
        <row r="354">
          <cell r="E354" t="str">
            <v>Kait angin</v>
          </cell>
        </row>
        <row r="355">
          <cell r="E355" t="str">
            <v>Kunci pywood</v>
          </cell>
        </row>
        <row r="356">
          <cell r="E356" t="str">
            <v>Grendel tanam</v>
          </cell>
        </row>
        <row r="357">
          <cell r="E357" t="str">
            <v>Pintu fiber crem</v>
          </cell>
        </row>
        <row r="358">
          <cell r="E358" t="str">
            <v>Pintu PVC ivori</v>
          </cell>
        </row>
        <row r="359">
          <cell r="E359" t="str">
            <v>Engsel onda 4'</v>
          </cell>
        </row>
        <row r="360">
          <cell r="E360" t="str">
            <v>Engsel 3'</v>
          </cell>
        </row>
        <row r="361">
          <cell r="E361" t="str">
            <v>Engsel 4 x 3</v>
          </cell>
        </row>
        <row r="362">
          <cell r="E362" t="str">
            <v>Engsel 3 x 2,5</v>
          </cell>
        </row>
        <row r="363">
          <cell r="E363" t="str">
            <v>Grendel kodok</v>
          </cell>
        </row>
        <row r="364">
          <cell r="E364" t="str">
            <v>Spring knip</v>
          </cell>
        </row>
        <row r="365">
          <cell r="E365" t="str">
            <v>Door closer</v>
          </cell>
        </row>
        <row r="366">
          <cell r="E366" t="str">
            <v>Door Holder</v>
          </cell>
        </row>
        <row r="367">
          <cell r="E367" t="str">
            <v>Door stop</v>
          </cell>
        </row>
        <row r="368">
          <cell r="E368" t="str">
            <v>Rel pintu dorong</v>
          </cell>
        </row>
        <row r="369">
          <cell r="E369" t="str">
            <v>Gembok</v>
          </cell>
        </row>
        <row r="371">
          <cell r="E371" t="str">
            <v>BAHAN KACA</v>
          </cell>
        </row>
        <row r="372">
          <cell r="E372" t="str">
            <v>Kaca bening 3 mm</v>
          </cell>
        </row>
        <row r="373">
          <cell r="E373" t="str">
            <v>Kaca bening 5mm</v>
          </cell>
        </row>
        <row r="374">
          <cell r="E374" t="str">
            <v>Kaca bening 8 mm</v>
          </cell>
        </row>
        <row r="375">
          <cell r="E375" t="str">
            <v>Kaca buram 5 mm</v>
          </cell>
        </row>
        <row r="376">
          <cell r="E376" t="str">
            <v>Kaca buram 12 mm</v>
          </cell>
        </row>
        <row r="377">
          <cell r="E377" t="str">
            <v>Kaca Rayband 5mm</v>
          </cell>
        </row>
        <row r="378">
          <cell r="E378" t="str">
            <v>Kaca nako lengkap teralis</v>
          </cell>
        </row>
        <row r="379">
          <cell r="E379" t="str">
            <v>Kaca Cermin tebal 5mm</v>
          </cell>
        </row>
        <row r="380">
          <cell r="E380" t="str">
            <v>Kaca Cermin tebal 6mm</v>
          </cell>
        </row>
        <row r="381">
          <cell r="E381" t="str">
            <v>Kaca Cermin tebal 8mm</v>
          </cell>
        </row>
        <row r="382">
          <cell r="E382" t="str">
            <v>Kaca wireglass tebal 5mm</v>
          </cell>
        </row>
        <row r="383">
          <cell r="E383" t="str">
            <v>Kaca patri tebal 5mm</v>
          </cell>
        </row>
        <row r="386">
          <cell r="E386" t="str">
            <v>BAHAN CAT</v>
          </cell>
        </row>
        <row r="387">
          <cell r="E387" t="str">
            <v>Cat tembok metrolite (putih)</v>
          </cell>
        </row>
        <row r="388">
          <cell r="E388" t="str">
            <v>Cat tembok metrolite (putih)</v>
          </cell>
        </row>
        <row r="389">
          <cell r="E389" t="str">
            <v>Cat Seng</v>
          </cell>
        </row>
        <row r="390">
          <cell r="E390" t="str">
            <v>Cat kayu avian</v>
          </cell>
        </row>
        <row r="391">
          <cell r="E391" t="str">
            <v>Minyak cat avian</v>
          </cell>
        </row>
        <row r="392">
          <cell r="E392" t="str">
            <v>Minyak bekisting</v>
          </cell>
        </row>
        <row r="393">
          <cell r="E393" t="str">
            <v>Cat meni</v>
          </cell>
        </row>
        <row r="394">
          <cell r="E394" t="str">
            <v>Flincote/meni besi</v>
          </cell>
        </row>
        <row r="395">
          <cell r="E395" t="str">
            <v>Soda api</v>
          </cell>
        </row>
        <row r="396">
          <cell r="E396" t="str">
            <v xml:space="preserve">Cat meni besi Galbani </v>
          </cell>
        </row>
        <row r="397">
          <cell r="E397" t="str">
            <v>Plamur tembok</v>
          </cell>
        </row>
        <row r="398">
          <cell r="E398" t="str">
            <v>Lem kayu</v>
          </cell>
        </row>
        <row r="399">
          <cell r="E399" t="str">
            <v>Residu</v>
          </cell>
        </row>
        <row r="400">
          <cell r="E400" t="str">
            <v>Kertas amplas</v>
          </cell>
        </row>
        <row r="401">
          <cell r="E401" t="str">
            <v>Dempul</v>
          </cell>
        </row>
        <row r="402">
          <cell r="E402" t="str">
            <v>Minyak cat</v>
          </cell>
        </row>
        <row r="403">
          <cell r="E403" t="str">
            <v>Vernis</v>
          </cell>
        </row>
        <row r="404">
          <cell r="E404" t="str">
            <v>Sabun</v>
          </cell>
        </row>
        <row r="405">
          <cell r="E405" t="str">
            <v>Plamir kayu</v>
          </cell>
        </row>
        <row r="406">
          <cell r="E406" t="str">
            <v>Cat dasar</v>
          </cell>
        </row>
        <row r="407">
          <cell r="E407" t="str">
            <v>Cat finishing kayu</v>
          </cell>
        </row>
        <row r="408">
          <cell r="E408" t="str">
            <v>Teak oil</v>
          </cell>
        </row>
        <row r="409">
          <cell r="E409" t="str">
            <v>Politur</v>
          </cell>
        </row>
        <row r="410">
          <cell r="E410" t="str">
            <v>Politur jadi</v>
          </cell>
        </row>
        <row r="411">
          <cell r="E411" t="str">
            <v>Cat finishing tembok</v>
          </cell>
        </row>
        <row r="412">
          <cell r="E412" t="str">
            <v>Kalkarium</v>
          </cell>
        </row>
        <row r="413">
          <cell r="E413" t="str">
            <v>Kapur sirih</v>
          </cell>
        </row>
        <row r="414">
          <cell r="E414" t="str">
            <v>Wallpaper</v>
          </cell>
        </row>
        <row r="415">
          <cell r="E415" t="str">
            <v>Perekat</v>
          </cell>
        </row>
        <row r="416">
          <cell r="E416" t="str">
            <v>Alang-alang</v>
          </cell>
        </row>
        <row r="417">
          <cell r="E417" t="str">
            <v>Meni (read lead) A</v>
          </cell>
        </row>
        <row r="418">
          <cell r="E418" t="str">
            <v>Meni (read lead) B</v>
          </cell>
        </row>
        <row r="419">
          <cell r="E419" t="str">
            <v>Pengencer</v>
          </cell>
        </row>
        <row r="422">
          <cell r="E422" t="str">
            <v>BAHAN SANITASI</v>
          </cell>
        </row>
        <row r="423">
          <cell r="E423" t="str">
            <v xml:space="preserve">Closet duduk monoblok (Ito) </v>
          </cell>
        </row>
        <row r="424">
          <cell r="E424" t="str">
            <v xml:space="preserve">Closet jongkok (Ito) </v>
          </cell>
        </row>
        <row r="425">
          <cell r="E425" t="str">
            <v>Closet duduk ivoit B5</v>
          </cell>
        </row>
        <row r="426">
          <cell r="E426" t="str">
            <v>Closet duduk Beige</v>
          </cell>
        </row>
        <row r="427">
          <cell r="E427" t="str">
            <v>Closet duduk INA krem</v>
          </cell>
        </row>
        <row r="428">
          <cell r="E428" t="str">
            <v>Closet jongkok porselen</v>
          </cell>
        </row>
        <row r="429">
          <cell r="E429" t="str">
            <v xml:space="preserve">Closet jongkok Krem </v>
          </cell>
        </row>
        <row r="430">
          <cell r="E430" t="str">
            <v>Urinoir</v>
          </cell>
        </row>
        <row r="431">
          <cell r="E431" t="str">
            <v>Partisi urinoir</v>
          </cell>
        </row>
        <row r="432">
          <cell r="E432" t="str">
            <v>Wastafel porselin</v>
          </cell>
        </row>
        <row r="433">
          <cell r="E433" t="str">
            <v>Wastapel aluminium  1 mata</v>
          </cell>
        </row>
        <row r="434">
          <cell r="E434" t="str">
            <v>Wastapel aluminium  2 mata</v>
          </cell>
        </row>
        <row r="435">
          <cell r="E435" t="str">
            <v xml:space="preserve">Floor drain </v>
          </cell>
        </row>
        <row r="436">
          <cell r="E436" t="str">
            <v>Seal tape</v>
          </cell>
        </row>
        <row r="437">
          <cell r="E437" t="str">
            <v xml:space="preserve">Kran air </v>
          </cell>
        </row>
        <row r="438">
          <cell r="E438" t="str">
            <v>Kran wastafel   1/2 "</v>
          </cell>
        </row>
        <row r="439">
          <cell r="E439" t="str">
            <v>Kran urinoir   1/2 "</v>
          </cell>
        </row>
        <row r="440">
          <cell r="E440" t="str">
            <v>Shawer  + acc  Mandi</v>
          </cell>
        </row>
        <row r="441">
          <cell r="E441" t="str">
            <v>Bak air fiber glass</v>
          </cell>
        </row>
        <row r="442">
          <cell r="E442" t="str">
            <v>Bak air Teraso</v>
          </cell>
        </row>
        <row r="443">
          <cell r="E443" t="str">
            <v>Kran bebek</v>
          </cell>
        </row>
        <row r="444">
          <cell r="E444" t="str">
            <v>Stop kran</v>
          </cell>
        </row>
        <row r="445">
          <cell r="E445" t="str">
            <v>Bak cuci stainless stel</v>
          </cell>
        </row>
        <row r="446">
          <cell r="E446" t="str">
            <v>Bak cuci Teraso</v>
          </cell>
        </row>
        <row r="447">
          <cell r="E447" t="str">
            <v>Waterdrain + accesoriss</v>
          </cell>
        </row>
        <row r="448">
          <cell r="E448" t="str">
            <v>Saringan got</v>
          </cell>
        </row>
        <row r="449">
          <cell r="E449" t="str">
            <v>Badkip</v>
          </cell>
        </row>
        <row r="451">
          <cell r="E451" t="str">
            <v>BAHAN PIPA</v>
          </cell>
        </row>
        <row r="452">
          <cell r="E452" t="str">
            <v>Pipa PVC   1/2''</v>
          </cell>
        </row>
        <row r="453">
          <cell r="E453" t="str">
            <v>Pipa PVC   1''</v>
          </cell>
        </row>
        <row r="454">
          <cell r="E454" t="str">
            <v>Pipa PVC   1 1/2''</v>
          </cell>
        </row>
        <row r="455">
          <cell r="E455" t="str">
            <v>Pipa PVC   3/4''</v>
          </cell>
        </row>
        <row r="456">
          <cell r="E456" t="str">
            <v>Pipa PVC   4''</v>
          </cell>
        </row>
        <row r="457">
          <cell r="E457" t="str">
            <v>Pipa PVC   3''</v>
          </cell>
        </row>
        <row r="458">
          <cell r="E458" t="str">
            <v>Pipa PVC   2,5''</v>
          </cell>
        </row>
        <row r="459">
          <cell r="E459" t="str">
            <v>Pipa PVC   2''</v>
          </cell>
        </row>
        <row r="460">
          <cell r="E460" t="str">
            <v>Pipa GIP  2"</v>
          </cell>
        </row>
        <row r="461">
          <cell r="E461" t="str">
            <v>Pipa GIP  1/2"</v>
          </cell>
        </row>
        <row r="462">
          <cell r="E462" t="str">
            <v>Pipa GIP 1 1/2"</v>
          </cell>
        </row>
        <row r="463">
          <cell r="E463" t="str">
            <v>Pipa GIP  3/4"</v>
          </cell>
        </row>
        <row r="464">
          <cell r="E464" t="str">
            <v>Pipa GIP  1"</v>
          </cell>
        </row>
        <row r="465">
          <cell r="E465" t="str">
            <v>Pipa GIP  4"</v>
          </cell>
        </row>
        <row r="466">
          <cell r="E466" t="str">
            <v>Pipa GIP 3"</v>
          </cell>
        </row>
        <row r="467">
          <cell r="E467" t="str">
            <v>Pipa beton</v>
          </cell>
        </row>
        <row r="468">
          <cell r="E468" t="str">
            <v>Pipa tanah</v>
          </cell>
        </row>
        <row r="469">
          <cell r="E469" t="str">
            <v>Pipa vinilon 4"</v>
          </cell>
        </row>
        <row r="470">
          <cell r="E470" t="str">
            <v>Lem pipa</v>
          </cell>
        </row>
        <row r="471">
          <cell r="E471" t="str">
            <v>Sok (sambungan pipa) DI 3/4"</v>
          </cell>
        </row>
        <row r="473">
          <cell r="E473" t="str">
            <v>BAHAN LISTRIK</v>
          </cell>
        </row>
        <row r="474">
          <cell r="E474" t="str">
            <v>Lampu Pijar 40 Watt</v>
          </cell>
        </row>
        <row r="475">
          <cell r="E475" t="str">
            <v>Lampu Pijar 15 Watt</v>
          </cell>
        </row>
        <row r="476">
          <cell r="E476" t="str">
            <v>Lampu TL 1 x 20 Watt</v>
          </cell>
        </row>
        <row r="477">
          <cell r="E477" t="str">
            <v>Lampu TL 2 x 20 Watt</v>
          </cell>
        </row>
        <row r="478">
          <cell r="E478" t="str">
            <v>Lampu TL 1 x 36 Watt</v>
          </cell>
        </row>
        <row r="479">
          <cell r="E479" t="str">
            <v>Lampu SL-E 15 Watt</v>
          </cell>
        </row>
        <row r="480">
          <cell r="E480" t="str">
            <v>Lampu SL-E 18 Watt</v>
          </cell>
        </row>
        <row r="481">
          <cell r="E481" t="str">
            <v>Lampu SL-E 20 Watt</v>
          </cell>
        </row>
        <row r="482">
          <cell r="E482" t="str">
            <v>Lampu TL 18 Watt</v>
          </cell>
        </row>
        <row r="483">
          <cell r="E483" t="str">
            <v>Stop Kontak</v>
          </cell>
        </row>
        <row r="484">
          <cell r="E484" t="str">
            <v>Saklar Tunggal</v>
          </cell>
        </row>
        <row r="485">
          <cell r="E485" t="str">
            <v>Saklar Ganda</v>
          </cell>
        </row>
        <row r="486">
          <cell r="E486" t="str">
            <v>Klem Kabel No. 10</v>
          </cell>
        </row>
        <row r="487">
          <cell r="E487" t="str">
            <v>Pipa Instalasi Listrik</v>
          </cell>
        </row>
        <row r="488">
          <cell r="E488" t="str">
            <v>Inbow Dos</v>
          </cell>
        </row>
        <row r="489">
          <cell r="E489" t="str">
            <v>Las Dop</v>
          </cell>
        </row>
        <row r="490">
          <cell r="E490" t="str">
            <v>Isolasi</v>
          </cell>
        </row>
        <row r="491">
          <cell r="E491" t="str">
            <v>T - Dos 5/8"</v>
          </cell>
        </row>
        <row r="492">
          <cell r="E492" t="str">
            <v>Fitting</v>
          </cell>
        </row>
        <row r="493">
          <cell r="E493" t="str">
            <v>Kabel NYM (2x2,5) mm</v>
          </cell>
        </row>
        <row r="494">
          <cell r="E494" t="str">
            <v>Kabel NYM (3x2,5) mm</v>
          </cell>
        </row>
        <row r="495">
          <cell r="E495" t="str">
            <v>MCB 6A Ex. Supran</v>
          </cell>
        </row>
        <row r="496">
          <cell r="E496" t="str">
            <v>MCB 32A Ex. Supran</v>
          </cell>
        </row>
        <row r="497">
          <cell r="E497" t="str">
            <v>Fuse Box</v>
          </cell>
        </row>
        <row r="498">
          <cell r="E498" t="str">
            <v>Kotak Panil + MCB + Pentanahan</v>
          </cell>
        </row>
        <row r="499">
          <cell r="E499" t="str">
            <v xml:space="preserve">Pengadan dan pemasangan lampu TL 2x36 W </v>
          </cell>
        </row>
        <row r="500">
          <cell r="E500" t="str">
            <v xml:space="preserve">Pengadan dan pemasangan lampu TL 2x18 W </v>
          </cell>
        </row>
        <row r="501">
          <cell r="E501" t="str">
            <v>Pengadan dan pemasangan lampu  SL 25 W</v>
          </cell>
        </row>
        <row r="502">
          <cell r="E502" t="str">
            <v>Pengadan dan pemasangan lampu  SL 18 W</v>
          </cell>
        </row>
        <row r="503">
          <cell r="E503" t="str">
            <v>Pengadan dan pemasangan lampu  Douwn Light SL 25 W</v>
          </cell>
        </row>
        <row r="504">
          <cell r="E504" t="str">
            <v>Pengadan dan pemasangan lampu  gantung SL 25 W</v>
          </cell>
        </row>
        <row r="505">
          <cell r="E505" t="str">
            <v>Pengadan dan pemasangan lampu  SL 18 W</v>
          </cell>
        </row>
        <row r="506">
          <cell r="E506" t="str">
            <v>Pengadan dan pemasangan lampu  kolom SL 25 W</v>
          </cell>
        </row>
        <row r="507">
          <cell r="E507" t="str">
            <v>Pengadan dan pemasangan lampu  gantung SL 25 W</v>
          </cell>
        </row>
        <row r="508">
          <cell r="E508" t="str">
            <v>Kotak kontak biasa 200 VA</v>
          </cell>
        </row>
        <row r="509">
          <cell r="E509" t="str">
            <v>Kotak kontak khusus 1000 VA</v>
          </cell>
        </row>
        <row r="510">
          <cell r="E510" t="str">
            <v>Pengadan dan pemasangan saklar ganda</v>
          </cell>
        </row>
        <row r="511">
          <cell r="E511" t="str">
            <v>Pengadan dan pemasangan saklar tunggal</v>
          </cell>
        </row>
        <row r="512">
          <cell r="E512" t="str">
            <v>Instalasi cahaya</v>
          </cell>
        </row>
        <row r="513">
          <cell r="E513" t="str">
            <v>Instalasi KKB 200 VA</v>
          </cell>
        </row>
        <row r="514">
          <cell r="E514" t="str">
            <v>Instalasi KKK 1000 VA</v>
          </cell>
        </row>
        <row r="515">
          <cell r="E515" t="str">
            <v>Pengadan dan pemasangan panel penerangan</v>
          </cell>
        </row>
        <row r="516">
          <cell r="E516" t="str">
            <v>Tranking kabel</v>
          </cell>
        </row>
        <row r="517">
          <cell r="E517" t="str">
            <v>Distribustion panel + acc</v>
          </cell>
        </row>
        <row r="518">
          <cell r="E518" t="str">
            <v>Kabel NYFGby 4 x 16 mm2 dari Panel Distribution ke Panel Pene</v>
          </cell>
        </row>
        <row r="519">
          <cell r="E519" t="str">
            <v>Alat bantu</v>
          </cell>
        </row>
        <row r="521">
          <cell r="E521" t="str">
            <v>BAHAN BETON CETAK</v>
          </cell>
        </row>
        <row r="522">
          <cell r="E522" t="str">
            <v>Buis beton  1/2 x 30 cm</v>
          </cell>
        </row>
        <row r="523">
          <cell r="E523" t="str">
            <v>Paving blok</v>
          </cell>
        </row>
        <row r="524">
          <cell r="E524" t="str">
            <v>Hollow block (HB 20)</v>
          </cell>
        </row>
        <row r="525">
          <cell r="E525" t="str">
            <v>Hollow block (HB 15)</v>
          </cell>
        </row>
        <row r="526">
          <cell r="E526" t="str">
            <v>Hollow block (HB 10)</v>
          </cell>
        </row>
        <row r="527">
          <cell r="E527" t="str">
            <v>Concrete block (CB 20)</v>
          </cell>
        </row>
        <row r="528">
          <cell r="E528" t="str">
            <v>Concrete block (CB 15)</v>
          </cell>
        </row>
        <row r="529">
          <cell r="E529" t="str">
            <v>Concrete block (CB 10)</v>
          </cell>
        </row>
        <row r="530">
          <cell r="E530" t="str">
            <v>Bondbeam 40x40x20</v>
          </cell>
        </row>
        <row r="531">
          <cell r="E531" t="str">
            <v>Terawang/Roster</v>
          </cell>
        </row>
        <row r="532">
          <cell r="E532" t="str">
            <v>Bata Berongga</v>
          </cell>
        </row>
        <row r="533">
          <cell r="E533" t="str">
            <v>Panel beton pracetak</v>
          </cell>
        </row>
        <row r="534">
          <cell r="E534" t="str">
            <v>Kolom beton pracetak</v>
          </cell>
        </row>
        <row r="535">
          <cell r="E535" t="str">
            <v>Waterstop lebar 150mm</v>
          </cell>
        </row>
        <row r="536">
          <cell r="E536" t="str">
            <v>Waterstop lebar 200mm</v>
          </cell>
        </row>
        <row r="537">
          <cell r="E537" t="str">
            <v>Waterstop lebar 230-320mm</v>
          </cell>
        </row>
        <row r="538">
          <cell r="E538" t="str">
            <v>Spacer/formite/penjaga jarak bekisting</v>
          </cell>
        </row>
        <row r="539">
          <cell r="E539" t="str">
            <v>Tiang Precast Ukuran = 171x17 (Lima  Susun)</v>
          </cell>
        </row>
        <row r="540">
          <cell r="E540" t="str">
            <v>Panel Beton Precast (240x45x5 cm)</v>
          </cell>
        </row>
        <row r="541">
          <cell r="E541" t="str">
            <v>Beton 1 : 1 1/2 : 2 1/2</v>
          </cell>
        </row>
        <row r="544">
          <cell r="E544" t="str">
            <v>PERALATAN KERJA</v>
          </cell>
        </row>
        <row r="545">
          <cell r="E545" t="str">
            <v>Kikir KCL</v>
          </cell>
        </row>
        <row r="546">
          <cell r="E546" t="str">
            <v>Mesin SHIMIZU 130bit</v>
          </cell>
        </row>
        <row r="547">
          <cell r="E547" t="str">
            <v>Gergaji besi</v>
          </cell>
        </row>
        <row r="548">
          <cell r="E548" t="str">
            <v xml:space="preserve">Kuas </v>
          </cell>
        </row>
        <row r="549">
          <cell r="E549" t="str">
            <v>Kuas 4"</v>
          </cell>
        </row>
        <row r="550">
          <cell r="E550" t="str">
            <v>Ember</v>
          </cell>
        </row>
        <row r="551">
          <cell r="E551" t="str">
            <v>Kertas amplas</v>
          </cell>
        </row>
        <row r="552">
          <cell r="E552" t="str">
            <v>Kertas amplas (m)</v>
          </cell>
        </row>
        <row r="553">
          <cell r="E553" t="str">
            <v>Pemotong keramik</v>
          </cell>
        </row>
        <row r="554">
          <cell r="E554" t="str">
            <v>Palu</v>
          </cell>
        </row>
        <row r="555">
          <cell r="E555" t="str">
            <v>Tali ijuk</v>
          </cell>
        </row>
        <row r="556">
          <cell r="E556" t="str">
            <v>Mata gergaji</v>
          </cell>
        </row>
        <row r="557">
          <cell r="E557" t="str">
            <v>Minyak pelumas</v>
          </cell>
        </row>
        <row r="558">
          <cell r="E558" t="str">
            <v>Solar</v>
          </cell>
        </row>
        <row r="559">
          <cell r="E559" t="str">
            <v>Kompressor, blasting</v>
          </cell>
        </row>
        <row r="560">
          <cell r="E560" t="str">
            <v>BBM</v>
          </cell>
        </row>
        <row r="574">
          <cell r="E574" t="str">
            <v>HARGA UPAH KERJA</v>
          </cell>
        </row>
        <row r="576">
          <cell r="E576" t="str">
            <v>Pembantu Tukang</v>
          </cell>
        </row>
        <row r="577">
          <cell r="E577" t="str">
            <v>Tukang kayu</v>
          </cell>
        </row>
        <row r="578">
          <cell r="E578" t="str">
            <v>Tukang las</v>
          </cell>
        </row>
        <row r="579">
          <cell r="E579" t="str">
            <v>Tukang Pipa</v>
          </cell>
        </row>
        <row r="580">
          <cell r="E580" t="str">
            <v>Tukang gali</v>
          </cell>
        </row>
        <row r="581">
          <cell r="E581" t="str">
            <v>Tukang batu</v>
          </cell>
        </row>
        <row r="582">
          <cell r="E582" t="str">
            <v>Tukang besi</v>
          </cell>
        </row>
        <row r="583">
          <cell r="E583" t="str">
            <v>Tukang cat</v>
          </cell>
        </row>
        <row r="584">
          <cell r="E584" t="str">
            <v>Tukang listrik</v>
          </cell>
        </row>
        <row r="585">
          <cell r="E585" t="str">
            <v>Kepala Tukang Kayu</v>
          </cell>
        </row>
        <row r="586">
          <cell r="E586" t="str">
            <v xml:space="preserve">Kepala Tukang Batu </v>
          </cell>
        </row>
        <row r="587">
          <cell r="E587" t="str">
            <v>Kepala Tukang Cat</v>
          </cell>
        </row>
        <row r="588">
          <cell r="E588" t="str">
            <v>Kepala Tukang Listrik</v>
          </cell>
        </row>
        <row r="589">
          <cell r="E589" t="str">
            <v>Kepala Tukang Pipa</v>
          </cell>
        </row>
        <row r="590">
          <cell r="E590" t="str">
            <v>Kepala Tukang Besi</v>
          </cell>
        </row>
        <row r="591">
          <cell r="E591" t="str">
            <v>Mandor</v>
          </cell>
        </row>
        <row r="592">
          <cell r="E592" t="str">
            <v>Pekerja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>
        <row r="3">
          <cell r="R3">
            <v>1.5782400000000001</v>
          </cell>
          <cell r="U3">
            <v>0.61650000000000005</v>
          </cell>
        </row>
      </sheetData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>
        <row r="13">
          <cell r="G13" t="str">
            <v>Tk</v>
          </cell>
        </row>
        <row r="14">
          <cell r="G14" t="str">
            <v>Fk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>
        <row r="21">
          <cell r="H21">
            <v>120000</v>
          </cell>
        </row>
        <row r="24">
          <cell r="H24">
            <v>43000</v>
          </cell>
        </row>
        <row r="30">
          <cell r="H30">
            <v>600</v>
          </cell>
        </row>
        <row r="44">
          <cell r="H44">
            <v>90000</v>
          </cell>
        </row>
        <row r="45">
          <cell r="H45">
            <v>100000</v>
          </cell>
        </row>
        <row r="46">
          <cell r="H46">
            <v>105000</v>
          </cell>
        </row>
        <row r="58">
          <cell r="H58">
            <v>49000</v>
          </cell>
        </row>
        <row r="144">
          <cell r="H144">
            <v>20000</v>
          </cell>
        </row>
        <row r="159">
          <cell r="H159">
            <v>25000</v>
          </cell>
        </row>
        <row r="362">
          <cell r="H362">
            <v>100000</v>
          </cell>
        </row>
        <row r="559">
          <cell r="H559">
            <v>135000</v>
          </cell>
        </row>
        <row r="560">
          <cell r="H560">
            <v>115000</v>
          </cell>
        </row>
        <row r="566">
          <cell r="H566">
            <v>90000</v>
          </cell>
        </row>
        <row r="574">
          <cell r="H574">
            <v>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K1">
            <v>0.1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3">
          <cell r="AW13">
            <v>47472.058636363639</v>
          </cell>
        </row>
        <row r="16">
          <cell r="AW16">
            <v>70230.073977639215</v>
          </cell>
        </row>
        <row r="24">
          <cell r="AW24">
            <v>293927.19306224468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</sheetNames>
    <sheetDataSet>
      <sheetData sheetId="0">
        <row r="1">
          <cell r="A1" t="str">
            <v>ITEM PEMBAYARAN NO.</v>
          </cell>
          <cell r="D1" t="str">
            <v>:  2.1</v>
          </cell>
          <cell r="E1" t="str">
            <v>oke</v>
          </cell>
          <cell r="J1" t="str">
            <v xml:space="preserve">Analisa EI-21 </v>
          </cell>
          <cell r="T1" t="str">
            <v xml:space="preserve">Analisa EI-21 </v>
          </cell>
        </row>
        <row r="2">
          <cell r="A2" t="str">
            <v>JENIS PEKERJAAN</v>
          </cell>
          <cell r="D2" t="str">
            <v>:  Galian Utk Drainase, Saluran dan Saluran Air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 t="str">
            <v/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2.1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Utk Drainase, Saluran dan Saluran Air</v>
          </cell>
          <cell r="R13" t="str">
            <v>TOTAL HARGA (Rp.)</v>
          </cell>
          <cell r="T13" t="str">
            <v>:</v>
          </cell>
          <cell r="U13">
            <v>32339.52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Q14">
            <v>0</v>
          </cell>
          <cell r="R14" t="str">
            <v>% THD. BIAYA PROYEK</v>
          </cell>
          <cell r="T14" t="str">
            <v>:</v>
          </cell>
          <cell r="U14">
            <v>7.6954069998812278E-4</v>
          </cell>
        </row>
        <row r="17">
          <cell r="A17" t="str">
            <v>II.</v>
          </cell>
          <cell r="C17" t="str">
            <v>URUTAN 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Penggalian dilakukan dengan menggunakan Excavator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Selanjutnya Excavator menuangkan material hasil</v>
          </cell>
          <cell r="R19" t="str">
            <v>(Rp.)</v>
          </cell>
          <cell r="S19" t="str">
            <v>(Rp.)</v>
          </cell>
        </row>
        <row r="20">
          <cell r="C20" t="str">
            <v>galian kedalam Dump Truck</v>
          </cell>
        </row>
        <row r="21">
          <cell r="A21">
            <v>3</v>
          </cell>
          <cell r="C21" t="str">
            <v>Dump Truck membuang material hasil galian keluar</v>
          </cell>
        </row>
        <row r="22">
          <cell r="C22" t="str">
            <v>lokasi jalan sejauh</v>
          </cell>
          <cell r="G22" t="str">
            <v>L</v>
          </cell>
          <cell r="H22">
            <v>5</v>
          </cell>
          <cell r="I22" t="str">
            <v>Km</v>
          </cell>
          <cell r="L22" t="str">
            <v>A.</v>
          </cell>
          <cell r="N22" t="str">
            <v>TENAGA</v>
          </cell>
        </row>
        <row r="23">
          <cell r="A23">
            <v>4</v>
          </cell>
          <cell r="C23" t="str">
            <v>Sekelompok pekerja akan merapikan hasil galian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3.6504440701875605E-2</v>
          </cell>
          <cell r="R24">
            <v>2857.14</v>
          </cell>
          <cell r="U24">
            <v>104.29829770695686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9.1261101754689013E-3</v>
          </cell>
          <cell r="R25">
            <v>3214.29</v>
          </cell>
          <cell r="U25">
            <v>29.333964675907936</v>
          </cell>
        </row>
        <row r="26">
          <cell r="A26" t="str">
            <v>III.</v>
          </cell>
          <cell r="C26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R28" t="str">
            <v xml:space="preserve">JUMLAH HARGA TENAGA   </v>
          </cell>
          <cell r="U28">
            <v>133.63226238286478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7">
          <cell r="C37" t="str">
            <v>Faktor Konversi</v>
          </cell>
          <cell r="G37" t="str">
            <v>Fv</v>
          </cell>
          <cell r="H37">
            <v>0.9</v>
          </cell>
        </row>
        <row r="39">
          <cell r="C39" t="str">
            <v>Waktu siklus</v>
          </cell>
          <cell r="G39" t="str">
            <v>Ts1</v>
          </cell>
          <cell r="R39" t="str">
            <v xml:space="preserve">JUMLAH HARGA BAHAN   </v>
          </cell>
          <cell r="U39">
            <v>0</v>
          </cell>
        </row>
        <row r="40">
          <cell r="C40" t="str">
            <v>- Menggali,  memuat dan berputar</v>
          </cell>
          <cell r="G40" t="str">
            <v>T1</v>
          </cell>
          <cell r="H40">
            <v>0.317</v>
          </cell>
          <cell r="I40" t="str">
            <v>menit</v>
          </cell>
        </row>
        <row r="41">
          <cell r="C41" t="str">
            <v>- Lain-lain</v>
          </cell>
          <cell r="G41" t="str">
            <v>T2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2">
          <cell r="G42" t="str">
            <v>Ts1</v>
          </cell>
          <cell r="H42">
            <v>0.317</v>
          </cell>
          <cell r="I42" t="str">
            <v>menit</v>
          </cell>
        </row>
        <row r="43"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9.1261101754689013E-3</v>
          </cell>
          <cell r="R43">
            <v>238185.05650827778</v>
          </cell>
          <cell r="U43">
            <v>2173.7030678448291</v>
          </cell>
        </row>
        <row r="44">
          <cell r="C44" t="str">
            <v>Kap. Prod. / jam =</v>
          </cell>
          <cell r="D44" t="str">
            <v>V  x Fb x Fa x Fv x  60</v>
          </cell>
          <cell r="G44" t="str">
            <v>Q1</v>
          </cell>
          <cell r="H44">
            <v>109.5757097791798</v>
          </cell>
          <cell r="I44" t="str">
            <v xml:space="preserve">M3  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0.16982088218140085</v>
          </cell>
          <cell r="R44">
            <v>153645.58193291764</v>
          </cell>
          <cell r="U44">
            <v>26092.228267122777</v>
          </cell>
        </row>
        <row r="45">
          <cell r="D45" t="str">
            <v>Ts1 x Fk</v>
          </cell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1000</v>
          </cell>
          <cell r="U45">
            <v>1000</v>
          </cell>
        </row>
        <row r="47">
          <cell r="C47" t="str">
            <v>Koefisien Alat / M3</v>
          </cell>
          <cell r="D47" t="str">
            <v xml:space="preserve"> =  1  :  Q1</v>
          </cell>
          <cell r="G47" t="str">
            <v>-</v>
          </cell>
          <cell r="H47">
            <v>9.1261101754689013E-3</v>
          </cell>
          <cell r="I47" t="str">
            <v>Jam</v>
          </cell>
        </row>
        <row r="50">
          <cell r="R50" t="str">
            <v xml:space="preserve">JUMLAH HARGA PERALATAN   </v>
          </cell>
          <cell r="U50">
            <v>29265.931334967605</v>
          </cell>
        </row>
        <row r="51">
          <cell r="A51" t="str">
            <v xml:space="preserve">   2.b.</v>
          </cell>
          <cell r="C51" t="str">
            <v>DUMP TRUCK</v>
          </cell>
          <cell r="G51" t="str">
            <v>(E08)</v>
          </cell>
        </row>
        <row r="52">
          <cell r="C52" t="str">
            <v>Kaasitas bak</v>
          </cell>
          <cell r="G52" t="str">
            <v>V</v>
          </cell>
          <cell r="H52">
            <v>4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29399.563597350469</v>
          </cell>
        </row>
        <row r="53">
          <cell r="C53" t="str">
            <v>Faktor 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2939.956359735047</v>
          </cell>
        </row>
        <row r="54">
          <cell r="C54" t="str">
            <v>Kecepatan rata-rata bermuatan</v>
          </cell>
          <cell r="G54" t="str">
            <v>v1</v>
          </cell>
          <cell r="H54">
            <v>20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32339.519957085515</v>
          </cell>
        </row>
        <row r="55">
          <cell r="C55" t="str">
            <v>Kecepatan rata-rata kosong</v>
          </cell>
          <cell r="G55" t="str">
            <v>v2</v>
          </cell>
          <cell r="H55">
            <v>30</v>
          </cell>
          <cell r="I55" t="str">
            <v>Km/Jam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 siklus  :</v>
          </cell>
          <cell r="G56" t="str">
            <v>Ts2</v>
          </cell>
          <cell r="N56" t="str">
            <v>berat untuk bahan-bahan.</v>
          </cell>
        </row>
        <row r="57">
          <cell r="C57" t="str">
            <v>- Waktu tempuh isi</v>
          </cell>
          <cell r="E57" t="str">
            <v>=   (L  :  v1)  x  60</v>
          </cell>
          <cell r="G57" t="str">
            <v>T1</v>
          </cell>
          <cell r="H57">
            <v>15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</v>
          </cell>
          <cell r="E58" t="str">
            <v>=   (L  :  v2)  x  60</v>
          </cell>
          <cell r="G58" t="str">
            <v>T2</v>
          </cell>
          <cell r="H58">
            <v>10</v>
          </cell>
          <cell r="I58" t="str">
            <v>menit</v>
          </cell>
          <cell r="N58" t="str">
            <v>mata pembayaran.</v>
          </cell>
        </row>
        <row r="59">
          <cell r="C59" t="str">
            <v>- Muat</v>
          </cell>
          <cell r="E59" t="str">
            <v>=   (V  :  Q1) x 60</v>
          </cell>
          <cell r="G59" t="str">
            <v>T3</v>
          </cell>
          <cell r="H59">
            <v>2.1902664421125362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C60" t="str">
            <v>- Lain-lain</v>
          </cell>
          <cell r="G60" t="str">
            <v>T4</v>
          </cell>
          <cell r="H60">
            <v>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G61" t="str">
            <v>Ts2</v>
          </cell>
          <cell r="H61">
            <v>28.190266442112538</v>
          </cell>
          <cell r="I61" t="str">
            <v>menit</v>
          </cell>
          <cell r="N61" t="str">
            <v>yang dibayar dari kontrak) dan biaya-biaya lainnya.</v>
          </cell>
        </row>
        <row r="62">
          <cell r="J62" t="str">
            <v>Berlanjut ke halaman berikut</v>
          </cell>
        </row>
        <row r="63">
          <cell r="A63" t="str">
            <v>ITEM PEMBAYARAN NO.</v>
          </cell>
          <cell r="D63" t="str">
            <v>:  2.1</v>
          </cell>
          <cell r="J63" t="str">
            <v xml:space="preserve">Analisa EI-21 </v>
          </cell>
        </row>
        <row r="64">
          <cell r="A64" t="str">
            <v>JENIS PEKERJAAN</v>
          </cell>
          <cell r="D64" t="str">
            <v>:  Galian Utk Drainase, Saluran dan Saluran Air</v>
          </cell>
        </row>
        <row r="65">
          <cell r="A65" t="str">
            <v>SATUAN PEMBAYARAN</v>
          </cell>
          <cell r="D65" t="str">
            <v>:  M3</v>
          </cell>
          <cell r="J65" t="str">
            <v xml:space="preserve">         URAIAN ANALISA HARGA SATUAN</v>
          </cell>
        </row>
        <row r="66">
          <cell r="J66" t="str">
            <v>Lanjutan</v>
          </cell>
        </row>
        <row r="68">
          <cell r="A68" t="str">
            <v>No.</v>
          </cell>
          <cell r="C68" t="str">
            <v>U R A I A N</v>
          </cell>
          <cell r="G68" t="str">
            <v>KODE</v>
          </cell>
          <cell r="H68" t="str">
            <v>KOEF.</v>
          </cell>
          <cell r="I68" t="str">
            <v>SATUAN</v>
          </cell>
          <cell r="J68" t="str">
            <v>KETERANGAN</v>
          </cell>
        </row>
        <row r="71">
          <cell r="C71" t="str">
            <v>Kapasitas Produksi / Jam   =</v>
          </cell>
          <cell r="E71" t="str">
            <v>V x Fa x 60</v>
          </cell>
          <cell r="G71" t="str">
            <v>Q2</v>
          </cell>
          <cell r="H71">
            <v>5.888557326723876</v>
          </cell>
          <cell r="I71" t="str">
            <v>M3</v>
          </cell>
        </row>
        <row r="72">
          <cell r="E72" t="str">
            <v xml:space="preserve">    Fk x Ts2</v>
          </cell>
        </row>
        <row r="75">
          <cell r="C75" t="str">
            <v>Koefisien Alat / M3</v>
          </cell>
          <cell r="D75" t="str">
            <v xml:space="preserve"> =  1  :  Q2</v>
          </cell>
          <cell r="G75" t="str">
            <v>-</v>
          </cell>
          <cell r="H75">
            <v>0.16982088218140085</v>
          </cell>
          <cell r="I75" t="str">
            <v>Jam</v>
          </cell>
        </row>
        <row r="78">
          <cell r="A78" t="str">
            <v>2.d.</v>
          </cell>
          <cell r="C78" t="str">
            <v>ALAT  BANTU</v>
          </cell>
        </row>
        <row r="79">
          <cell r="C79" t="str">
            <v>Diperlukan alat-alat bantu kecil</v>
          </cell>
          <cell r="J79" t="str">
            <v>Lump Sump</v>
          </cell>
        </row>
        <row r="80">
          <cell r="C80" t="str">
            <v>- Sekop</v>
          </cell>
        </row>
        <row r="81">
          <cell r="C81" t="str">
            <v>- Keranjang + Sapu</v>
          </cell>
        </row>
        <row r="83">
          <cell r="A83" t="str">
            <v xml:space="preserve">   3.</v>
          </cell>
          <cell r="C83" t="str">
            <v>TENAGA</v>
          </cell>
        </row>
        <row r="84">
          <cell r="C84" t="str">
            <v>Produksi menentukan : EXCAVATOR</v>
          </cell>
          <cell r="G84" t="str">
            <v>Q1</v>
          </cell>
          <cell r="H84">
            <v>109.5757097791798</v>
          </cell>
          <cell r="I84" t="str">
            <v>M3/Jam</v>
          </cell>
        </row>
        <row r="85">
          <cell r="C85" t="str">
            <v>Produksi Galian / hari  =  Tk x Q1</v>
          </cell>
          <cell r="G85" t="str">
            <v>Qt</v>
          </cell>
          <cell r="H85">
            <v>767.02996845425866</v>
          </cell>
          <cell r="I85" t="str">
            <v>M3</v>
          </cell>
        </row>
        <row r="86">
          <cell r="C86" t="str">
            <v>Kebutuhan tenaga :</v>
          </cell>
        </row>
        <row r="87">
          <cell r="D87" t="str">
            <v>- Pekerja</v>
          </cell>
          <cell r="G87" t="str">
            <v>P</v>
          </cell>
          <cell r="H87">
            <v>4</v>
          </cell>
          <cell r="I87" t="str">
            <v>orang</v>
          </cell>
        </row>
        <row r="88">
          <cell r="D88" t="str">
            <v>- Mandor</v>
          </cell>
          <cell r="G88" t="str">
            <v>M</v>
          </cell>
          <cell r="H88">
            <v>1</v>
          </cell>
          <cell r="I88" t="str">
            <v>orang</v>
          </cell>
        </row>
        <row r="90">
          <cell r="C90" t="str">
            <v>Koefisien tenaga / M3   :</v>
          </cell>
        </row>
        <row r="91">
          <cell r="D91" t="str">
            <v>- Pekerja</v>
          </cell>
          <cell r="E91" t="str">
            <v>= (Tk x P) : Qt</v>
          </cell>
          <cell r="G91" t="str">
            <v>(L01)</v>
          </cell>
          <cell r="H91">
            <v>3.6504440701875605E-2</v>
          </cell>
          <cell r="I91" t="str">
            <v>Jam</v>
          </cell>
        </row>
        <row r="92">
          <cell r="D92" t="str">
            <v>- Mandor</v>
          </cell>
          <cell r="E92" t="str">
            <v>= (Tk x M) : Qt</v>
          </cell>
          <cell r="G92" t="str">
            <v>(L03)</v>
          </cell>
          <cell r="H92">
            <v>9.1261101754689013E-3</v>
          </cell>
          <cell r="I92" t="str">
            <v>Jam</v>
          </cell>
        </row>
        <row r="94">
          <cell r="A94" t="str">
            <v>4.</v>
          </cell>
          <cell r="C94" t="str">
            <v>HARGA DASAR SATUAN UPAH, BAHAN DAN ALAT</v>
          </cell>
        </row>
        <row r="95">
          <cell r="C95" t="str">
            <v>Lihat lampiran.</v>
          </cell>
        </row>
        <row r="97">
          <cell r="A97" t="str">
            <v>5.</v>
          </cell>
          <cell r="C97" t="str">
            <v>ANALISA HARGA SATUAN PEKERJAAN</v>
          </cell>
        </row>
        <row r="98">
          <cell r="C98" t="str">
            <v>Lihat perhitungan dalam FORMULIR STANDAR UNTUK</v>
          </cell>
        </row>
        <row r="99">
          <cell r="C99" t="str">
            <v>PEREKEMAN ANALISA MASING-MASING HARGA</v>
          </cell>
        </row>
        <row r="100">
          <cell r="C100" t="str">
            <v>SATUAN.</v>
          </cell>
        </row>
        <row r="101">
          <cell r="C101" t="str">
            <v>Didapat Harga Satuan Pekerjaan :</v>
          </cell>
        </row>
        <row r="103">
          <cell r="C103" t="str">
            <v xml:space="preserve">Rp.  </v>
          </cell>
          <cell r="D103">
            <v>32339.519957085515</v>
          </cell>
          <cell r="E103" t="str">
            <v xml:space="preserve"> / M3</v>
          </cell>
        </row>
        <row r="106">
          <cell r="A106" t="str">
            <v>6.</v>
          </cell>
          <cell r="C106" t="str">
            <v>WAKTU PELAKSANAAN YANG DIPERLUKAN</v>
          </cell>
        </row>
        <row r="107">
          <cell r="C107" t="str">
            <v>Masa Pelaksanaan :</v>
          </cell>
          <cell r="D107" t="str">
            <v>. . . . . . . . . . . .</v>
          </cell>
          <cell r="E107" t="str">
            <v>bulan</v>
          </cell>
        </row>
        <row r="109">
          <cell r="A109" t="str">
            <v>7.</v>
          </cell>
          <cell r="C109" t="str">
            <v>VOLUME PEKERJAAN YANG DIPERLUKAN</v>
          </cell>
        </row>
        <row r="110">
          <cell r="C110" t="str">
            <v>Volume pekerjaan  :</v>
          </cell>
          <cell r="D110">
            <v>1</v>
          </cell>
          <cell r="E110" t="str">
            <v>M3</v>
          </cell>
        </row>
        <row r="121">
          <cell r="T121" t="str">
            <v xml:space="preserve">Analisa LI-22 </v>
          </cell>
        </row>
        <row r="123">
          <cell r="A123" t="str">
            <v>ITEM PEMBAYARAN NO.</v>
          </cell>
          <cell r="D123" t="str">
            <v>:  2.2</v>
          </cell>
          <cell r="E123" t="str">
            <v>oke</v>
          </cell>
          <cell r="J123" t="str">
            <v xml:space="preserve">Analisa EI-22 </v>
          </cell>
        </row>
        <row r="124">
          <cell r="A124" t="str">
            <v>JENIS PEKERJAAN</v>
          </cell>
          <cell r="D124" t="str">
            <v>:  Pasangan Batu Dengan Mortar untuk Saluran</v>
          </cell>
          <cell r="L124" t="str">
            <v>FORMULIR STANDAR UNTUK</v>
          </cell>
        </row>
        <row r="125">
          <cell r="A125" t="str">
            <v>SATUAN PEMBAYARAN</v>
          </cell>
          <cell r="D125" t="str">
            <v>:  M3</v>
          </cell>
          <cell r="J125" t="str">
            <v xml:space="preserve">         URAIAN ANALISA HARGA SATUAN</v>
          </cell>
          <cell r="L125" t="str">
            <v>PEREKAMAN ANALISA MASING-MASING HARGA SATUAN</v>
          </cell>
        </row>
        <row r="126">
          <cell r="L126" t="str">
            <v/>
          </cell>
        </row>
        <row r="128">
          <cell r="A128" t="str">
            <v>No.</v>
          </cell>
          <cell r="C128" t="str">
            <v>U R A I A N</v>
          </cell>
          <cell r="G128" t="str">
            <v>KODE</v>
          </cell>
          <cell r="H128" t="str">
            <v>KOEF.</v>
          </cell>
          <cell r="I128" t="str">
            <v>SATUAN</v>
          </cell>
          <cell r="J128" t="str">
            <v>KETERANGAN</v>
          </cell>
        </row>
        <row r="129">
          <cell r="L129" t="str">
            <v>PROYEK</v>
          </cell>
          <cell r="O129" t="str">
            <v>:</v>
          </cell>
        </row>
        <row r="130">
          <cell r="L130" t="str">
            <v>No. PAKET KONTRAK</v>
          </cell>
          <cell r="O130" t="str">
            <v>:</v>
          </cell>
        </row>
        <row r="131">
          <cell r="A131" t="str">
            <v>I.</v>
          </cell>
          <cell r="C131" t="str">
            <v>ASUMSI</v>
          </cell>
          <cell r="L131" t="str">
            <v>NAMA PAKET</v>
          </cell>
          <cell r="O131" t="str">
            <v>:</v>
          </cell>
        </row>
        <row r="132">
          <cell r="A132">
            <v>1</v>
          </cell>
          <cell r="C132" t="str">
            <v>Menggunakan alat (cara mekanik)</v>
          </cell>
          <cell r="L132" t="str">
            <v>PROP / KAB / KODYA</v>
          </cell>
          <cell r="O132" t="str">
            <v>:</v>
          </cell>
        </row>
        <row r="133">
          <cell r="A133">
            <v>2</v>
          </cell>
          <cell r="C133" t="str">
            <v>Lokasi pekerjaan : sepanjang jalan</v>
          </cell>
          <cell r="L133" t="str">
            <v>ITEM PEMBAYARAN NO.</v>
          </cell>
          <cell r="O133" t="str">
            <v>:  2.2</v>
          </cell>
          <cell r="R133" t="str">
            <v>PERKIRAAN VOL. PEK.</v>
          </cell>
          <cell r="T133" t="str">
            <v>:</v>
          </cell>
          <cell r="U133">
            <v>1</v>
          </cell>
        </row>
        <row r="134">
          <cell r="A134">
            <v>3</v>
          </cell>
          <cell r="C134" t="str">
            <v>Bahan dasar (batu, pasir dan semen) diterima</v>
          </cell>
          <cell r="L134" t="str">
            <v>JENIS PEKERJAAN</v>
          </cell>
          <cell r="O134" t="str">
            <v>:  Pasangan Batu Dengan Mortar untuk Saluran</v>
          </cell>
          <cell r="R134" t="str">
            <v>TOTAL HARGA (Rp.)</v>
          </cell>
          <cell r="T134" t="str">
            <v>:</v>
          </cell>
          <cell r="U134">
            <v>32339.52</v>
          </cell>
        </row>
        <row r="135">
          <cell r="C135" t="str">
            <v>seluruhnya di lokasi pekerjaan</v>
          </cell>
          <cell r="L135" t="str">
            <v>SATUAN PEMBAYARAN</v>
          </cell>
          <cell r="O135" t="str">
            <v>:  M3</v>
          </cell>
          <cell r="R135" t="str">
            <v>% THD. BIAYA PROYEK</v>
          </cell>
          <cell r="T135" t="str">
            <v>:</v>
          </cell>
          <cell r="U135" t="e">
            <v>#DIV/0!</v>
          </cell>
        </row>
        <row r="136">
          <cell r="A136">
            <v>4</v>
          </cell>
          <cell r="C136" t="str">
            <v>Jarak rata-rata Base camp ke lokasi pekerjaan</v>
          </cell>
          <cell r="G136" t="str">
            <v>L</v>
          </cell>
          <cell r="H136">
            <v>8.7249999999999996</v>
          </cell>
          <cell r="I136" t="str">
            <v>KM</v>
          </cell>
        </row>
        <row r="137">
          <cell r="A137">
            <v>5</v>
          </cell>
          <cell r="C137" t="str">
            <v>Jam kerja efektif per-hari</v>
          </cell>
          <cell r="G137" t="str">
            <v>Tk</v>
          </cell>
          <cell r="H137">
            <v>7</v>
          </cell>
          <cell r="I137" t="str">
            <v>jam</v>
          </cell>
        </row>
        <row r="138">
          <cell r="A138">
            <v>6</v>
          </cell>
          <cell r="C138" t="str">
            <v>Perbandingan Pasir &amp; Semen</v>
          </cell>
          <cell r="E138" t="str">
            <v>: - Volume Semen</v>
          </cell>
          <cell r="G138" t="str">
            <v>Sm</v>
          </cell>
          <cell r="H138">
            <v>20</v>
          </cell>
          <cell r="I138" t="str">
            <v>%</v>
          </cell>
          <cell r="J138" t="str">
            <v xml:space="preserve"> Kuat Tekan min.</v>
          </cell>
          <cell r="Q138" t="str">
            <v>PERKIRAAN</v>
          </cell>
          <cell r="R138" t="str">
            <v>HARGA</v>
          </cell>
          <cell r="S138" t="str">
            <v>JUMLAH</v>
          </cell>
        </row>
        <row r="139">
          <cell r="E139" t="str">
            <v>: - Volume Pasir</v>
          </cell>
          <cell r="G139" t="str">
            <v>Ps</v>
          </cell>
          <cell r="H139">
            <v>80</v>
          </cell>
          <cell r="I139" t="str">
            <v>%</v>
          </cell>
          <cell r="J139" t="str">
            <v xml:space="preserve"> 50 kg/cm2</v>
          </cell>
          <cell r="L139" t="str">
            <v>NO.</v>
          </cell>
          <cell r="N139" t="str">
            <v>KOMPONEN</v>
          </cell>
          <cell r="P139" t="str">
            <v>SATUAN</v>
          </cell>
          <cell r="Q139" t="str">
            <v>KUANTITAS</v>
          </cell>
          <cell r="R139" t="str">
            <v>SATUAN</v>
          </cell>
          <cell r="S139" t="str">
            <v>HARGA</v>
          </cell>
        </row>
        <row r="140">
          <cell r="A140">
            <v>7</v>
          </cell>
          <cell r="C140" t="str">
            <v>Perbandingan Batu &amp; Mortar  :</v>
          </cell>
          <cell r="R140" t="str">
            <v>(Rp.)</v>
          </cell>
          <cell r="S140" t="str">
            <v>(Rp.)</v>
          </cell>
        </row>
        <row r="141">
          <cell r="C141" t="str">
            <v>- Batu</v>
          </cell>
          <cell r="G141" t="str">
            <v>Bt</v>
          </cell>
          <cell r="H141">
            <v>60</v>
          </cell>
          <cell r="I141" t="str">
            <v>%</v>
          </cell>
        </row>
        <row r="142">
          <cell r="C142" t="str">
            <v>- Mortar (campuran semen &amp; pasir)</v>
          </cell>
          <cell r="G142" t="str">
            <v>Mr</v>
          </cell>
          <cell r="H142">
            <v>40</v>
          </cell>
          <cell r="I142" t="str">
            <v>%</v>
          </cell>
        </row>
        <row r="143">
          <cell r="A143">
            <v>8</v>
          </cell>
          <cell r="C143" t="str">
            <v>Berat Jenis Bahan  :</v>
          </cell>
          <cell r="L143" t="str">
            <v>A.</v>
          </cell>
          <cell r="N143" t="str">
            <v>TENAGA</v>
          </cell>
        </row>
        <row r="144">
          <cell r="C144" t="str">
            <v>- Pasangan Batu Dengan Mortar</v>
          </cell>
          <cell r="G144" t="str">
            <v>D1</v>
          </cell>
          <cell r="H144">
            <v>2.4</v>
          </cell>
          <cell r="I144" t="str">
            <v>ton/M3</v>
          </cell>
        </row>
        <row r="145">
          <cell r="C145" t="str">
            <v>- Batu</v>
          </cell>
          <cell r="G145" t="str">
            <v>D2</v>
          </cell>
          <cell r="H145">
            <v>1.6</v>
          </cell>
          <cell r="I145" t="str">
            <v>ton/M3</v>
          </cell>
          <cell r="L145" t="str">
            <v>1.</v>
          </cell>
          <cell r="N145" t="str">
            <v>Pekerja</v>
          </cell>
          <cell r="O145" t="str">
            <v>(L01)</v>
          </cell>
          <cell r="P145" t="str">
            <v>jam</v>
          </cell>
          <cell r="Q145">
            <v>5.2208835341365463</v>
          </cell>
          <cell r="R145">
            <v>2857.14</v>
          </cell>
          <cell r="U145">
            <v>14916.795180722891</v>
          </cell>
        </row>
        <row r="146">
          <cell r="C146" t="str">
            <v>- Adukan (mortar)</v>
          </cell>
          <cell r="G146" t="str">
            <v>D3</v>
          </cell>
          <cell r="H146">
            <v>1.8</v>
          </cell>
          <cell r="I146" t="str">
            <v>ton/M3</v>
          </cell>
          <cell r="L146" t="str">
            <v>2.</v>
          </cell>
          <cell r="N146" t="str">
            <v>Tukang Batu</v>
          </cell>
          <cell r="O146" t="str">
            <v>(L02)</v>
          </cell>
          <cell r="P146" t="str">
            <v>jam</v>
          </cell>
          <cell r="Q146">
            <v>1.5662650602409638</v>
          </cell>
          <cell r="R146">
            <v>4285.71</v>
          </cell>
          <cell r="U146">
            <v>6712.5578313253009</v>
          </cell>
        </row>
        <row r="147">
          <cell r="C147" t="str">
            <v>- Pasir</v>
          </cell>
          <cell r="G147" t="str">
            <v>D4</v>
          </cell>
          <cell r="H147">
            <v>1.67</v>
          </cell>
          <cell r="I147" t="str">
            <v>ton/M3</v>
          </cell>
          <cell r="L147" t="str">
            <v>3.</v>
          </cell>
          <cell r="N147" t="str">
            <v>Mandor</v>
          </cell>
          <cell r="O147" t="str">
            <v>(L03)</v>
          </cell>
          <cell r="P147" t="str">
            <v>jam</v>
          </cell>
          <cell r="Q147">
            <v>0.52208835341365456</v>
          </cell>
          <cell r="R147">
            <v>3214.29</v>
          </cell>
          <cell r="U147">
            <v>1678.1433734939758</v>
          </cell>
        </row>
        <row r="148">
          <cell r="C148" t="str">
            <v>- Semen Portland</v>
          </cell>
          <cell r="G148" t="str">
            <v>D5</v>
          </cell>
          <cell r="H148">
            <v>1.44</v>
          </cell>
          <cell r="I148" t="str">
            <v>ton/M3</v>
          </cell>
        </row>
        <row r="149">
          <cell r="Q149" t="str">
            <v xml:space="preserve">JUMLAH HARGA TENAGA   </v>
          </cell>
          <cell r="U149">
            <v>23307.496385542167</v>
          </cell>
        </row>
        <row r="150">
          <cell r="A150" t="str">
            <v>II.</v>
          </cell>
          <cell r="C150" t="str">
            <v>URUTAN KERJA</v>
          </cell>
        </row>
        <row r="151">
          <cell r="A151">
            <v>1</v>
          </cell>
          <cell r="C151" t="str">
            <v>Semen, pasir dan air dicampur dan diaduk menjadi</v>
          </cell>
          <cell r="L151" t="str">
            <v>B.</v>
          </cell>
          <cell r="N151" t="str">
            <v>BAHAN</v>
          </cell>
        </row>
        <row r="152">
          <cell r="C152" t="str">
            <v>mortar dengan menggunakan alat bantu</v>
          </cell>
        </row>
        <row r="153">
          <cell r="A153">
            <v>2</v>
          </cell>
          <cell r="C153" t="str">
            <v>Batu dibersihkan dan dibasahi seluruh permukaannya</v>
          </cell>
          <cell r="L153" t="str">
            <v>1.</v>
          </cell>
          <cell r="N153" t="str">
            <v>Batu</v>
          </cell>
          <cell r="O153" t="str">
            <v>(M02)</v>
          </cell>
          <cell r="P153" t="str">
            <v>M3</v>
          </cell>
          <cell r="Q153">
            <v>1.08</v>
          </cell>
          <cell r="R153">
            <v>166100</v>
          </cell>
          <cell r="U153">
            <v>179388</v>
          </cell>
        </row>
        <row r="154">
          <cell r="C154" t="str">
            <v>sebelum dipasang</v>
          </cell>
          <cell r="L154" t="str">
            <v>2.</v>
          </cell>
          <cell r="N154" t="str">
            <v>Semen (PC)</v>
          </cell>
          <cell r="O154" t="str">
            <v>(M12)</v>
          </cell>
          <cell r="P154" t="str">
            <v>zak</v>
          </cell>
          <cell r="Q154">
            <v>161</v>
          </cell>
          <cell r="R154">
            <v>688.65625</v>
          </cell>
          <cell r="U154">
            <v>110873.65625</v>
          </cell>
        </row>
        <row r="155">
          <cell r="A155">
            <v>3</v>
          </cell>
          <cell r="C155" t="str">
            <v>Penyelesaian dan perapihan setelah pemasangan</v>
          </cell>
          <cell r="L155" t="str">
            <v>3.</v>
          </cell>
          <cell r="N155" t="str">
            <v>Pasir</v>
          </cell>
          <cell r="O155" t="str">
            <v>(M01)</v>
          </cell>
          <cell r="P155" t="str">
            <v>M3</v>
          </cell>
          <cell r="Q155">
            <v>0.48287425149700602</v>
          </cell>
          <cell r="R155">
            <v>54300</v>
          </cell>
          <cell r="U155">
            <v>26220.071856287428</v>
          </cell>
        </row>
        <row r="157">
          <cell r="A157" t="str">
            <v>III.</v>
          </cell>
          <cell r="C157" t="str">
            <v>PEMAKAIAN BAHAN, ALAT DAN TENAGA</v>
          </cell>
        </row>
        <row r="159">
          <cell r="A159" t="str">
            <v xml:space="preserve">   1.</v>
          </cell>
          <cell r="C159" t="str">
            <v>BAHAN</v>
          </cell>
        </row>
        <row r="160">
          <cell r="A160" t="str">
            <v>1.a.</v>
          </cell>
          <cell r="C160" t="str">
            <v>Batu     -----&gt;</v>
          </cell>
          <cell r="D160" t="str">
            <v>{(Bt x D1 x 1 M3) : D2} x 1.20</v>
          </cell>
          <cell r="G160" t="str">
            <v>(M02)</v>
          </cell>
          <cell r="H160">
            <v>1.08</v>
          </cell>
          <cell r="I160" t="str">
            <v>M3</v>
          </cell>
          <cell r="J160" t="str">
            <v xml:space="preserve"> Lepas</v>
          </cell>
          <cell r="Q160" t="str">
            <v xml:space="preserve">JUMLAH HARGA BAHAN   </v>
          </cell>
          <cell r="U160">
            <v>316481.72810628742</v>
          </cell>
        </row>
        <row r="161">
          <cell r="A161" t="str">
            <v>1.b.</v>
          </cell>
          <cell r="C161" t="str">
            <v>Semen    ----&gt;</v>
          </cell>
          <cell r="D161" t="str">
            <v>Sm x {(Mr x D1 x 1 M3} : D3} x 1.05</v>
          </cell>
          <cell r="H161">
            <v>0.11200000000000002</v>
          </cell>
          <cell r="I161" t="str">
            <v>M3</v>
          </cell>
        </row>
        <row r="162">
          <cell r="D162" t="str">
            <v>x {D5 x (1000)}</v>
          </cell>
          <cell r="G162" t="str">
            <v>(M12)</v>
          </cell>
          <cell r="H162">
            <v>161</v>
          </cell>
          <cell r="I162" t="str">
            <v>Kg</v>
          </cell>
          <cell r="L162" t="str">
            <v>C.</v>
          </cell>
          <cell r="N162" t="str">
            <v>PERALATAN</v>
          </cell>
        </row>
        <row r="163">
          <cell r="A163" t="str">
            <v>1.c.</v>
          </cell>
          <cell r="C163" t="str">
            <v>Pasir    -----&gt;</v>
          </cell>
          <cell r="D163" t="str">
            <v>Ps x {(Mr x D1 x 1 M3) : D4} x 1.05</v>
          </cell>
          <cell r="G163" t="str">
            <v>(M01)</v>
          </cell>
          <cell r="H163">
            <v>0.48287425149700602</v>
          </cell>
          <cell r="I163" t="str">
            <v>M3</v>
          </cell>
        </row>
        <row r="164">
          <cell r="L164" t="str">
            <v>1.</v>
          </cell>
          <cell r="N164" t="str">
            <v>Conc. Mixer</v>
          </cell>
          <cell r="O164" t="str">
            <v>(E06)</v>
          </cell>
          <cell r="P164" t="str">
            <v>jam</v>
          </cell>
          <cell r="Q164">
            <v>0.52208835341365456</v>
          </cell>
          <cell r="R164">
            <v>47472.058636363639</v>
          </cell>
          <cell r="U164">
            <v>24784.60892661555</v>
          </cell>
        </row>
        <row r="165">
          <cell r="A165" t="str">
            <v>2.</v>
          </cell>
          <cell r="C165" t="str">
            <v>ALAT</v>
          </cell>
          <cell r="L165" t="str">
            <v>2.</v>
          </cell>
          <cell r="N165" t="str">
            <v>Alat Bantu</v>
          </cell>
          <cell r="P165" t="str">
            <v>Ls</v>
          </cell>
          <cell r="Q165">
            <v>1</v>
          </cell>
          <cell r="R165">
            <v>900</v>
          </cell>
          <cell r="U165">
            <v>900</v>
          </cell>
        </row>
        <row r="166">
          <cell r="A166" t="str">
            <v>2.a.</v>
          </cell>
          <cell r="C166" t="str">
            <v>CONCRETE MIXER</v>
          </cell>
          <cell r="G166" t="str">
            <v>(E06)</v>
          </cell>
        </row>
        <row r="167">
          <cell r="C167" t="str">
            <v>Kapasitas Alat</v>
          </cell>
          <cell r="G167" t="str">
            <v>V</v>
          </cell>
          <cell r="H167">
            <v>500</v>
          </cell>
          <cell r="I167" t="str">
            <v>Liter</v>
          </cell>
        </row>
        <row r="168">
          <cell r="C168" t="str">
            <v>Faktor Efisiensi Alat</v>
          </cell>
          <cell r="G168" t="str">
            <v>Fa</v>
          </cell>
          <cell r="H168">
            <v>0.83</v>
          </cell>
          <cell r="I168" t="str">
            <v>-</v>
          </cell>
        </row>
        <row r="169">
          <cell r="C169" t="str">
            <v>Waktu siklus   :</v>
          </cell>
          <cell r="D169" t="str">
            <v>(T1 + T2 + T3 + T4)</v>
          </cell>
        </row>
        <row r="170">
          <cell r="C170" t="str">
            <v>-  Memuat</v>
          </cell>
          <cell r="G170" t="str">
            <v>T1</v>
          </cell>
          <cell r="H170">
            <v>5</v>
          </cell>
          <cell r="I170" t="str">
            <v>menit</v>
          </cell>
        </row>
        <row r="171">
          <cell r="C171" t="str">
            <v>-  Mengaduk</v>
          </cell>
          <cell r="G171" t="str">
            <v>T2</v>
          </cell>
          <cell r="H171">
            <v>3.5</v>
          </cell>
          <cell r="I171" t="str">
            <v>menit</v>
          </cell>
          <cell r="Q171" t="str">
            <v xml:space="preserve">JUMLAH HARGA PERALATAN   </v>
          </cell>
          <cell r="U171">
            <v>25684.60892661555</v>
          </cell>
        </row>
        <row r="172">
          <cell r="C172" t="str">
            <v>-  Menuang</v>
          </cell>
          <cell r="G172" t="str">
            <v>T3</v>
          </cell>
          <cell r="H172">
            <v>3</v>
          </cell>
          <cell r="I172" t="str">
            <v>menit</v>
          </cell>
        </row>
        <row r="173">
          <cell r="C173" t="str">
            <v>-  Menunggu, dll.</v>
          </cell>
          <cell r="G173" t="str">
            <v>T4</v>
          </cell>
          <cell r="H173">
            <v>1.5</v>
          </cell>
          <cell r="I173" t="str">
            <v>menit</v>
          </cell>
          <cell r="L173" t="str">
            <v>D.</v>
          </cell>
          <cell r="N173" t="str">
            <v>JUMLAH HARGA TENAGA, BAHAN DAN PERALATAN  ( A + B + C )</v>
          </cell>
          <cell r="U173">
            <v>365473.83341844514</v>
          </cell>
        </row>
        <row r="174">
          <cell r="G174" t="str">
            <v>Ts1</v>
          </cell>
          <cell r="H174">
            <v>13</v>
          </cell>
          <cell r="I174" t="str">
            <v>menit</v>
          </cell>
          <cell r="L174" t="str">
            <v>E.</v>
          </cell>
          <cell r="N174" t="str">
            <v>OVERHEAD &amp; PROFIT</v>
          </cell>
          <cell r="P174">
            <v>10</v>
          </cell>
          <cell r="Q174" t="str">
            <v>%  x  D</v>
          </cell>
          <cell r="U174">
            <v>36547.383341844514</v>
          </cell>
        </row>
        <row r="175">
          <cell r="L175" t="str">
            <v>F.</v>
          </cell>
          <cell r="N175" t="str">
            <v>HARGA SATUAN PEKERJAAN  ( D + E )</v>
          </cell>
          <cell r="U175">
            <v>402021.21676028962</v>
          </cell>
        </row>
        <row r="176">
          <cell r="C176" t="str">
            <v>Kap. Prod. / jam  =</v>
          </cell>
          <cell r="D176" t="str">
            <v>V x Fa x 60</v>
          </cell>
          <cell r="G176" t="str">
            <v>Q1</v>
          </cell>
          <cell r="H176">
            <v>1.9153846153846155</v>
          </cell>
          <cell r="I176" t="str">
            <v>M3</v>
          </cell>
          <cell r="L176" t="str">
            <v>Note: 1</v>
          </cell>
          <cell r="N176" t="str">
            <v>SATUAN dapat berdasarkan atas jam operasi untuk Tenaga Kerja dan Peralatan, volume dan/atau ukuran</v>
          </cell>
        </row>
        <row r="177">
          <cell r="D177" t="str">
            <v>1000 x Ts1</v>
          </cell>
          <cell r="N177" t="str">
            <v>berat untuk bahan-bahan.</v>
          </cell>
        </row>
        <row r="178">
          <cell r="L178">
            <v>2</v>
          </cell>
          <cell r="N178" t="str">
            <v>Kuantitas satuan adalah kuantitas setiap komponen untuk menyelesaikan satu satuan pekerjaan dari nomor</v>
          </cell>
        </row>
        <row r="179">
          <cell r="C179" t="str">
            <v>Koefisien Alat / M3</v>
          </cell>
          <cell r="D179" t="str">
            <v xml:space="preserve">  =   1  :  Q1</v>
          </cell>
          <cell r="G179" t="str">
            <v>(E06)</v>
          </cell>
          <cell r="H179">
            <v>0.52208835341365456</v>
          </cell>
          <cell r="I179" t="str">
            <v>jam</v>
          </cell>
          <cell r="N179" t="str">
            <v>mata pembayaran.</v>
          </cell>
        </row>
        <row r="180">
          <cell r="L180">
            <v>3</v>
          </cell>
          <cell r="N180" t="str">
            <v>Biaya satuan untuk peralatan sudah termasuk bahan bakar, bahan habis dipakai dan operator.</v>
          </cell>
        </row>
        <row r="181">
          <cell r="L181">
            <v>4</v>
          </cell>
          <cell r="N181" t="str">
            <v>Biaya satuan sudah termasuk pengeluaran untuk seluruh pajak yang berkaitan (tetapi tidak termasuk PPN</v>
          </cell>
        </row>
        <row r="182">
          <cell r="N182" t="str">
            <v>yang dibayar dari kontrak) dan biaya-biaya lainnya.</v>
          </cell>
        </row>
        <row r="183">
          <cell r="J183" t="str">
            <v>Berlanjut ke halaman berikut</v>
          </cell>
        </row>
        <row r="184">
          <cell r="A184" t="str">
            <v>ITEM PEMBAYARAN NO.</v>
          </cell>
          <cell r="D184" t="str">
            <v>:  2.2</v>
          </cell>
          <cell r="J184" t="str">
            <v xml:space="preserve">Analisa EI-22 </v>
          </cell>
        </row>
        <row r="185">
          <cell r="A185" t="str">
            <v>JENIS PEKERJAAN</v>
          </cell>
          <cell r="D185" t="str">
            <v>:  Pasangan Batu Dengan Mortar untuk Saluran</v>
          </cell>
        </row>
        <row r="186">
          <cell r="A186" t="str">
            <v>SATUAN PEMBAYARAN</v>
          </cell>
          <cell r="D186" t="str">
            <v>:  M3</v>
          </cell>
          <cell r="J186" t="str">
            <v xml:space="preserve">         URAIAN ANALISA HARGA SATUAN</v>
          </cell>
        </row>
        <row r="187">
          <cell r="J187" t="str">
            <v>Lanjutan</v>
          </cell>
        </row>
        <row r="189">
          <cell r="A189" t="str">
            <v>No.</v>
          </cell>
          <cell r="C189" t="str">
            <v>U R A I A N</v>
          </cell>
          <cell r="G189" t="str">
            <v>KODE</v>
          </cell>
          <cell r="H189" t="str">
            <v>KOEF.</v>
          </cell>
          <cell r="I189" t="str">
            <v>SATUAN</v>
          </cell>
          <cell r="J189" t="str">
            <v>KETERANGAN</v>
          </cell>
        </row>
        <row r="193">
          <cell r="A193" t="str">
            <v>2.a.</v>
          </cell>
          <cell r="C193" t="str">
            <v>ALAT BANTU</v>
          </cell>
          <cell r="I193" t="str">
            <v>Lump Sum</v>
          </cell>
        </row>
        <row r="194">
          <cell r="C194" t="str">
            <v>Diperlukan  :</v>
          </cell>
        </row>
        <row r="195">
          <cell r="C195" t="str">
            <v>- Sekop</v>
          </cell>
          <cell r="D195" t="str">
            <v>=  4  buah</v>
          </cell>
        </row>
        <row r="196">
          <cell r="C196" t="str">
            <v>- Pacul</v>
          </cell>
          <cell r="D196" t="str">
            <v>=  4  buah</v>
          </cell>
        </row>
        <row r="197">
          <cell r="C197" t="str">
            <v>- Sendok Semen</v>
          </cell>
          <cell r="D197" t="str">
            <v>=  4  buah</v>
          </cell>
        </row>
        <row r="198">
          <cell r="C198" t="str">
            <v>- Ember Cor</v>
          </cell>
          <cell r="D198" t="str">
            <v>=  8  buah</v>
          </cell>
        </row>
        <row r="199">
          <cell r="C199" t="str">
            <v>- Gerobak Dorong</v>
          </cell>
          <cell r="D199" t="str">
            <v>=  3  buah</v>
          </cell>
        </row>
        <row r="203">
          <cell r="A203" t="str">
            <v>3.</v>
          </cell>
          <cell r="C203" t="str">
            <v>TENAGA</v>
          </cell>
        </row>
        <row r="204">
          <cell r="C204" t="str">
            <v>Produksi Pas. Batu yang menentukan</v>
          </cell>
          <cell r="E204" t="str">
            <v>( Prod. C. Mixer )</v>
          </cell>
          <cell r="G204" t="str">
            <v>Q1</v>
          </cell>
          <cell r="H204">
            <v>1.9153846153846155</v>
          </cell>
          <cell r="I204" t="str">
            <v>M3/Jam</v>
          </cell>
        </row>
        <row r="205">
          <cell r="C205" t="str">
            <v>Produksi Pasangan Batu dalam 1 hari  =  Tk x Q1</v>
          </cell>
          <cell r="G205" t="str">
            <v>Qt</v>
          </cell>
          <cell r="H205">
            <v>13.407692307692308</v>
          </cell>
          <cell r="I205" t="str">
            <v>M3</v>
          </cell>
        </row>
        <row r="207">
          <cell r="C207" t="str">
            <v>Kebutuhan tenaga :</v>
          </cell>
          <cell r="D207" t="str">
            <v>- Mandor</v>
          </cell>
          <cell r="G207" t="str">
            <v>M</v>
          </cell>
          <cell r="H207">
            <v>1</v>
          </cell>
          <cell r="I207" t="str">
            <v>orang</v>
          </cell>
        </row>
        <row r="208">
          <cell r="D208" t="str">
            <v>- Tukang Batu</v>
          </cell>
          <cell r="G208" t="str">
            <v>Tb</v>
          </cell>
          <cell r="H208">
            <v>3</v>
          </cell>
          <cell r="I208" t="str">
            <v>orang</v>
          </cell>
        </row>
        <row r="209">
          <cell r="D209" t="str">
            <v>- Pekerja</v>
          </cell>
          <cell r="G209" t="str">
            <v>P</v>
          </cell>
          <cell r="H209">
            <v>10</v>
          </cell>
          <cell r="I209" t="str">
            <v>orang</v>
          </cell>
        </row>
        <row r="211">
          <cell r="C211" t="str">
            <v>Koefisien Tenaga / M3   :</v>
          </cell>
        </row>
        <row r="212">
          <cell r="D212" t="str">
            <v>-  Mandor</v>
          </cell>
          <cell r="E212" t="str">
            <v>= (Tk x M) : Qt</v>
          </cell>
          <cell r="G212" t="str">
            <v>(L03)</v>
          </cell>
          <cell r="H212">
            <v>0.52208835341365456</v>
          </cell>
          <cell r="I212" t="str">
            <v>jam</v>
          </cell>
        </row>
        <row r="213">
          <cell r="D213" t="str">
            <v>-  Tukang</v>
          </cell>
          <cell r="E213" t="str">
            <v>= (Tk x Tb) : Qt</v>
          </cell>
          <cell r="G213" t="str">
            <v>(L02)</v>
          </cell>
          <cell r="H213">
            <v>1.5662650602409638</v>
          </cell>
          <cell r="I213" t="str">
            <v>jam</v>
          </cell>
        </row>
        <row r="214">
          <cell r="D214" t="str">
            <v>-  Pekerja</v>
          </cell>
          <cell r="E214" t="str">
            <v>= (Tk x P) : Qt</v>
          </cell>
          <cell r="G214" t="str">
            <v>(L01)</v>
          </cell>
          <cell r="H214">
            <v>5.2208835341365463</v>
          </cell>
          <cell r="I214" t="str">
            <v>jam</v>
          </cell>
        </row>
        <row r="216">
          <cell r="A216" t="str">
            <v>4.</v>
          </cell>
          <cell r="C216" t="str">
            <v>HARGA DASAR SATUAN UPAH, BAHAN DAN ALAT</v>
          </cell>
        </row>
        <row r="217">
          <cell r="C217" t="str">
            <v>Lihat lampiran.</v>
          </cell>
        </row>
        <row r="219">
          <cell r="A219" t="str">
            <v>5.</v>
          </cell>
          <cell r="C219" t="str">
            <v>ANALISA HARGA SATUAN PEKERJAAN</v>
          </cell>
        </row>
        <row r="220">
          <cell r="C220" t="str">
            <v>Lihat perhitungan dalam FORMULIR STANDAR UNTUK</v>
          </cell>
        </row>
        <row r="221">
          <cell r="C221" t="str">
            <v>PEREKEMAN ANALISA MASING-MASING HARGA</v>
          </cell>
        </row>
        <row r="222">
          <cell r="C222" t="str">
            <v>SATUAN.</v>
          </cell>
        </row>
        <row r="223">
          <cell r="C223" t="str">
            <v>Didapat Harga Satuan Pekerjaan :</v>
          </cell>
        </row>
        <row r="225">
          <cell r="C225" t="str">
            <v xml:space="preserve">Rp.  </v>
          </cell>
          <cell r="D225">
            <v>402021.21676028962</v>
          </cell>
          <cell r="E225" t="str">
            <v xml:space="preserve"> / M3</v>
          </cell>
        </row>
        <row r="228">
          <cell r="A228" t="str">
            <v>6.</v>
          </cell>
          <cell r="C228" t="str">
            <v>WAKTU PELAKSANAAN YANG DIPERLUKAN</v>
          </cell>
        </row>
        <row r="229">
          <cell r="C229" t="str">
            <v>Masa Pelaksanaan :</v>
          </cell>
          <cell r="D229" t="str">
            <v>. . . . . . . . . . . .</v>
          </cell>
          <cell r="E229" t="str">
            <v>bulan</v>
          </cell>
        </row>
        <row r="231">
          <cell r="A231" t="str">
            <v>7.</v>
          </cell>
          <cell r="C231" t="str">
            <v>VOLUME PEKERJAAN YANG DIPERLUKAN</v>
          </cell>
        </row>
        <row r="232">
          <cell r="C232" t="str">
            <v>Volume pekerjaan  :</v>
          </cell>
          <cell r="D232">
            <v>1</v>
          </cell>
          <cell r="E232" t="str">
            <v>M3</v>
          </cell>
        </row>
        <row r="243">
          <cell r="A243" t="str">
            <v>ITEM PEMBAYARAN NO.</v>
          </cell>
          <cell r="D243" t="str">
            <v>:  2.3 (1)</v>
          </cell>
          <cell r="J243" t="str">
            <v xml:space="preserve">Analisa EI-231 </v>
          </cell>
        </row>
        <row r="244">
          <cell r="A244" t="str">
            <v>JENIS PEKERJAAN</v>
          </cell>
          <cell r="D244" t="str">
            <v>:  Gorong2 Pipa Beton Bertulang Diameter &lt; 500 mm</v>
          </cell>
          <cell r="L244" t="str">
            <v>FORMULIR STANDAR UNTUK</v>
          </cell>
        </row>
        <row r="245">
          <cell r="A245" t="str">
            <v>SATUAN PEMBAYARAN</v>
          </cell>
          <cell r="D245" t="str">
            <v>:  M1</v>
          </cell>
          <cell r="J245" t="str">
            <v xml:space="preserve">         URAIAN ANALISA HARGA SATUAN</v>
          </cell>
          <cell r="L245" t="str">
            <v>PEREKAMAN ANALISA MASING-MASING HARGA SATUAN</v>
          </cell>
        </row>
        <row r="246">
          <cell r="L246" t="str">
            <v/>
          </cell>
        </row>
        <row r="248">
          <cell r="A248" t="str">
            <v>No.</v>
          </cell>
          <cell r="C248" t="str">
            <v>U R A I A N</v>
          </cell>
          <cell r="G248" t="str">
            <v>KODE</v>
          </cell>
          <cell r="H248" t="str">
            <v>KOEF.</v>
          </cell>
          <cell r="I248" t="str">
            <v>SATUAN</v>
          </cell>
          <cell r="J248" t="str">
            <v>KETERANGAN</v>
          </cell>
        </row>
        <row r="249">
          <cell r="L249" t="str">
            <v>PROYEK</v>
          </cell>
          <cell r="O249" t="str">
            <v>:</v>
          </cell>
        </row>
        <row r="250">
          <cell r="L250" t="str">
            <v>No. PAKET KONTRAK</v>
          </cell>
          <cell r="O250" t="str">
            <v>:</v>
          </cell>
        </row>
        <row r="251">
          <cell r="A251" t="str">
            <v>I.</v>
          </cell>
          <cell r="C251" t="str">
            <v>ASUMSI</v>
          </cell>
          <cell r="L251" t="str">
            <v>NAMA PAKET</v>
          </cell>
          <cell r="O251" t="str">
            <v>:</v>
          </cell>
        </row>
        <row r="252">
          <cell r="A252">
            <v>1</v>
          </cell>
          <cell r="C252" t="str">
            <v>Pekerjaan dilakukan secara mekanik/manual</v>
          </cell>
          <cell r="L252" t="str">
            <v>PROP / KAB / KODYA</v>
          </cell>
          <cell r="O252" t="str">
            <v>:</v>
          </cell>
        </row>
        <row r="253">
          <cell r="A253">
            <v>2</v>
          </cell>
          <cell r="C253" t="str">
            <v>Lokasi pekerjaan : sepanjang jalan</v>
          </cell>
          <cell r="L253" t="str">
            <v>ITEM PEMBAYARAN NO.</v>
          </cell>
          <cell r="O253" t="str">
            <v>:  2.3 (1)</v>
          </cell>
          <cell r="R253" t="str">
            <v>PERKIRAAN VOL. PEK.</v>
          </cell>
          <cell r="T253" t="str">
            <v>:</v>
          </cell>
          <cell r="U253">
            <v>1</v>
          </cell>
        </row>
        <row r="254">
          <cell r="A254">
            <v>3</v>
          </cell>
          <cell r="C254" t="str">
            <v>Diameter bagian dalam gorong-gorong</v>
          </cell>
          <cell r="G254" t="str">
            <v>d</v>
          </cell>
          <cell r="H254">
            <v>0.5</v>
          </cell>
          <cell r="I254" t="str">
            <v>m</v>
          </cell>
          <cell r="L254" t="str">
            <v>JENIS PEKERJAAN</v>
          </cell>
          <cell r="O254" t="str">
            <v>:  Gorong2 Pipa Beton Bertulang Diameter &lt; 500 mm</v>
          </cell>
          <cell r="R254" t="str">
            <v>TOTAL HARGA (Rp.)</v>
          </cell>
          <cell r="T254" t="str">
            <v>:</v>
          </cell>
          <cell r="U254">
            <v>218715.29344341051</v>
          </cell>
        </row>
        <row r="255">
          <cell r="A255">
            <v>4</v>
          </cell>
          <cell r="C255" t="str">
            <v>Jarak rata-rata Base Camp ke lokasi pekerjaan</v>
          </cell>
          <cell r="G255" t="str">
            <v>L</v>
          </cell>
          <cell r="H255">
            <v>8.7249999999999996</v>
          </cell>
          <cell r="I255" t="str">
            <v>Km</v>
          </cell>
          <cell r="L255" t="str">
            <v>SATUAN PEMBAYARAN</v>
          </cell>
          <cell r="O255" t="str">
            <v>:  M1</v>
          </cell>
          <cell r="Q255">
            <v>0</v>
          </cell>
          <cell r="R255" t="str">
            <v>% THD. BIAYA PROYEK</v>
          </cell>
          <cell r="T255" t="str">
            <v>:</v>
          </cell>
          <cell r="U255" t="e">
            <v>#DIV/0!</v>
          </cell>
        </row>
        <row r="256">
          <cell r="A256">
            <v>5</v>
          </cell>
          <cell r="C256" t="str">
            <v>Jam kerja efektif per-hari</v>
          </cell>
          <cell r="G256" t="str">
            <v>Tk</v>
          </cell>
          <cell r="H256">
            <v>7</v>
          </cell>
          <cell r="I256" t="str">
            <v>jam</v>
          </cell>
        </row>
        <row r="257">
          <cell r="A257">
            <v>6</v>
          </cell>
          <cell r="C257" t="str">
            <v>Tebal gorong-gorong</v>
          </cell>
          <cell r="G257" t="str">
            <v>tg</v>
          </cell>
          <cell r="H257">
            <v>6.5</v>
          </cell>
          <cell r="I257" t="str">
            <v>Cm</v>
          </cell>
        </row>
        <row r="258">
          <cell r="Q258" t="str">
            <v>PERKIRAAN</v>
          </cell>
          <cell r="R258" t="str">
            <v>HARGA</v>
          </cell>
          <cell r="S258" t="str">
            <v>JUMLAH</v>
          </cell>
        </row>
        <row r="259">
          <cell r="A259" t="str">
            <v>II.</v>
          </cell>
          <cell r="C259" t="str">
            <v>URUTAN KERJA</v>
          </cell>
          <cell r="L259" t="str">
            <v>NO.</v>
          </cell>
          <cell r="N259" t="str">
            <v>KOMPONEN</v>
          </cell>
          <cell r="P259" t="str">
            <v>SATUAN</v>
          </cell>
          <cell r="Q259" t="str">
            <v>KUANTITAS</v>
          </cell>
          <cell r="R259" t="str">
            <v>SATUAN</v>
          </cell>
          <cell r="S259" t="str">
            <v>HARGA</v>
          </cell>
        </row>
        <row r="260">
          <cell r="A260">
            <v>1</v>
          </cell>
          <cell r="C260" t="str">
            <v>Gorong-gorong dicetak di Base Camp</v>
          </cell>
          <cell r="R260" t="str">
            <v>(Rp.)</v>
          </cell>
          <cell r="S260" t="str">
            <v>(Rp.)</v>
          </cell>
        </row>
        <row r="261">
          <cell r="A261">
            <v>2</v>
          </cell>
          <cell r="C261" t="str">
            <v>Dump Truck mengangkut gorong-gorong jadi</v>
          </cell>
        </row>
        <row r="262">
          <cell r="C262" t="str">
            <v>ke lapangan</v>
          </cell>
        </row>
        <row r="263">
          <cell r="A263">
            <v>3</v>
          </cell>
          <cell r="C263" t="str">
            <v>Dasar gorong-gorong digali sesuai kebutuhan dan ma-</v>
          </cell>
          <cell r="L263" t="str">
            <v>A.</v>
          </cell>
          <cell r="N263" t="str">
            <v>TENAGA</v>
          </cell>
        </row>
        <row r="264">
          <cell r="C264" t="str">
            <v>terial backfill dipadatkan dengan Tamper</v>
          </cell>
        </row>
        <row r="265">
          <cell r="A265">
            <v>4</v>
          </cell>
          <cell r="C265" t="str">
            <v>Tebal lapis porus pada dasar gorong-gorong pipa</v>
          </cell>
          <cell r="G265" t="str">
            <v>tp</v>
          </cell>
          <cell r="H265">
            <v>0.1</v>
          </cell>
          <cell r="I265" t="str">
            <v>M</v>
          </cell>
          <cell r="J265" t="str">
            <v xml:space="preserve"> Sand bedding</v>
          </cell>
          <cell r="L265" t="str">
            <v>1.</v>
          </cell>
          <cell r="N265" t="str">
            <v>Pekerja</v>
          </cell>
          <cell r="O265" t="str">
            <v>(L01)</v>
          </cell>
          <cell r="P265" t="str">
            <v>jam</v>
          </cell>
          <cell r="Q265">
            <v>2.3333333333333335</v>
          </cell>
          <cell r="R265">
            <v>2857.14</v>
          </cell>
          <cell r="U265">
            <v>6666.66</v>
          </cell>
        </row>
        <row r="266">
          <cell r="A266">
            <v>5</v>
          </cell>
          <cell r="C266" t="str">
            <v>Material pilihan untuk penimbunan kembali (padat)</v>
          </cell>
          <cell r="L266" t="str">
            <v>2.</v>
          </cell>
          <cell r="N266" t="str">
            <v>Tukang</v>
          </cell>
          <cell r="O266" t="str">
            <v>(L02)</v>
          </cell>
          <cell r="P266" t="str">
            <v>jam</v>
          </cell>
          <cell r="Q266">
            <v>0.93333333333333335</v>
          </cell>
          <cell r="R266">
            <v>4285.71</v>
          </cell>
          <cell r="U266">
            <v>3999.9960000000001</v>
          </cell>
        </row>
        <row r="267">
          <cell r="A267">
            <v>6</v>
          </cell>
          <cell r="C267" t="str">
            <v>Sekelompok pekerja akan melaksanakan pekerjaan</v>
          </cell>
          <cell r="L267" t="str">
            <v>3.</v>
          </cell>
          <cell r="N267" t="str">
            <v>Mandor</v>
          </cell>
          <cell r="O267" t="str">
            <v>(L03)</v>
          </cell>
          <cell r="P267" t="str">
            <v>jam</v>
          </cell>
          <cell r="Q267">
            <v>0.46666666666666667</v>
          </cell>
          <cell r="R267">
            <v>3214.29</v>
          </cell>
          <cell r="U267">
            <v>1500.002</v>
          </cell>
        </row>
        <row r="268">
          <cell r="C268" t="str">
            <v>dengan cara manual dengan menggunakan alat bantu</v>
          </cell>
        </row>
        <row r="269">
          <cell r="Q269" t="str">
            <v xml:space="preserve">JUMLAH HARGA TENAGA   </v>
          </cell>
          <cell r="U269">
            <v>12166.657999999999</v>
          </cell>
        </row>
        <row r="271">
          <cell r="A271" t="str">
            <v>III.</v>
          </cell>
          <cell r="C271" t="str">
            <v>PEMAKAIAN BAHAN, ALAT DAN TENAGA</v>
          </cell>
          <cell r="L271" t="str">
            <v>B.</v>
          </cell>
          <cell r="N271" t="str">
            <v>BAHAN</v>
          </cell>
        </row>
        <row r="272">
          <cell r="A272" t="str">
            <v xml:space="preserve">   1.</v>
          </cell>
          <cell r="C272" t="str">
            <v>BAHAN</v>
          </cell>
        </row>
        <row r="273">
          <cell r="C273" t="str">
            <v>Untuk mendapatkan 1 M' gorong-gorong diperlukan</v>
          </cell>
          <cell r="L273" t="str">
            <v>1.</v>
          </cell>
          <cell r="N273" t="str">
            <v>Beton K-300</v>
          </cell>
          <cell r="O273" t="str">
            <v>(EI-714)</v>
          </cell>
          <cell r="P273" t="str">
            <v>M3</v>
          </cell>
          <cell r="Q273">
            <v>0.11537499020308517</v>
          </cell>
          <cell r="R273">
            <v>652902.54982502444</v>
          </cell>
          <cell r="U273">
            <v>75328.625289631527</v>
          </cell>
        </row>
        <row r="274">
          <cell r="C274" t="str">
            <v>- Beton K-300 = (22/7*((2*tg/100+d)/2)^2)-(22/7*(d/2)^2))*1</v>
          </cell>
          <cell r="G274" t="str">
            <v>(EI-714)</v>
          </cell>
          <cell r="H274">
            <v>0.11537499020308517</v>
          </cell>
          <cell r="I274" t="str">
            <v>M3</v>
          </cell>
          <cell r="L274" t="str">
            <v>2.</v>
          </cell>
          <cell r="N274" t="str">
            <v>Baja Tulangan</v>
          </cell>
          <cell r="O274" t="str">
            <v>(M39)</v>
          </cell>
          <cell r="P274" t="str">
            <v>Kg</v>
          </cell>
          <cell r="Q274">
            <v>12.691248922339369</v>
          </cell>
          <cell r="R274">
            <v>4000</v>
          </cell>
          <cell r="U274">
            <v>50764.995689357478</v>
          </cell>
        </row>
        <row r="275">
          <cell r="C275" t="str">
            <v>- Baja Tulangan (asumsi 100kg/m3)</v>
          </cell>
          <cell r="G275" t="str">
            <v>(M39)</v>
          </cell>
          <cell r="H275">
            <v>12.691248922339369</v>
          </cell>
          <cell r="I275" t="str">
            <v>Kg</v>
          </cell>
          <cell r="L275" t="str">
            <v>3.</v>
          </cell>
          <cell r="N275" t="str">
            <v>Urugan Porus</v>
          </cell>
          <cell r="O275" t="str">
            <v>(EI-241)</v>
          </cell>
          <cell r="P275" t="str">
            <v>M3</v>
          </cell>
          <cell r="Q275">
            <v>0.12915000000000001</v>
          </cell>
          <cell r="R275">
            <v>186901.40625406182</v>
          </cell>
          <cell r="U275">
            <v>24138.316617712087</v>
          </cell>
        </row>
        <row r="276">
          <cell r="C276" t="str">
            <v>- Timbunan Porus      = {(tp*(0.3+2*tg/100+d+0.3)*1)*1.05}</v>
          </cell>
          <cell r="G276" t="str">
            <v>(EI-241)</v>
          </cell>
          <cell r="H276">
            <v>0.12915000000000001</v>
          </cell>
          <cell r="I276" t="str">
            <v>M3</v>
          </cell>
          <cell r="L276" t="str">
            <v>4.</v>
          </cell>
          <cell r="N276" t="str">
            <v>Mat. Pilihan</v>
          </cell>
          <cell r="O276" t="str">
            <v>(M09)</v>
          </cell>
          <cell r="P276" t="str">
            <v>M3</v>
          </cell>
          <cell r="Q276">
            <v>0.87365249999999994</v>
          </cell>
          <cell r="R276">
            <v>25000</v>
          </cell>
          <cell r="U276">
            <v>21841.3125</v>
          </cell>
        </row>
        <row r="277">
          <cell r="C277" t="str">
            <v>- Material Pilihan</v>
          </cell>
          <cell r="D277" t="str">
            <v>= ((2*tg/100+d+0.3)*(0.3+2*tg/100+d+0.3)</v>
          </cell>
          <cell r="G277" t="str">
            <v>(M09)</v>
          </cell>
          <cell r="H277">
            <v>0.87365249999999994</v>
          </cell>
          <cell r="I277" t="str">
            <v>M3</v>
          </cell>
          <cell r="J277" t="str">
            <v xml:space="preserve"> = Vp</v>
          </cell>
        </row>
        <row r="278">
          <cell r="D278" t="str">
            <v xml:space="preserve">   -(22/7*(0.5*(2*tg/100+d))^2))*1*1.05</v>
          </cell>
        </row>
        <row r="279">
          <cell r="A279" t="str">
            <v xml:space="preserve">   2.</v>
          </cell>
          <cell r="C279" t="str">
            <v>ALAT</v>
          </cell>
          <cell r="Q279" t="str">
            <v xml:space="preserve">JUMLAH HARGA BAHAN   </v>
          </cell>
          <cell r="U279">
            <v>172073.25009670109</v>
          </cell>
        </row>
        <row r="280">
          <cell r="A280" t="str">
            <v>2.a.</v>
          </cell>
          <cell r="C280" t="str">
            <v>TAMPER</v>
          </cell>
          <cell r="G280" t="str">
            <v>(E25)</v>
          </cell>
        </row>
        <row r="281">
          <cell r="C281" t="str">
            <v>Kecepatan</v>
          </cell>
          <cell r="G281" t="str">
            <v>v</v>
          </cell>
          <cell r="H281">
            <v>0.5</v>
          </cell>
          <cell r="I281" t="str">
            <v>Km / Jam</v>
          </cell>
          <cell r="L281" t="str">
            <v>C.</v>
          </cell>
          <cell r="N281" t="str">
            <v>PERALATAN</v>
          </cell>
        </row>
        <row r="282">
          <cell r="C282" t="str">
            <v>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3">
          <cell r="C283" t="str">
            <v>Lebar pemadatan</v>
          </cell>
          <cell r="G283" t="str">
            <v>Lb</v>
          </cell>
          <cell r="H283">
            <v>0.4</v>
          </cell>
          <cell r="I283" t="str">
            <v>M</v>
          </cell>
          <cell r="L283" t="str">
            <v>1.</v>
          </cell>
          <cell r="N283" t="str">
            <v>Tamper</v>
          </cell>
          <cell r="O283" t="str">
            <v>(E25)</v>
          </cell>
          <cell r="P283" t="str">
            <v>jam</v>
          </cell>
          <cell r="Q283">
            <v>0.26314834337349391</v>
          </cell>
          <cell r="R283">
            <v>18672.16854694486</v>
          </cell>
          <cell r="U283">
            <v>4913.5502203191991</v>
          </cell>
        </row>
        <row r="284">
          <cell r="C284" t="str">
            <v>Banyak lintasan</v>
          </cell>
          <cell r="G284" t="str">
            <v>n</v>
          </cell>
          <cell r="H284">
            <v>10</v>
          </cell>
          <cell r="I284" t="str">
            <v>lintasan</v>
          </cell>
          <cell r="L284" t="str">
            <v>2.</v>
          </cell>
          <cell r="N284" t="str">
            <v>Dump Truck</v>
          </cell>
          <cell r="O284" t="str">
            <v>(E08)</v>
          </cell>
          <cell r="P284" t="str">
            <v>jam</v>
          </cell>
          <cell r="Q284">
            <v>5.9738955823293166E-2</v>
          </cell>
          <cell r="R284">
            <v>153645.58193291764</v>
          </cell>
          <cell r="U284">
            <v>9178.6266315347384</v>
          </cell>
        </row>
        <row r="285">
          <cell r="C285" t="str">
            <v>Tebal lapis hamparan</v>
          </cell>
          <cell r="G285" t="str">
            <v>tp</v>
          </cell>
          <cell r="H285">
            <v>0.2</v>
          </cell>
          <cell r="I285" t="str">
            <v>M</v>
          </cell>
          <cell r="L285" t="str">
            <v>3.</v>
          </cell>
          <cell r="N285" t="str">
            <v>Alat  Bantu</v>
          </cell>
          <cell r="P285" t="str">
            <v>Ls</v>
          </cell>
          <cell r="Q285">
            <v>1</v>
          </cell>
          <cell r="R285">
            <v>500</v>
          </cell>
          <cell r="U285">
            <v>500</v>
          </cell>
        </row>
        <row r="288">
          <cell r="C288" t="str">
            <v>Kap. Prod. / Jam   =</v>
          </cell>
          <cell r="D288" t="str">
            <v>v x 1000 x Fa x Lb x 60</v>
          </cell>
          <cell r="G288" t="str">
            <v>Q1</v>
          </cell>
          <cell r="H288">
            <v>3.3200000000000003</v>
          </cell>
          <cell r="I288" t="str">
            <v xml:space="preserve">M3 / Jam </v>
          </cell>
        </row>
        <row r="289">
          <cell r="D289" t="str">
            <v xml:space="preserve">    n x tp</v>
          </cell>
        </row>
        <row r="291">
          <cell r="C291" t="str">
            <v>Koefisien Alat / m'</v>
          </cell>
          <cell r="D291" t="str">
            <v xml:space="preserve"> =  1  :  Q1 x Vp</v>
          </cell>
          <cell r="G291" t="str">
            <v>(E25)</v>
          </cell>
          <cell r="H291">
            <v>0.26314834337349391</v>
          </cell>
          <cell r="I291" t="str">
            <v>jam</v>
          </cell>
          <cell r="Q291" t="str">
            <v xml:space="preserve">JUMLAH HARGA PERALATAN   </v>
          </cell>
          <cell r="U291">
            <v>14592.176851853937</v>
          </cell>
        </row>
        <row r="293">
          <cell r="A293" t="str">
            <v>2.b.</v>
          </cell>
          <cell r="C293" t="str">
            <v>DUMP TRUCK</v>
          </cell>
          <cell r="G293" t="str">
            <v>(E08)</v>
          </cell>
          <cell r="L293" t="str">
            <v>D.</v>
          </cell>
          <cell r="N293" t="str">
            <v>JUMLAH HARGA TENAGA, BAHAN DAN PERALATAN  ( A + B + C )</v>
          </cell>
          <cell r="U293">
            <v>198832.08494855501</v>
          </cell>
        </row>
        <row r="294">
          <cell r="C294" t="str">
            <v>Kapasitas bak sekali muat</v>
          </cell>
          <cell r="G294" t="str">
            <v>V</v>
          </cell>
          <cell r="H294">
            <v>15</v>
          </cell>
          <cell r="I294" t="str">
            <v>Buah/M'</v>
          </cell>
          <cell r="L294" t="str">
            <v>E.</v>
          </cell>
          <cell r="N294" t="str">
            <v>OVERHEAD &amp; PROFIT</v>
          </cell>
          <cell r="P294">
            <v>10</v>
          </cell>
          <cell r="Q294" t="str">
            <v>%  x  D</v>
          </cell>
          <cell r="U294">
            <v>19883.208494855502</v>
          </cell>
        </row>
        <row r="295">
          <cell r="C295" t="str">
            <v>Faktor efisiensi alat</v>
          </cell>
          <cell r="G295" t="str">
            <v>Fa</v>
          </cell>
          <cell r="H295">
            <v>0.83</v>
          </cell>
          <cell r="L295" t="str">
            <v>F.</v>
          </cell>
          <cell r="N295" t="str">
            <v>HARGA SATUAN PEKERJAAN  ( D + E )</v>
          </cell>
          <cell r="U295">
            <v>218715.29344341051</v>
          </cell>
        </row>
        <row r="296">
          <cell r="C296" t="str">
            <v>Kecepatanrata-rata bermuatan</v>
          </cell>
          <cell r="G296" t="str">
            <v>v1</v>
          </cell>
          <cell r="H296">
            <v>20</v>
          </cell>
          <cell r="I296" t="str">
            <v>Km/Jam</v>
          </cell>
          <cell r="L296" t="str">
            <v>Note: 1</v>
          </cell>
          <cell r="N296" t="str">
            <v>SATUAN dapat berdasarkan atas jam operasi untuk Tenaga Kerja dan Peralatan, volume dan/atau ukuran</v>
          </cell>
        </row>
        <row r="297">
          <cell r="C297" t="str">
            <v>Kecepatan rata-rata kosong</v>
          </cell>
          <cell r="G297" t="str">
            <v>v2</v>
          </cell>
          <cell r="H297">
            <v>30</v>
          </cell>
          <cell r="I297" t="str">
            <v>Km/Jam</v>
          </cell>
          <cell r="N297" t="str">
            <v>berat untuk bahan-bahan.</v>
          </cell>
        </row>
        <row r="298">
          <cell r="C298" t="str">
            <v>Waktu siklus    :</v>
          </cell>
          <cell r="G298" t="str">
            <v>Ts1</v>
          </cell>
          <cell r="L298">
            <v>2</v>
          </cell>
          <cell r="N298" t="str">
            <v>Kuantitas satuan adalah kuantitas setiap komponen untuk menyelesaikan satu satuan pekerjaan dari nomor</v>
          </cell>
        </row>
        <row r="299">
          <cell r="C299" t="str">
            <v>- Waktu  tempuh in  si  = (L : v1 ) x 60</v>
          </cell>
          <cell r="G299" t="str">
            <v>T1</v>
          </cell>
          <cell r="H299">
            <v>26.174999999999997</v>
          </cell>
          <cell r="I299" t="str">
            <v>menit</v>
          </cell>
          <cell r="N299" t="str">
            <v>mata pembayaran.</v>
          </cell>
        </row>
        <row r="300">
          <cell r="C300" t="str">
            <v>-  Waktutempuh kosong  = (L : v2)  x  60</v>
          </cell>
          <cell r="G300" t="str">
            <v>T2</v>
          </cell>
          <cell r="H300">
            <v>17.45</v>
          </cell>
          <cell r="I300" t="str">
            <v>menit</v>
          </cell>
          <cell r="L300">
            <v>3</v>
          </cell>
          <cell r="N300" t="str">
            <v>Biaya satuan untuk peralatan sudah termasuk bahan bakar, bahan habis dipakai dan operator.</v>
          </cell>
        </row>
        <row r="301">
          <cell r="C301" t="str">
            <v>-  Muat, bongkar dan lain-lain</v>
          </cell>
          <cell r="G301" t="str">
            <v>T3</v>
          </cell>
          <cell r="H301">
            <v>1</v>
          </cell>
          <cell r="I301" t="str">
            <v>menit</v>
          </cell>
          <cell r="L301">
            <v>4</v>
          </cell>
          <cell r="N301" t="str">
            <v>Biaya satuan sudah termasuk pengeluaran untuk seluruh pajak yang berkaitan (tetapi tidak termasuk PPN</v>
          </cell>
        </row>
        <row r="302">
          <cell r="G302" t="str">
            <v>Ts1</v>
          </cell>
          <cell r="H302">
            <v>44.625</v>
          </cell>
          <cell r="I302" t="str">
            <v>menit</v>
          </cell>
          <cell r="N302" t="str">
            <v>yang dibayar dari kontrak) dan biaya-biaya lainnya.</v>
          </cell>
        </row>
        <row r="303">
          <cell r="J303" t="str">
            <v>Berlanjut ke halaman berikut</v>
          </cell>
        </row>
        <row r="304">
          <cell r="A304" t="str">
            <v>ITEM PEMBAYARAN NO.</v>
          </cell>
          <cell r="D304" t="str">
            <v>:  2.3 (1)</v>
          </cell>
          <cell r="J304" t="str">
            <v xml:space="preserve">Analisa EI-231 </v>
          </cell>
        </row>
        <row r="305">
          <cell r="A305" t="str">
            <v>JENIS PEKERJAAN</v>
          </cell>
          <cell r="D305" t="str">
            <v>:  Gorong2 Pipa Beton Bertulang Diameter &lt; 500 mm</v>
          </cell>
        </row>
        <row r="306">
          <cell r="A306" t="str">
            <v>SATUAN PEMBAYARAN</v>
          </cell>
          <cell r="D306" t="str">
            <v>:  M1</v>
          </cell>
          <cell r="J306" t="str">
            <v xml:space="preserve">         URAIAN ANALISA HARGA SATUAN</v>
          </cell>
        </row>
        <row r="307">
          <cell r="J307" t="str">
            <v>Lanjutan</v>
          </cell>
        </row>
        <row r="309">
          <cell r="A309" t="str">
            <v>No.</v>
          </cell>
          <cell r="C309" t="str">
            <v>U R A I A N</v>
          </cell>
          <cell r="G309" t="str">
            <v>KODE</v>
          </cell>
          <cell r="H309" t="str">
            <v>KOEF.</v>
          </cell>
          <cell r="I309" t="str">
            <v>SATUAN</v>
          </cell>
          <cell r="J309" t="str">
            <v>KETERANGAN</v>
          </cell>
        </row>
        <row r="312">
          <cell r="C312" t="str">
            <v>Kapasitas Produksi / Jam   =</v>
          </cell>
          <cell r="E312" t="str">
            <v>V x Fa x 60</v>
          </cell>
          <cell r="G312" t="str">
            <v>Q2</v>
          </cell>
          <cell r="H312">
            <v>16.739495798319329</v>
          </cell>
          <cell r="I312" t="str">
            <v xml:space="preserve">M' / Jam </v>
          </cell>
        </row>
        <row r="313">
          <cell r="E313" t="str">
            <v>Ts1</v>
          </cell>
        </row>
        <row r="315">
          <cell r="C315" t="str">
            <v>Koefisien Alat / m'</v>
          </cell>
          <cell r="D315" t="str">
            <v xml:space="preserve"> =  1  :  Q2</v>
          </cell>
          <cell r="G315" t="str">
            <v>(E08)</v>
          </cell>
          <cell r="H315">
            <v>5.9738955823293166E-2</v>
          </cell>
          <cell r="I315" t="str">
            <v>jam</v>
          </cell>
        </row>
        <row r="318">
          <cell r="A318" t="str">
            <v>2.c.</v>
          </cell>
          <cell r="C318" t="str">
            <v>ALAT  BANTU</v>
          </cell>
        </row>
        <row r="319">
          <cell r="C319" t="str">
            <v>Diperlukan alat-alat bantu kecil</v>
          </cell>
          <cell r="J319" t="str">
            <v>Lump Sump</v>
          </cell>
        </row>
        <row r="320">
          <cell r="C320" t="str">
            <v>- Sekop    =         3   buah</v>
          </cell>
        </row>
        <row r="321">
          <cell r="C321" t="str">
            <v>- Pacul     =         3   buah</v>
          </cell>
        </row>
        <row r="322">
          <cell r="C322" t="str">
            <v>- Alat-alat kecil lain</v>
          </cell>
        </row>
        <row r="324">
          <cell r="A324" t="str">
            <v xml:space="preserve">   3.</v>
          </cell>
          <cell r="C324" t="str">
            <v>TENAGA</v>
          </cell>
        </row>
        <row r="325">
          <cell r="C325" t="str">
            <v>Produksi Gorong-gorong / hari</v>
          </cell>
          <cell r="G325" t="str">
            <v>Qt</v>
          </cell>
          <cell r="H325">
            <v>15</v>
          </cell>
          <cell r="I325" t="str">
            <v>M'</v>
          </cell>
        </row>
        <row r="326">
          <cell r="C326" t="str">
            <v>Kebutuhan tenaga :</v>
          </cell>
        </row>
        <row r="327">
          <cell r="D327" t="str">
            <v>- Pekerja</v>
          </cell>
          <cell r="G327" t="str">
            <v>P</v>
          </cell>
          <cell r="H327">
            <v>5</v>
          </cell>
          <cell r="I327" t="str">
            <v>orang</v>
          </cell>
        </row>
        <row r="328">
          <cell r="D328" t="str">
            <v>- Tukang</v>
          </cell>
          <cell r="G328" t="str">
            <v>T</v>
          </cell>
          <cell r="H328">
            <v>2</v>
          </cell>
          <cell r="I328" t="str">
            <v>orang</v>
          </cell>
        </row>
        <row r="329">
          <cell r="D329" t="str">
            <v>- Mandor</v>
          </cell>
          <cell r="G329" t="str">
            <v>M</v>
          </cell>
          <cell r="H329">
            <v>1</v>
          </cell>
          <cell r="I329" t="str">
            <v>orang</v>
          </cell>
        </row>
        <row r="331">
          <cell r="C331" t="str">
            <v>Koefisien tenaga / M1   :</v>
          </cell>
        </row>
        <row r="332">
          <cell r="D332" t="str">
            <v>- Pekerja</v>
          </cell>
          <cell r="E332" t="str">
            <v>= (Tk x P) : Qt</v>
          </cell>
          <cell r="G332" t="str">
            <v>(L01)</v>
          </cell>
          <cell r="H332">
            <v>2.3333333333333335</v>
          </cell>
          <cell r="I332" t="str">
            <v>Jam</v>
          </cell>
        </row>
        <row r="333">
          <cell r="D333" t="str">
            <v>- Tukang</v>
          </cell>
          <cell r="E333" t="str">
            <v>= (Tk x T) : Qt</v>
          </cell>
          <cell r="G333" t="str">
            <v>(L02)</v>
          </cell>
          <cell r="H333">
            <v>0.93333333333333335</v>
          </cell>
          <cell r="I333" t="str">
            <v>Jam</v>
          </cell>
        </row>
        <row r="334">
          <cell r="D334" t="str">
            <v>- Mandor</v>
          </cell>
          <cell r="E334" t="str">
            <v>= (Tk x M) : Qt</v>
          </cell>
          <cell r="G334" t="str">
            <v>(L03)</v>
          </cell>
          <cell r="H334">
            <v>0.46666666666666667</v>
          </cell>
          <cell r="I334" t="str">
            <v>Jam</v>
          </cell>
        </row>
        <row r="336">
          <cell r="A336" t="str">
            <v>4.</v>
          </cell>
          <cell r="C336" t="str">
            <v>HARGA DASAR SATUAN UPAH, BAHAN DAN ALAT</v>
          </cell>
        </row>
        <row r="337">
          <cell r="C337" t="str">
            <v>Lihat lampiran.</v>
          </cell>
        </row>
        <row r="340">
          <cell r="A340" t="str">
            <v>5.</v>
          </cell>
          <cell r="C340" t="str">
            <v>ANALISA HARGA SATUAN PEKERJAAN</v>
          </cell>
        </row>
        <row r="341">
          <cell r="C341" t="str">
            <v>Lihat perhitungan dalam FORMULIR STANDAR UNTUK</v>
          </cell>
        </row>
        <row r="342">
          <cell r="C342" t="str">
            <v>PEREKEMAN ANALISA MASING-MASING HARGA</v>
          </cell>
        </row>
        <row r="343">
          <cell r="C343" t="str">
            <v>SATUAN.</v>
          </cell>
        </row>
        <row r="344">
          <cell r="C344" t="str">
            <v>Didapat Harga Satuan Pekerjaan :</v>
          </cell>
        </row>
        <row r="346">
          <cell r="C346" t="str">
            <v xml:space="preserve">Rp.  </v>
          </cell>
          <cell r="D346">
            <v>218715.29344341051</v>
          </cell>
          <cell r="E346" t="str">
            <v xml:space="preserve"> / M'</v>
          </cell>
        </row>
        <row r="349">
          <cell r="A349" t="str">
            <v>6.</v>
          </cell>
          <cell r="C349" t="str">
            <v>WAKTU PELAKSANAAN YANG DIPERLUKAN</v>
          </cell>
        </row>
        <row r="350">
          <cell r="C350" t="str">
            <v>Masa Pelaksanaan :</v>
          </cell>
          <cell r="D350" t="str">
            <v>. . . . . . . . . . . .</v>
          </cell>
          <cell r="E350" t="str">
            <v>bulan</v>
          </cell>
        </row>
        <row r="352">
          <cell r="A352" t="str">
            <v>7.</v>
          </cell>
          <cell r="C352" t="str">
            <v>VOLUME PEKERJAAN YANG DIPERLUKAN</v>
          </cell>
        </row>
        <row r="353">
          <cell r="C353" t="str">
            <v>Volume pekerjaan  :</v>
          </cell>
          <cell r="D353">
            <v>1</v>
          </cell>
          <cell r="E353" t="str">
            <v>M'</v>
          </cell>
        </row>
        <row r="363">
          <cell r="A363" t="str">
            <v>ITEM PEMBAYARAN NO.</v>
          </cell>
          <cell r="D363" t="str">
            <v>:  2.3 (2)</v>
          </cell>
          <cell r="J363" t="str">
            <v xml:space="preserve">Analisa EI-232 </v>
          </cell>
        </row>
        <row r="364">
          <cell r="A364" t="str">
            <v>JENIS PEKERJAAN</v>
          </cell>
          <cell r="D364" t="str">
            <v>:  Gorong2 Pipa Beton Bertulang 500 mm &lt; diameter dalam 700 mm</v>
          </cell>
          <cell r="L364" t="str">
            <v>FORMULIR STANDAR UNTUK</v>
          </cell>
        </row>
        <row r="365">
          <cell r="A365" t="str">
            <v>SATUAN PEMBAYARAN</v>
          </cell>
          <cell r="D365" t="str">
            <v>:  M1</v>
          </cell>
          <cell r="J365" t="str">
            <v xml:space="preserve">         URAIAN ANALISA HARGA SATUAN</v>
          </cell>
          <cell r="L365" t="str">
            <v>PEREKAMAN ANALISA MASING-MASING HARGA SATUAN</v>
          </cell>
        </row>
        <row r="366">
          <cell r="L366" t="str">
            <v/>
          </cell>
        </row>
        <row r="368">
          <cell r="A368" t="str">
            <v>No.</v>
          </cell>
          <cell r="C368" t="str">
            <v>U R A I A N</v>
          </cell>
          <cell r="G368" t="str">
            <v>KODE</v>
          </cell>
          <cell r="H368" t="str">
            <v>KOEF.</v>
          </cell>
          <cell r="I368" t="str">
            <v>SATUAN</v>
          </cell>
          <cell r="J368" t="str">
            <v>KETERANGAN</v>
          </cell>
        </row>
        <row r="369">
          <cell r="L369" t="str">
            <v>PROYEK</v>
          </cell>
          <cell r="O369" t="str">
            <v>:</v>
          </cell>
        </row>
        <row r="370">
          <cell r="L370" t="str">
            <v>No. PAKET KONTRAK</v>
          </cell>
          <cell r="O370" t="str">
            <v>:</v>
          </cell>
        </row>
        <row r="371">
          <cell r="A371" t="str">
            <v>I.</v>
          </cell>
          <cell r="C371" t="str">
            <v>ASUMSI</v>
          </cell>
          <cell r="L371" t="str">
            <v>NAMA PAKET</v>
          </cell>
          <cell r="O371" t="str">
            <v>:</v>
          </cell>
        </row>
        <row r="372">
          <cell r="A372">
            <v>1</v>
          </cell>
          <cell r="C372" t="str">
            <v>Pekerjaan dilakukan secara mekanik/manual</v>
          </cell>
          <cell r="L372" t="str">
            <v>PROP / KAB / KODYA</v>
          </cell>
          <cell r="O372" t="str">
            <v>:</v>
          </cell>
        </row>
        <row r="373">
          <cell r="A373">
            <v>2</v>
          </cell>
          <cell r="C373" t="str">
            <v>Lokasi pekerjaan : sepanjang jalan</v>
          </cell>
          <cell r="L373" t="str">
            <v>ITEM PEMBAYARAN NO.</v>
          </cell>
          <cell r="O373" t="str">
            <v>:  2.3 (2)</v>
          </cell>
          <cell r="R373" t="str">
            <v>PERKIRAAN VOL. PEK.</v>
          </cell>
          <cell r="T373" t="str">
            <v>:</v>
          </cell>
          <cell r="U373">
            <v>1</v>
          </cell>
        </row>
        <row r="374">
          <cell r="A374">
            <v>3</v>
          </cell>
          <cell r="C374" t="str">
            <v>Diameter bagian dalam gorong-gorong</v>
          </cell>
          <cell r="G374" t="str">
            <v>d</v>
          </cell>
          <cell r="H374">
            <v>0.6</v>
          </cell>
          <cell r="I374" t="str">
            <v>m</v>
          </cell>
          <cell r="L374" t="str">
            <v>JENIS PEKERJAAN</v>
          </cell>
          <cell r="O374" t="str">
            <v>:  Gorong2 Pipa Beton Bertulang 500 mm &lt; diameter dalam 700 mm</v>
          </cell>
          <cell r="R374" t="str">
            <v>TOTAL HARGA (Rp.)</v>
          </cell>
          <cell r="T374" t="str">
            <v>:</v>
          </cell>
          <cell r="U374">
            <v>282846.80804673955</v>
          </cell>
        </row>
        <row r="375">
          <cell r="A375">
            <v>4</v>
          </cell>
          <cell r="C375" t="str">
            <v>Jarak rata-rata Base Camp ke lokasi pekerjaan</v>
          </cell>
          <cell r="G375" t="str">
            <v>L</v>
          </cell>
          <cell r="H375">
            <v>8.7249999999999996</v>
          </cell>
          <cell r="I375" t="str">
            <v>Km</v>
          </cell>
          <cell r="L375" t="str">
            <v>SATUAN PEMBAYARAN</v>
          </cell>
          <cell r="O375" t="str">
            <v>:  M1</v>
          </cell>
          <cell r="Q375">
            <v>0</v>
          </cell>
          <cell r="R375" t="str">
            <v>% THD. BIAYA PROYEK</v>
          </cell>
          <cell r="T375" t="str">
            <v>:</v>
          </cell>
          <cell r="U375" t="e">
            <v>#DIV/0!</v>
          </cell>
        </row>
        <row r="376">
          <cell r="A376">
            <v>5</v>
          </cell>
          <cell r="C376" t="str">
            <v>Jam kerja efektif per-hari</v>
          </cell>
          <cell r="G376" t="str">
            <v>Tk</v>
          </cell>
          <cell r="H376">
            <v>7</v>
          </cell>
          <cell r="I376" t="str">
            <v>jam</v>
          </cell>
        </row>
        <row r="377">
          <cell r="A377">
            <v>6</v>
          </cell>
          <cell r="C377" t="str">
            <v>Tebal gorong-gorong</v>
          </cell>
          <cell r="G377" t="str">
            <v>tg</v>
          </cell>
          <cell r="H377">
            <v>6.5</v>
          </cell>
          <cell r="I377" t="str">
            <v>Cm</v>
          </cell>
        </row>
        <row r="378">
          <cell r="Q378" t="str">
            <v>PERKIRAAN</v>
          </cell>
          <cell r="R378" t="str">
            <v>HARGA</v>
          </cell>
          <cell r="S378" t="str">
            <v>JUMLAH</v>
          </cell>
        </row>
        <row r="379">
          <cell r="A379" t="str">
            <v>II.</v>
          </cell>
          <cell r="C379" t="str">
            <v>URUTAN KERJA</v>
          </cell>
          <cell r="L379" t="str">
            <v>NO.</v>
          </cell>
          <cell r="N379" t="str">
            <v>KOMPONEN</v>
          </cell>
          <cell r="P379" t="str">
            <v>SATUAN</v>
          </cell>
          <cell r="Q379" t="str">
            <v>KUANTITAS</v>
          </cell>
          <cell r="R379" t="str">
            <v>SATUAN</v>
          </cell>
          <cell r="S379" t="str">
            <v>HARGA</v>
          </cell>
        </row>
        <row r="380">
          <cell r="A380">
            <v>1</v>
          </cell>
          <cell r="C380" t="str">
            <v>Gorong-gorong dicetak di Base Camp</v>
          </cell>
          <cell r="R380" t="str">
            <v>(Rp.)</v>
          </cell>
          <cell r="S380" t="str">
            <v>(Rp.)</v>
          </cell>
        </row>
        <row r="381">
          <cell r="A381">
            <v>2</v>
          </cell>
          <cell r="C381" t="str">
            <v>Dump Truck mengangkut gorong-gorong jadi</v>
          </cell>
        </row>
        <row r="382">
          <cell r="C382" t="str">
            <v>ke lapangan</v>
          </cell>
        </row>
        <row r="383">
          <cell r="A383">
            <v>3</v>
          </cell>
          <cell r="C383" t="str">
            <v>Dasar gorong-gorong digali sesuai kebutuhan dan ma-</v>
          </cell>
          <cell r="L383" t="str">
            <v>A.</v>
          </cell>
          <cell r="N383" t="str">
            <v>TENAGA</v>
          </cell>
        </row>
        <row r="384">
          <cell r="C384" t="str">
            <v>terial backfill dipadatkan dengan Tamper</v>
          </cell>
        </row>
        <row r="385">
          <cell r="A385">
            <v>4</v>
          </cell>
          <cell r="C385" t="str">
            <v>Tebal lapis porus pada dasar gorong-gorong pipa</v>
          </cell>
          <cell r="G385" t="str">
            <v>tp</v>
          </cell>
          <cell r="H385">
            <v>0.1</v>
          </cell>
          <cell r="I385" t="str">
            <v>M</v>
          </cell>
          <cell r="J385" t="str">
            <v xml:space="preserve"> Sand bedding</v>
          </cell>
          <cell r="L385" t="str">
            <v>1.</v>
          </cell>
          <cell r="N385" t="str">
            <v>Pekerja</v>
          </cell>
          <cell r="O385" t="str">
            <v>(L01)</v>
          </cell>
          <cell r="P385" t="str">
            <v>jam</v>
          </cell>
          <cell r="Q385">
            <v>4.9000000000000004</v>
          </cell>
          <cell r="R385">
            <v>2857.14</v>
          </cell>
          <cell r="U385">
            <v>13999.986000000001</v>
          </cell>
        </row>
        <row r="386">
          <cell r="A386">
            <v>5</v>
          </cell>
          <cell r="C386" t="str">
            <v>Material pilihan untuk penimbunan kembali (padat)</v>
          </cell>
          <cell r="L386" t="str">
            <v>2.</v>
          </cell>
          <cell r="N386" t="str">
            <v>Tukang</v>
          </cell>
          <cell r="O386" t="str">
            <v>(L02)</v>
          </cell>
          <cell r="P386" t="str">
            <v>jam</v>
          </cell>
          <cell r="Q386">
            <v>1.4</v>
          </cell>
          <cell r="R386">
            <v>4285.71</v>
          </cell>
          <cell r="U386">
            <v>5999.9939999999997</v>
          </cell>
        </row>
        <row r="387">
          <cell r="A387">
            <v>6</v>
          </cell>
          <cell r="C387" t="str">
            <v>Sekelompok pekerja akan melaksanakan pekerjaan</v>
          </cell>
          <cell r="L387" t="str">
            <v>3.</v>
          </cell>
          <cell r="N387" t="str">
            <v>Mandor</v>
          </cell>
          <cell r="O387" t="str">
            <v>(L03)</v>
          </cell>
          <cell r="P387" t="str">
            <v>jam</v>
          </cell>
          <cell r="Q387">
            <v>0.7</v>
          </cell>
          <cell r="R387">
            <v>3214.29</v>
          </cell>
          <cell r="U387">
            <v>2250.0029999999997</v>
          </cell>
        </row>
        <row r="388">
          <cell r="C388" t="str">
            <v>dengan cara manual dengan menggunakan alat bantu</v>
          </cell>
        </row>
        <row r="389">
          <cell r="Q389" t="str">
            <v xml:space="preserve">JUMLAH HARGA TENAGA   </v>
          </cell>
          <cell r="U389">
            <v>22249.983</v>
          </cell>
        </row>
        <row r="391">
          <cell r="A391" t="str">
            <v>III.</v>
          </cell>
          <cell r="C391" t="str">
            <v>PEMAKAIAN BAHAN, ALAT DAN TENAGA</v>
          </cell>
          <cell r="L391" t="str">
            <v>B.</v>
          </cell>
          <cell r="N391" t="str">
            <v>BAHAN</v>
          </cell>
        </row>
        <row r="392">
          <cell r="A392" t="str">
            <v xml:space="preserve">   1.</v>
          </cell>
          <cell r="C392" t="str">
            <v>BAHAN</v>
          </cell>
        </row>
        <row r="393">
          <cell r="C393" t="str">
            <v>Untuk mendapatkan 1 M' gorong-gorong diperlukan</v>
          </cell>
          <cell r="L393" t="str">
            <v>1.</v>
          </cell>
          <cell r="N393" t="str">
            <v>Beton K-300</v>
          </cell>
          <cell r="O393" t="str">
            <v>(EI-714)</v>
          </cell>
          <cell r="P393" t="str">
            <v>M3</v>
          </cell>
          <cell r="Q393">
            <v>0.13579534245141872</v>
          </cell>
          <cell r="R393">
            <v>652902.54982502444</v>
          </cell>
          <cell r="U393">
            <v>88661.125340893675</v>
          </cell>
        </row>
        <row r="394">
          <cell r="C394" t="str">
            <v>- Beton K-300 = (22/7*((2*tg/100+d)/2)^2)-(22/7*(d/2)^2))*1</v>
          </cell>
          <cell r="G394" t="str">
            <v>(EI-714)</v>
          </cell>
          <cell r="H394">
            <v>0.13579534245141872</v>
          </cell>
          <cell r="I394" t="str">
            <v>M3</v>
          </cell>
          <cell r="L394" t="str">
            <v>2.</v>
          </cell>
          <cell r="N394" t="str">
            <v>Baja Tulangan</v>
          </cell>
          <cell r="O394" t="str">
            <v>(M39)</v>
          </cell>
          <cell r="P394" t="str">
            <v>Kg</v>
          </cell>
          <cell r="Q394">
            <v>14.937487669656059</v>
          </cell>
          <cell r="R394">
            <v>4000</v>
          </cell>
          <cell r="U394">
            <v>59749.950678624235</v>
          </cell>
        </row>
        <row r="395">
          <cell r="C395" t="str">
            <v>- Baja Tulangan (asumsi 100kg/m3)</v>
          </cell>
          <cell r="G395" t="str">
            <v>(M39)</v>
          </cell>
          <cell r="H395">
            <v>14.937487669656059</v>
          </cell>
          <cell r="I395" t="str">
            <v>Kg</v>
          </cell>
          <cell r="L395" t="str">
            <v>3.</v>
          </cell>
          <cell r="N395" t="str">
            <v>Urugan Porus</v>
          </cell>
          <cell r="O395" t="str">
            <v>(EI-241)</v>
          </cell>
          <cell r="P395" t="str">
            <v>M3</v>
          </cell>
          <cell r="Q395">
            <v>0.13965000000000002</v>
          </cell>
          <cell r="R395">
            <v>186901.40625406182</v>
          </cell>
          <cell r="U395">
            <v>26100.781383379737</v>
          </cell>
        </row>
        <row r="396">
          <cell r="C396" t="str">
            <v>- Timbunan Porus      = {(tp*(0.3+2*tg/100+d+0.3)*1)*1.05}</v>
          </cell>
          <cell r="G396" t="str">
            <v>(EI-241)</v>
          </cell>
          <cell r="H396">
            <v>0.13965000000000002</v>
          </cell>
          <cell r="I396" t="str">
            <v>M3</v>
          </cell>
          <cell r="L396" t="str">
            <v>4.</v>
          </cell>
          <cell r="N396" t="str">
            <v>Mat. Pilihan</v>
          </cell>
          <cell r="O396" t="str">
            <v>(M09)</v>
          </cell>
          <cell r="P396" t="str">
            <v>M3</v>
          </cell>
          <cell r="Q396">
            <v>0.99875250000000027</v>
          </cell>
          <cell r="R396">
            <v>25000</v>
          </cell>
          <cell r="U396">
            <v>24968.812500000007</v>
          </cell>
        </row>
        <row r="397">
          <cell r="C397" t="str">
            <v>- Material Pilihan</v>
          </cell>
          <cell r="D397" t="str">
            <v>= ((2*tg/100+d+0.3)*(0.3+2*tg/100+d+0.3)</v>
          </cell>
          <cell r="G397" t="str">
            <v>(M09)</v>
          </cell>
          <cell r="H397">
            <v>0.99875250000000027</v>
          </cell>
          <cell r="I397" t="str">
            <v>M3</v>
          </cell>
          <cell r="J397" t="str">
            <v xml:space="preserve"> = Vp</v>
          </cell>
        </row>
        <row r="398">
          <cell r="D398" t="str">
            <v xml:space="preserve">   -(22/7*(0.5*(2*tg/100+d))^2))*1*1.05</v>
          </cell>
        </row>
        <row r="399">
          <cell r="A399" t="str">
            <v xml:space="preserve">   2.</v>
          </cell>
          <cell r="C399" t="str">
            <v>ALAT</v>
          </cell>
          <cell r="Q399" t="str">
            <v xml:space="preserve">JUMLAH HARGA BAHAN   </v>
          </cell>
          <cell r="U399">
            <v>199480.66990289764</v>
          </cell>
        </row>
        <row r="400">
          <cell r="A400" t="str">
            <v>2.a.</v>
          </cell>
          <cell r="C400" t="str">
            <v>TAMPER</v>
          </cell>
          <cell r="G400" t="str">
            <v>(E25)</v>
          </cell>
        </row>
        <row r="401">
          <cell r="C401" t="str">
            <v>Kecepatan</v>
          </cell>
          <cell r="G401" t="str">
            <v>v</v>
          </cell>
          <cell r="H401">
            <v>0.5</v>
          </cell>
          <cell r="I401" t="str">
            <v>Km / Jam</v>
          </cell>
          <cell r="L401" t="str">
            <v>C.</v>
          </cell>
          <cell r="N401" t="str">
            <v>PERALATAN</v>
          </cell>
        </row>
        <row r="402">
          <cell r="C402" t="str">
            <v>Efisiensi alat</v>
          </cell>
          <cell r="G402" t="str">
            <v>Fa</v>
          </cell>
          <cell r="H402">
            <v>0.83</v>
          </cell>
          <cell r="I402" t="str">
            <v>-</v>
          </cell>
        </row>
        <row r="403">
          <cell r="C403" t="str">
            <v>Lebar pemadatan</v>
          </cell>
          <cell r="G403" t="str">
            <v>Lb</v>
          </cell>
          <cell r="H403">
            <v>0.4</v>
          </cell>
          <cell r="I403" t="str">
            <v>M</v>
          </cell>
          <cell r="L403" t="str">
            <v>1.</v>
          </cell>
          <cell r="N403" t="str">
            <v>Tamper</v>
          </cell>
          <cell r="O403" t="str">
            <v>(E25)</v>
          </cell>
          <cell r="P403" t="str">
            <v>Jam</v>
          </cell>
          <cell r="Q403">
            <v>0.30082906626506029</v>
          </cell>
          <cell r="R403">
            <v>18672.16854694486</v>
          </cell>
          <cell r="U403">
            <v>5617.1310291212494</v>
          </cell>
        </row>
        <row r="404">
          <cell r="C404" t="str">
            <v>Banyak lintasan</v>
          </cell>
          <cell r="G404" t="str">
            <v>n</v>
          </cell>
          <cell r="H404">
            <v>10</v>
          </cell>
          <cell r="I404" t="str">
            <v>lintasan</v>
          </cell>
          <cell r="L404" t="str">
            <v>2.</v>
          </cell>
          <cell r="N404" t="str">
            <v>Dump Truck</v>
          </cell>
          <cell r="O404" t="str">
            <v>(E08)</v>
          </cell>
          <cell r="P404" t="str">
            <v>Jam</v>
          </cell>
          <cell r="Q404">
            <v>0.18800200803212852</v>
          </cell>
          <cell r="R404">
            <v>153645.58193291764</v>
          </cell>
          <cell r="U404">
            <v>28885.677928653444</v>
          </cell>
        </row>
        <row r="405">
          <cell r="C405" t="str">
            <v>Tebal lapis hamparan</v>
          </cell>
          <cell r="G405" t="str">
            <v>tp</v>
          </cell>
          <cell r="H405">
            <v>0.2</v>
          </cell>
          <cell r="I405" t="str">
            <v>M</v>
          </cell>
          <cell r="L405" t="str">
            <v>3.</v>
          </cell>
          <cell r="N405" t="str">
            <v>Alat  Bantu</v>
          </cell>
          <cell r="P405" t="str">
            <v>Ls</v>
          </cell>
          <cell r="Q405">
            <v>1</v>
          </cell>
          <cell r="R405">
            <v>900</v>
          </cell>
          <cell r="U405">
            <v>900</v>
          </cell>
        </row>
        <row r="408">
          <cell r="C408" t="str">
            <v>Kap. Prod. / Jam   =</v>
          </cell>
          <cell r="D408" t="str">
            <v>v x 1000 x Fa x Lb x 60</v>
          </cell>
          <cell r="G408" t="str">
            <v>Q1</v>
          </cell>
          <cell r="H408">
            <v>3.3200000000000003</v>
          </cell>
          <cell r="I408" t="str">
            <v xml:space="preserve">M3 / Jam </v>
          </cell>
        </row>
        <row r="409">
          <cell r="D409" t="str">
            <v xml:space="preserve">    n x tp</v>
          </cell>
        </row>
        <row r="411">
          <cell r="C411" t="str">
            <v>Koefisien Alat / m'</v>
          </cell>
          <cell r="D411" t="str">
            <v xml:space="preserve"> =  1  :  Q1 x Vp</v>
          </cell>
          <cell r="G411" t="str">
            <v>(E25)</v>
          </cell>
          <cell r="H411">
            <v>0.30082906626506029</v>
          </cell>
          <cell r="I411" t="str">
            <v>jam</v>
          </cell>
          <cell r="Q411" t="str">
            <v xml:space="preserve">JUMLAH HARGA PERALATAN   </v>
          </cell>
          <cell r="U411">
            <v>35402.808957774694</v>
          </cell>
        </row>
        <row r="413">
          <cell r="A413" t="str">
            <v>2.b.</v>
          </cell>
          <cell r="C413" t="str">
            <v>DUMP TRUCK</v>
          </cell>
          <cell r="G413" t="str">
            <v>(E08)</v>
          </cell>
          <cell r="L413" t="str">
            <v>D.</v>
          </cell>
          <cell r="N413" t="str">
            <v>JUMLAH HARGA TENAGA, BAHAN DAN PERALATAN  ( A + B + C )</v>
          </cell>
          <cell r="U413">
            <v>257133.46186067234</v>
          </cell>
        </row>
        <row r="414">
          <cell r="C414" t="str">
            <v>Kapasitas bak sekali muat</v>
          </cell>
          <cell r="G414" t="str">
            <v>V</v>
          </cell>
          <cell r="H414">
            <v>10</v>
          </cell>
          <cell r="I414" t="str">
            <v>Buah/M'</v>
          </cell>
          <cell r="L414" t="str">
            <v>E.</v>
          </cell>
          <cell r="N414" t="str">
            <v>OVERHEAD &amp; PROFIT</v>
          </cell>
          <cell r="P414">
            <v>10</v>
          </cell>
          <cell r="Q414" t="str">
            <v>%  x  D</v>
          </cell>
          <cell r="U414">
            <v>25713.346186067236</v>
          </cell>
        </row>
        <row r="415">
          <cell r="C415" t="str">
            <v>Faktor efisiensi alat</v>
          </cell>
          <cell r="G415" t="str">
            <v>Fa</v>
          </cell>
          <cell r="H415">
            <v>0.83</v>
          </cell>
          <cell r="L415" t="str">
            <v>F.</v>
          </cell>
          <cell r="N415" t="str">
            <v>HARGA SATUAN PEKERJAAN  ( D + E )</v>
          </cell>
          <cell r="U415">
            <v>282846.80804673955</v>
          </cell>
        </row>
        <row r="416">
          <cell r="C416" t="str">
            <v>Kecepatanrata-rata bermuatan</v>
          </cell>
          <cell r="G416" t="str">
            <v>v1</v>
          </cell>
          <cell r="H416">
            <v>20</v>
          </cell>
          <cell r="I416" t="str">
            <v>Km/Jam</v>
          </cell>
          <cell r="L416" t="str">
            <v>Note: 1</v>
          </cell>
          <cell r="N416" t="str">
            <v>SATUAN dapat berdasarkan atas jam operasi untuk Tenaga Kerja dan Peralatan, volume dan/atau ukuran</v>
          </cell>
        </row>
        <row r="417">
          <cell r="C417" t="str">
            <v>Kecepatan rata-rata kosong</v>
          </cell>
          <cell r="G417" t="str">
            <v>v2</v>
          </cell>
          <cell r="H417">
            <v>30</v>
          </cell>
          <cell r="I417" t="str">
            <v>Km/Jam</v>
          </cell>
          <cell r="N417" t="str">
            <v>berat untuk bahan-bahan.</v>
          </cell>
        </row>
        <row r="418">
          <cell r="C418" t="str">
            <v>Waktu siklus    :</v>
          </cell>
          <cell r="G418" t="str">
            <v>Ts</v>
          </cell>
          <cell r="L418">
            <v>2</v>
          </cell>
          <cell r="N418" t="str">
            <v>Kuantitas satuan adalah kuantitas setiap komponen untuk menyelesaikan satu satuan pekerjaan dari nomor</v>
          </cell>
        </row>
        <row r="419">
          <cell r="C419" t="str">
            <v>- Waktu  tempuh in  si  = (L : v1 ) x 60</v>
          </cell>
          <cell r="G419" t="str">
            <v>T1</v>
          </cell>
          <cell r="H419">
            <v>26.174999999999997</v>
          </cell>
          <cell r="I419" t="str">
            <v>menit</v>
          </cell>
          <cell r="N419" t="str">
            <v>mata pembayaran.</v>
          </cell>
        </row>
        <row r="420">
          <cell r="C420" t="str">
            <v>-  Waktutempuh kosong  = (L : v2)  x  60</v>
          </cell>
          <cell r="G420" t="str">
            <v>T2</v>
          </cell>
          <cell r="H420">
            <v>17.45</v>
          </cell>
          <cell r="I420" t="str">
            <v>menit</v>
          </cell>
          <cell r="L420">
            <v>3</v>
          </cell>
          <cell r="N420" t="str">
            <v>Biaya satuan untuk peralatan sudah termasuk bahan bakar, bahan habis dipakai dan operator.</v>
          </cell>
        </row>
        <row r="421">
          <cell r="C421" t="str">
            <v>-  Muat, bongkar dan lain-lain</v>
          </cell>
          <cell r="G421" t="str">
            <v>T3</v>
          </cell>
          <cell r="H421">
            <v>50</v>
          </cell>
          <cell r="I421" t="str">
            <v>menit</v>
          </cell>
          <cell r="L421">
            <v>4</v>
          </cell>
          <cell r="N421" t="str">
            <v>Biaya satuan sudah termasuk pengeluaran untuk seluruh pajak yang berkaitan (tetapi tidak termasuk PPN</v>
          </cell>
        </row>
        <row r="422">
          <cell r="G422" t="str">
            <v>Ts</v>
          </cell>
          <cell r="H422">
            <v>93.625</v>
          </cell>
          <cell r="I422" t="str">
            <v>menit</v>
          </cell>
          <cell r="N422" t="str">
            <v>yang dibayar dari kontrak) dan biaya-biaya lainnya.</v>
          </cell>
        </row>
        <row r="423">
          <cell r="J423" t="str">
            <v>Berlanjut ke halaman berikut</v>
          </cell>
        </row>
        <row r="424">
          <cell r="A424" t="str">
            <v>ITEM PEMBAYARAN NO.</v>
          </cell>
          <cell r="D424" t="str">
            <v>:  2.3 (2)</v>
          </cell>
          <cell r="J424" t="str">
            <v xml:space="preserve">Analisa EI-232 </v>
          </cell>
        </row>
        <row r="425">
          <cell r="A425" t="str">
            <v>JENIS PEKERJAAN</v>
          </cell>
          <cell r="D425" t="str">
            <v>:  Gorong2 Pipa Beton Bertulang 500 mm &lt; diameter dalam 700 mm</v>
          </cell>
        </row>
        <row r="426">
          <cell r="A426" t="str">
            <v>SATUAN PEMBAYARAN</v>
          </cell>
          <cell r="D426" t="str">
            <v>:  M1</v>
          </cell>
          <cell r="J426" t="str">
            <v xml:space="preserve">         URAIAN ANALISA HARGA SATUAN</v>
          </cell>
        </row>
        <row r="427">
          <cell r="J427" t="str">
            <v>Lanjutan</v>
          </cell>
        </row>
        <row r="429">
          <cell r="A429" t="str">
            <v>No.</v>
          </cell>
          <cell r="C429" t="str">
            <v>U R A I A N</v>
          </cell>
          <cell r="G429" t="str">
            <v>KODE</v>
          </cell>
          <cell r="H429" t="str">
            <v>KOEF.</v>
          </cell>
          <cell r="I429" t="str">
            <v>SATUAN</v>
          </cell>
          <cell r="J429" t="str">
            <v>KETERANGAN</v>
          </cell>
        </row>
        <row r="432">
          <cell r="C432" t="str">
            <v>Kapasitas Produksi / Jam   =</v>
          </cell>
          <cell r="E432" t="str">
            <v>V x Fa x 60</v>
          </cell>
          <cell r="G432" t="str">
            <v>Q2</v>
          </cell>
          <cell r="H432">
            <v>5.3190921228304404</v>
          </cell>
          <cell r="I432" t="str">
            <v xml:space="preserve">M' / Jam </v>
          </cell>
        </row>
        <row r="433">
          <cell r="E433" t="str">
            <v xml:space="preserve">    Ts</v>
          </cell>
        </row>
        <row r="435">
          <cell r="C435" t="str">
            <v>Koefisien Alat / m'</v>
          </cell>
          <cell r="D435" t="str">
            <v xml:space="preserve"> =  1  :  Q2</v>
          </cell>
          <cell r="G435" t="str">
            <v>(E08)</v>
          </cell>
          <cell r="H435">
            <v>0.18800200803212852</v>
          </cell>
          <cell r="I435" t="str">
            <v>jam</v>
          </cell>
        </row>
        <row r="438">
          <cell r="A438" t="str">
            <v>2.c.</v>
          </cell>
          <cell r="C438" t="str">
            <v>ALAT  BANTU</v>
          </cell>
        </row>
        <row r="439">
          <cell r="C439" t="str">
            <v>Diperlukan alat-alat bantu kecil</v>
          </cell>
          <cell r="J439" t="str">
            <v>Lump Sump</v>
          </cell>
        </row>
        <row r="440">
          <cell r="C440" t="str">
            <v>- Sekop    =         3   buah</v>
          </cell>
        </row>
        <row r="441">
          <cell r="C441" t="str">
            <v>- Pacul     =         3   buah</v>
          </cell>
        </row>
        <row r="442">
          <cell r="C442" t="str">
            <v>- Alat-alat kecil lain</v>
          </cell>
        </row>
        <row r="444">
          <cell r="A444" t="str">
            <v xml:space="preserve">   3.</v>
          </cell>
          <cell r="C444" t="str">
            <v>TENAGA</v>
          </cell>
        </row>
        <row r="445">
          <cell r="C445" t="str">
            <v>Produksi Gorong-gorong / hari</v>
          </cell>
          <cell r="G445" t="str">
            <v>Qt</v>
          </cell>
          <cell r="H445">
            <v>10</v>
          </cell>
          <cell r="I445" t="str">
            <v>M'</v>
          </cell>
        </row>
        <row r="446">
          <cell r="C446" t="str">
            <v>Kebutuhan tenaga :</v>
          </cell>
        </row>
        <row r="447">
          <cell r="D447" t="str">
            <v>- Pekerja</v>
          </cell>
          <cell r="G447" t="str">
            <v>P</v>
          </cell>
          <cell r="H447">
            <v>7</v>
          </cell>
          <cell r="I447" t="str">
            <v>orang</v>
          </cell>
        </row>
        <row r="448">
          <cell r="D448" t="str">
            <v>- Tukang</v>
          </cell>
          <cell r="G448" t="str">
            <v>T</v>
          </cell>
          <cell r="H448">
            <v>2</v>
          </cell>
          <cell r="I448" t="str">
            <v>orang</v>
          </cell>
        </row>
        <row r="449">
          <cell r="D449" t="str">
            <v>- Mandor</v>
          </cell>
          <cell r="G449" t="str">
            <v>M</v>
          </cell>
          <cell r="H449">
            <v>1</v>
          </cell>
          <cell r="I449" t="str">
            <v>orang</v>
          </cell>
        </row>
        <row r="451">
          <cell r="C451" t="str">
            <v>Koefisien tenaga / M'   :</v>
          </cell>
        </row>
        <row r="452">
          <cell r="D452" t="str">
            <v>- Pekerja</v>
          </cell>
          <cell r="E452" t="str">
            <v>= (Tk x P) : Qt</v>
          </cell>
          <cell r="G452" t="str">
            <v>(L01)</v>
          </cell>
          <cell r="H452">
            <v>4.9000000000000004</v>
          </cell>
          <cell r="I452" t="str">
            <v>jam</v>
          </cell>
        </row>
        <row r="453">
          <cell r="D453" t="str">
            <v>- Tukang</v>
          </cell>
          <cell r="E453" t="str">
            <v>= (Tk x T) : Qt</v>
          </cell>
          <cell r="G453" t="str">
            <v>(L02)</v>
          </cell>
          <cell r="H453">
            <v>1.4</v>
          </cell>
          <cell r="I453" t="str">
            <v>jam</v>
          </cell>
        </row>
        <row r="454">
          <cell r="D454" t="str">
            <v>- Mandor</v>
          </cell>
          <cell r="E454" t="str">
            <v>= (Tk x M) : Qt</v>
          </cell>
          <cell r="G454" t="str">
            <v>(L03)</v>
          </cell>
          <cell r="H454">
            <v>0.7</v>
          </cell>
          <cell r="I454" t="str">
            <v>jam</v>
          </cell>
        </row>
        <row r="456">
          <cell r="A456" t="str">
            <v>4.</v>
          </cell>
          <cell r="C456" t="str">
            <v>HARGA DASAR SATUAN UPAH, BAHAN DAN ALAT</v>
          </cell>
        </row>
        <row r="457">
          <cell r="C457" t="str">
            <v>Lihat lampiran.</v>
          </cell>
        </row>
        <row r="460">
          <cell r="A460" t="str">
            <v>5.</v>
          </cell>
          <cell r="C460" t="str">
            <v>ANALISA HARGA SATUAN PEKERJAAN</v>
          </cell>
        </row>
        <row r="461">
          <cell r="C461" t="str">
            <v>Lihat perhitungan dalam FORMULIR STANDAR UNTUK</v>
          </cell>
        </row>
        <row r="462">
          <cell r="C462" t="str">
            <v>PEREKEMAN ANALISA MASING-MASING HARGA</v>
          </cell>
        </row>
        <row r="463">
          <cell r="C463" t="str">
            <v>SATUAN.</v>
          </cell>
        </row>
        <row r="464">
          <cell r="C464" t="str">
            <v>Didapat Harga Satuan Pekerjaan :</v>
          </cell>
        </row>
        <row r="466">
          <cell r="C466" t="str">
            <v xml:space="preserve">Rp.  </v>
          </cell>
          <cell r="D466">
            <v>282846.80804673955</v>
          </cell>
          <cell r="E466" t="str">
            <v xml:space="preserve"> / M'</v>
          </cell>
        </row>
        <row r="469">
          <cell r="A469" t="str">
            <v>6.</v>
          </cell>
          <cell r="C469" t="str">
            <v>WAKTU PELAKSANAAN YANG DIPERLUKAN</v>
          </cell>
        </row>
        <row r="470">
          <cell r="C470" t="str">
            <v>Masa Pelaksanaan :</v>
          </cell>
          <cell r="D470" t="str">
            <v>. . . . . . . . . . . .</v>
          </cell>
          <cell r="E470" t="str">
            <v>bulan</v>
          </cell>
        </row>
        <row r="472">
          <cell r="A472" t="str">
            <v>7.</v>
          </cell>
          <cell r="C472" t="str">
            <v>VOLUME PEKERJAAN YANG DIPERLUKAN</v>
          </cell>
        </row>
        <row r="473">
          <cell r="C473" t="str">
            <v>Volume pekerjaan  :</v>
          </cell>
          <cell r="D473">
            <v>1</v>
          </cell>
          <cell r="E473" t="str">
            <v>M'</v>
          </cell>
        </row>
        <row r="483">
          <cell r="A483" t="str">
            <v>ITEM PEMBAYARAN NO.</v>
          </cell>
          <cell r="D483" t="str">
            <v>:  2.3 (3)</v>
          </cell>
          <cell r="J483" t="str">
            <v xml:space="preserve">Analisa EI-233 </v>
          </cell>
        </row>
        <row r="484">
          <cell r="A484" t="str">
            <v>JENIS PEKERJAAN</v>
          </cell>
          <cell r="D484" t="str">
            <v>:  Gorong2 Pipa Beton Bertulang 500 mm &lt; diameter dalam &lt; 1 m</v>
          </cell>
          <cell r="L484" t="str">
            <v>FORMULIR STANDAR UNTUK</v>
          </cell>
        </row>
        <row r="485">
          <cell r="A485" t="str">
            <v>SATUAN PEMBAYARAN</v>
          </cell>
          <cell r="D485" t="str">
            <v>:  M1</v>
          </cell>
          <cell r="J485" t="str">
            <v xml:space="preserve">         URAIAN ANALISA HARGA SATUAN</v>
          </cell>
          <cell r="L485" t="str">
            <v>PEREKAMAN ANALISA MASING-MASING HARGA SATUAN</v>
          </cell>
        </row>
        <row r="486">
          <cell r="L486" t="str">
            <v/>
          </cell>
        </row>
        <row r="488">
          <cell r="A488" t="str">
            <v>No.</v>
          </cell>
          <cell r="C488" t="str">
            <v>U R A I A N</v>
          </cell>
          <cell r="G488" t="str">
            <v>KODE</v>
          </cell>
          <cell r="H488" t="str">
            <v>KOEF.</v>
          </cell>
          <cell r="I488" t="str">
            <v>SATUAN</v>
          </cell>
          <cell r="J488" t="str">
            <v>KETERANGAN</v>
          </cell>
        </row>
        <row r="489">
          <cell r="L489" t="str">
            <v>PROYEK</v>
          </cell>
          <cell r="O489" t="str">
            <v>:</v>
          </cell>
        </row>
        <row r="490">
          <cell r="L490" t="str">
            <v>No. PAKET KONTRAK</v>
          </cell>
          <cell r="O490" t="str">
            <v>:</v>
          </cell>
        </row>
        <row r="491">
          <cell r="A491" t="str">
            <v>I.</v>
          </cell>
          <cell r="C491" t="str">
            <v>ASUMSI</v>
          </cell>
          <cell r="L491" t="str">
            <v>NAMA PAKET</v>
          </cell>
          <cell r="O491" t="str">
            <v>:</v>
          </cell>
        </row>
        <row r="492">
          <cell r="A492">
            <v>1</v>
          </cell>
          <cell r="C492" t="str">
            <v>Pekerjaan dilakukan secara mekanik/manual</v>
          </cell>
          <cell r="L492" t="str">
            <v>PROP / KAB / KODYA</v>
          </cell>
          <cell r="O492" t="str">
            <v>:</v>
          </cell>
        </row>
        <row r="493">
          <cell r="A493">
            <v>2</v>
          </cell>
          <cell r="C493" t="str">
            <v>Lokasi pekerjaan : sepanjang jalan</v>
          </cell>
          <cell r="L493" t="str">
            <v>ITEM PEMBAYARAN NO.</v>
          </cell>
          <cell r="O493" t="str">
            <v>:  2.3 (3)</v>
          </cell>
          <cell r="R493" t="str">
            <v>PERKIRAAN VOL. PEK.</v>
          </cell>
          <cell r="T493" t="str">
            <v>:</v>
          </cell>
          <cell r="U493">
            <v>1</v>
          </cell>
        </row>
        <row r="494">
          <cell r="A494">
            <v>3</v>
          </cell>
          <cell r="C494" t="str">
            <v>Diameter bagian dalam gorong-gorong</v>
          </cell>
          <cell r="G494" t="str">
            <v>d</v>
          </cell>
          <cell r="H494">
            <v>0.8</v>
          </cell>
          <cell r="I494" t="str">
            <v>m</v>
          </cell>
          <cell r="L494" t="str">
            <v>JENIS PEKERJAAN</v>
          </cell>
          <cell r="O494" t="str">
            <v>:  Gorong2 Pipa Beton Bertulang 500 mm &lt; diameter dalam &lt; 1 m</v>
          </cell>
          <cell r="R494" t="str">
            <v>TOTAL HARGA (Rp.)</v>
          </cell>
          <cell r="T494" t="str">
            <v>:</v>
          </cell>
          <cell r="U494">
            <v>447945.27138535964</v>
          </cell>
        </row>
        <row r="495">
          <cell r="A495">
            <v>4</v>
          </cell>
          <cell r="C495" t="str">
            <v>Jarak rata-rata Base Camp ke lokasi pekerjaan</v>
          </cell>
          <cell r="G495" t="str">
            <v>L</v>
          </cell>
          <cell r="H495">
            <v>8.7249999999999996</v>
          </cell>
          <cell r="I495" t="str">
            <v>Km</v>
          </cell>
          <cell r="L495" t="str">
            <v>SATUAN PEMBAYARAN</v>
          </cell>
          <cell r="O495" t="str">
            <v>:  M1</v>
          </cell>
          <cell r="Q495">
            <v>0</v>
          </cell>
          <cell r="R495" t="str">
            <v>% THD. BIAYA PROYEK</v>
          </cell>
          <cell r="T495" t="str">
            <v>:</v>
          </cell>
          <cell r="U495" t="e">
            <v>#DIV/0!</v>
          </cell>
        </row>
        <row r="496">
          <cell r="A496">
            <v>5</v>
          </cell>
          <cell r="C496" t="str">
            <v>Jam kerja efektif per-hari</v>
          </cell>
          <cell r="G496" t="str">
            <v>Tk</v>
          </cell>
          <cell r="H496">
            <v>7</v>
          </cell>
          <cell r="I496" t="str">
            <v>Jam</v>
          </cell>
        </row>
        <row r="497">
          <cell r="A497">
            <v>6</v>
          </cell>
          <cell r="C497" t="str">
            <v>Tebal gorong-gorong</v>
          </cell>
          <cell r="G497" t="str">
            <v>tg</v>
          </cell>
          <cell r="H497">
            <v>7.5</v>
          </cell>
          <cell r="I497" t="str">
            <v>Cm</v>
          </cell>
        </row>
        <row r="498">
          <cell r="Q498" t="str">
            <v>PERKIRAAN</v>
          </cell>
          <cell r="R498" t="str">
            <v>HARGA</v>
          </cell>
          <cell r="S498" t="str">
            <v>JUMLAH</v>
          </cell>
        </row>
        <row r="499">
          <cell r="A499" t="str">
            <v>II.</v>
          </cell>
          <cell r="C499" t="str">
            <v>URUTAN KERJA</v>
          </cell>
          <cell r="L499" t="str">
            <v>NO.</v>
          </cell>
          <cell r="N499" t="str">
            <v>KOMPONEN</v>
          </cell>
          <cell r="P499" t="str">
            <v>SATUAN</v>
          </cell>
          <cell r="Q499" t="str">
            <v>KUANTITAS</v>
          </cell>
          <cell r="R499" t="str">
            <v>SATUAN</v>
          </cell>
          <cell r="S499" t="str">
            <v>HARGA</v>
          </cell>
        </row>
        <row r="500">
          <cell r="A500">
            <v>1</v>
          </cell>
          <cell r="C500" t="str">
            <v>Gorong-gorong dicetak di Base Camp</v>
          </cell>
          <cell r="R500" t="str">
            <v>(Rp.)</v>
          </cell>
          <cell r="S500" t="str">
            <v>(Rp.)</v>
          </cell>
        </row>
        <row r="501">
          <cell r="A501">
            <v>2</v>
          </cell>
          <cell r="C501" t="str">
            <v>Dump Truck mengangkut gorong-gorong jadi</v>
          </cell>
        </row>
        <row r="502">
          <cell r="C502" t="str">
            <v>ke lapangan</v>
          </cell>
        </row>
        <row r="503">
          <cell r="A503">
            <v>3</v>
          </cell>
          <cell r="C503" t="str">
            <v>Dasar gorong-gorong digali sesuai kebutuhan dan ma-</v>
          </cell>
          <cell r="L503" t="str">
            <v>A.</v>
          </cell>
          <cell r="N503" t="str">
            <v>TENAGA</v>
          </cell>
        </row>
        <row r="504">
          <cell r="C504" t="str">
            <v>terial backfill dipadatkan dengan Tamper</v>
          </cell>
        </row>
        <row r="505">
          <cell r="A505">
            <v>4</v>
          </cell>
          <cell r="C505" t="str">
            <v>Tebal lapis porus pada dasar gorong-gorong pipa</v>
          </cell>
          <cell r="G505" t="str">
            <v>tp</v>
          </cell>
          <cell r="H505">
            <v>0.12</v>
          </cell>
          <cell r="I505" t="str">
            <v>M</v>
          </cell>
          <cell r="J505" t="str">
            <v xml:space="preserve"> Sand bedding</v>
          </cell>
          <cell r="L505" t="str">
            <v>1.</v>
          </cell>
          <cell r="N505" t="str">
            <v>Pekerja</v>
          </cell>
          <cell r="O505" t="str">
            <v>(L01)</v>
          </cell>
          <cell r="P505" t="str">
            <v>Jam</v>
          </cell>
          <cell r="Q505">
            <v>9.3333333333333339</v>
          </cell>
          <cell r="R505">
            <v>2857.14</v>
          </cell>
          <cell r="U505">
            <v>26666.639999999999</v>
          </cell>
        </row>
        <row r="506">
          <cell r="A506">
            <v>5</v>
          </cell>
          <cell r="C506" t="str">
            <v>Material pilihan untuk penimbunan kembali (padat)</v>
          </cell>
          <cell r="L506" t="str">
            <v>2.</v>
          </cell>
          <cell r="N506" t="str">
            <v>Tukang</v>
          </cell>
          <cell r="O506" t="str">
            <v>(L02)</v>
          </cell>
          <cell r="P506" t="str">
            <v>Jam</v>
          </cell>
          <cell r="Q506">
            <v>1.1666666666666667</v>
          </cell>
          <cell r="R506">
            <v>4285.71</v>
          </cell>
          <cell r="U506">
            <v>4999.9950000000008</v>
          </cell>
        </row>
        <row r="507">
          <cell r="A507">
            <v>6</v>
          </cell>
          <cell r="C507" t="str">
            <v>Sekelompok pekerja akan melaksanakan pekerjaan</v>
          </cell>
          <cell r="L507" t="str">
            <v>3.</v>
          </cell>
          <cell r="N507" t="str">
            <v>Mandor</v>
          </cell>
          <cell r="O507" t="str">
            <v>(L03)</v>
          </cell>
          <cell r="P507" t="str">
            <v>Jam</v>
          </cell>
          <cell r="Q507">
            <v>1.1666666666666667</v>
          </cell>
          <cell r="R507">
            <v>3214.29</v>
          </cell>
          <cell r="U507">
            <v>3750.0050000000001</v>
          </cell>
        </row>
        <row r="508">
          <cell r="C508" t="str">
            <v>dengan cara manual dengan menggunakan alat bantu</v>
          </cell>
        </row>
        <row r="509">
          <cell r="Q509" t="str">
            <v xml:space="preserve">JUMLAH HARGA TENAGA   </v>
          </cell>
          <cell r="U509">
            <v>35416.639999999999</v>
          </cell>
        </row>
        <row r="511">
          <cell r="A511" t="str">
            <v>III.</v>
          </cell>
          <cell r="C511" t="str">
            <v>PEMAKAIAN BAHAN, ALAT DAN TENAGA</v>
          </cell>
          <cell r="L511" t="str">
            <v>B.</v>
          </cell>
          <cell r="N511" t="str">
            <v>BAHAN</v>
          </cell>
        </row>
        <row r="512">
          <cell r="A512" t="str">
            <v xml:space="preserve">   1.</v>
          </cell>
          <cell r="C512" t="str">
            <v>BAHAN</v>
          </cell>
        </row>
        <row r="513">
          <cell r="C513" t="str">
            <v>Untuk mendapatkan 1 M' gorong-gorong diperlukan</v>
          </cell>
          <cell r="L513" t="str">
            <v>1.</v>
          </cell>
          <cell r="N513" t="str">
            <v>Beton K-300</v>
          </cell>
          <cell r="O513" t="str">
            <v>(EI-714)</v>
          </cell>
          <cell r="P513" t="str">
            <v>M3</v>
          </cell>
          <cell r="Q513">
            <v>0.20616701789183023</v>
          </cell>
          <cell r="R513">
            <v>652902.54982502444</v>
          </cell>
          <cell r="U513">
            <v>134606.97167139739</v>
          </cell>
        </row>
        <row r="514">
          <cell r="C514" t="str">
            <v>- Beton K-300 = (22/7*((2*tg/100+d)/2)^2)-(22/7*(d/2)^2))*1</v>
          </cell>
          <cell r="G514" t="str">
            <v>(EI-714)</v>
          </cell>
          <cell r="H514">
            <v>0.20616701789183023</v>
          </cell>
          <cell r="I514" t="str">
            <v>M3</v>
          </cell>
          <cell r="L514" t="str">
            <v>2.</v>
          </cell>
          <cell r="N514" t="str">
            <v>Baja Tulangan</v>
          </cell>
          <cell r="O514" t="str">
            <v>(M39)</v>
          </cell>
          <cell r="P514" t="str">
            <v>Kg</v>
          </cell>
          <cell r="Q514">
            <v>22.678371968101327</v>
          </cell>
          <cell r="R514">
            <v>4000</v>
          </cell>
          <cell r="U514">
            <v>90713.487872405312</v>
          </cell>
        </row>
        <row r="515">
          <cell r="C515" t="str">
            <v>- Baja Tulangan (asumsi 100kg/m3)</v>
          </cell>
          <cell r="G515" t="str">
            <v>(M39)</v>
          </cell>
          <cell r="H515">
            <v>22.678371968101327</v>
          </cell>
          <cell r="I515" t="str">
            <v>Kg</v>
          </cell>
          <cell r="L515" t="str">
            <v>3.</v>
          </cell>
          <cell r="N515" t="str">
            <v>Urugan Porus</v>
          </cell>
          <cell r="O515" t="str">
            <v>(EI-241)</v>
          </cell>
          <cell r="P515" t="str">
            <v>M3</v>
          </cell>
          <cell r="Q515">
            <v>0.2205</v>
          </cell>
          <cell r="R515">
            <v>186901.40625406182</v>
          </cell>
          <cell r="U515">
            <v>41211.760079020634</v>
          </cell>
        </row>
        <row r="516">
          <cell r="C516" t="str">
            <v>- Timbunan Porus      = {(tp*(0.4+2*tg/100+d+0.4)*1)*1.05}</v>
          </cell>
          <cell r="G516" t="str">
            <v>(EI-241)</v>
          </cell>
          <cell r="H516">
            <v>0.2205</v>
          </cell>
          <cell r="I516" t="str">
            <v>M3</v>
          </cell>
          <cell r="L516" t="str">
            <v>4.</v>
          </cell>
          <cell r="N516" t="str">
            <v>Mat. Pilihan</v>
          </cell>
          <cell r="O516" t="str">
            <v>(M09)</v>
          </cell>
          <cell r="P516" t="str">
            <v>M3</v>
          </cell>
          <cell r="Q516">
            <v>1.5523125</v>
          </cell>
          <cell r="R516">
            <v>25000</v>
          </cell>
          <cell r="U516">
            <v>38807.8125</v>
          </cell>
        </row>
        <row r="517">
          <cell r="C517" t="str">
            <v>- Material Pilihan</v>
          </cell>
          <cell r="D517" t="str">
            <v>= ((2*tg/100+d+0.3)*(0.4+2*tg/100+d+0.4)</v>
          </cell>
          <cell r="G517" t="str">
            <v>(M09)</v>
          </cell>
          <cell r="H517">
            <v>1.5523125</v>
          </cell>
          <cell r="I517" t="str">
            <v>M3</v>
          </cell>
          <cell r="J517" t="str">
            <v xml:space="preserve"> = Vp</v>
          </cell>
        </row>
        <row r="518">
          <cell r="D518" t="str">
            <v xml:space="preserve">   -(22/7*(0.5*(2*tg/100+d))^2))*1*1.05</v>
          </cell>
        </row>
        <row r="519">
          <cell r="A519" t="str">
            <v xml:space="preserve">   2.</v>
          </cell>
          <cell r="C519" t="str">
            <v>ALAT</v>
          </cell>
          <cell r="Q519" t="str">
            <v xml:space="preserve">JUMLAH HARGA BAHAN   </v>
          </cell>
          <cell r="U519">
            <v>305340.03212282335</v>
          </cell>
        </row>
        <row r="520">
          <cell r="A520" t="str">
            <v>2.a.</v>
          </cell>
          <cell r="C520" t="str">
            <v>TAMPER</v>
          </cell>
          <cell r="G520" t="str">
            <v>(E25)</v>
          </cell>
        </row>
        <row r="521">
          <cell r="C521" t="str">
            <v>Kecepatan</v>
          </cell>
          <cell r="G521" t="str">
            <v>V</v>
          </cell>
          <cell r="H521">
            <v>0.5</v>
          </cell>
          <cell r="I521" t="str">
            <v>Km / Jam</v>
          </cell>
          <cell r="L521" t="str">
            <v>C.</v>
          </cell>
          <cell r="N521" t="str">
            <v>PERALATAN</v>
          </cell>
        </row>
        <row r="522">
          <cell r="C522" t="str">
            <v>Efisiensi alat</v>
          </cell>
          <cell r="G522" t="str">
            <v>Fa</v>
          </cell>
          <cell r="H522">
            <v>0.83</v>
          </cell>
          <cell r="I522" t="str">
            <v>-</v>
          </cell>
        </row>
        <row r="523">
          <cell r="C523" t="str">
            <v>Lebar pemadatan</v>
          </cell>
          <cell r="G523" t="str">
            <v>Lb</v>
          </cell>
          <cell r="H523">
            <v>0.4</v>
          </cell>
          <cell r="I523" t="str">
            <v>M</v>
          </cell>
          <cell r="L523" t="str">
            <v>1.</v>
          </cell>
          <cell r="N523" t="str">
            <v>Tamper</v>
          </cell>
          <cell r="O523" t="str">
            <v>(E25)</v>
          </cell>
          <cell r="P523" t="str">
            <v>Jam</v>
          </cell>
          <cell r="Q523">
            <v>0.46756400602409631</v>
          </cell>
          <cell r="R523">
            <v>18672.16854694486</v>
          </cell>
          <cell r="U523">
            <v>8730.4339269666689</v>
          </cell>
        </row>
        <row r="524">
          <cell r="C524" t="str">
            <v>Banyak lintasan</v>
          </cell>
          <cell r="G524" t="str">
            <v>n</v>
          </cell>
          <cell r="H524">
            <v>10</v>
          </cell>
          <cell r="I524" t="str">
            <v>lintasan</v>
          </cell>
          <cell r="L524" t="str">
            <v>2.</v>
          </cell>
          <cell r="N524" t="str">
            <v>Dump Truck</v>
          </cell>
          <cell r="O524" t="str">
            <v>(E08)</v>
          </cell>
          <cell r="P524" t="str">
            <v>Jam</v>
          </cell>
          <cell r="Q524">
            <v>0.36926455823293175</v>
          </cell>
          <cell r="R524">
            <v>153645.58193291764</v>
          </cell>
          <cell r="U524">
            <v>56735.867936900555</v>
          </cell>
        </row>
        <row r="525">
          <cell r="C525" t="str">
            <v>Tebal lapis hamparan</v>
          </cell>
          <cell r="G525" t="str">
            <v>tp</v>
          </cell>
          <cell r="H525">
            <v>0.2</v>
          </cell>
          <cell r="I525" t="str">
            <v>M</v>
          </cell>
          <cell r="L525" t="str">
            <v>3.</v>
          </cell>
          <cell r="N525" t="str">
            <v>Alat  Bantu</v>
          </cell>
          <cell r="P525" t="str">
            <v>Ls</v>
          </cell>
          <cell r="Q525">
            <v>1</v>
          </cell>
          <cell r="R525">
            <v>1000</v>
          </cell>
          <cell r="U525">
            <v>1000</v>
          </cell>
        </row>
        <row r="528">
          <cell r="C528" t="str">
            <v>Kap. Prod. / Jam   =</v>
          </cell>
          <cell r="D528" t="str">
            <v>v x 1000 x Fa x Lb x 60</v>
          </cell>
          <cell r="G528" t="str">
            <v>Q1</v>
          </cell>
          <cell r="H528">
            <v>3.3200000000000003</v>
          </cell>
          <cell r="I528" t="str">
            <v xml:space="preserve">M3 / Jam </v>
          </cell>
        </row>
        <row r="529">
          <cell r="D529" t="str">
            <v xml:space="preserve">    n x tp</v>
          </cell>
        </row>
        <row r="531">
          <cell r="C531" t="str">
            <v>Koefisien Alat / m'</v>
          </cell>
          <cell r="D531" t="str">
            <v xml:space="preserve"> =  1  :  Q1 x Vp</v>
          </cell>
          <cell r="G531" t="str">
            <v>(E25)</v>
          </cell>
          <cell r="H531">
            <v>0.46756400602409631</v>
          </cell>
          <cell r="I531" t="str">
            <v>jam</v>
          </cell>
          <cell r="Q531" t="str">
            <v xml:space="preserve">JUMLAH HARGA PERALATAN   </v>
          </cell>
          <cell r="U531">
            <v>66466.301863867222</v>
          </cell>
        </row>
        <row r="533">
          <cell r="A533" t="str">
            <v>2.b.</v>
          </cell>
          <cell r="C533" t="str">
            <v>DUMP TRUCK</v>
          </cell>
          <cell r="G533" t="str">
            <v>(E08)</v>
          </cell>
          <cell r="L533" t="str">
            <v>D.</v>
          </cell>
          <cell r="N533" t="str">
            <v>JUMLAH HARGA TENAGA, BAHAN DAN PERALATAN  ( A + B + C )</v>
          </cell>
          <cell r="U533">
            <v>407222.97398669057</v>
          </cell>
        </row>
        <row r="534">
          <cell r="C534" t="str">
            <v>Kapasitas bak sekali muat</v>
          </cell>
          <cell r="G534" t="str">
            <v>V</v>
          </cell>
          <cell r="H534">
            <v>4</v>
          </cell>
          <cell r="I534" t="str">
            <v>Buah/M'</v>
          </cell>
          <cell r="L534" t="str">
            <v>E.</v>
          </cell>
          <cell r="N534" t="str">
            <v>OVERHEAD &amp; PROFIT</v>
          </cell>
          <cell r="P534">
            <v>10</v>
          </cell>
          <cell r="Q534" t="str">
            <v>%  x  D</v>
          </cell>
          <cell r="U534">
            <v>40722.297398669063</v>
          </cell>
        </row>
        <row r="535">
          <cell r="C535" t="str">
            <v>Faktor efisiensi alat</v>
          </cell>
          <cell r="G535" t="str">
            <v>Fa</v>
          </cell>
          <cell r="H535">
            <v>0.83</v>
          </cell>
          <cell r="L535" t="str">
            <v>F.</v>
          </cell>
          <cell r="N535" t="str">
            <v>HARGA SATUAN PEKERJAAN  ( D + E )</v>
          </cell>
          <cell r="U535">
            <v>447945.27138535964</v>
          </cell>
        </row>
        <row r="536">
          <cell r="C536" t="str">
            <v>Kecepatanrata-rata bermuatan</v>
          </cell>
          <cell r="G536" t="str">
            <v>v1</v>
          </cell>
          <cell r="H536">
            <v>40</v>
          </cell>
          <cell r="L536" t="str">
            <v>Note: 1</v>
          </cell>
          <cell r="N536" t="str">
            <v>SATUAN dapat berdasarkan atas jam operasi untuk Tenaga Kerja dan Peralatan, volume dan/atau ukuran</v>
          </cell>
        </row>
        <row r="537">
          <cell r="C537" t="str">
            <v>Kecepatan rata-rata kosong</v>
          </cell>
          <cell r="G537" t="str">
            <v>v2</v>
          </cell>
          <cell r="H537">
            <v>50</v>
          </cell>
          <cell r="N537" t="str">
            <v>berat untuk bahan-bahan.</v>
          </cell>
        </row>
        <row r="538">
          <cell r="C538" t="str">
            <v>Waktu siklus    :</v>
          </cell>
          <cell r="G538" t="str">
            <v>Ts</v>
          </cell>
          <cell r="L538">
            <v>2</v>
          </cell>
          <cell r="N538" t="str">
            <v>Kuantitas satuan adalah kuantitas setiap komponen untuk menyelesaikan satu satuan pekerjaan dari nomor</v>
          </cell>
        </row>
        <row r="539">
          <cell r="C539" t="str">
            <v>- Waktu  tempuh in  si    = (L : v1 ) x 60</v>
          </cell>
          <cell r="G539" t="str">
            <v>T1</v>
          </cell>
          <cell r="H539">
            <v>13.087499999999999</v>
          </cell>
          <cell r="I539" t="str">
            <v>menit</v>
          </cell>
          <cell r="N539" t="str">
            <v>mata pembayaran.</v>
          </cell>
        </row>
        <row r="540">
          <cell r="C540" t="str">
            <v>-  Waktutempuh kosong  = (L : v2)  x  60</v>
          </cell>
          <cell r="G540" t="str">
            <v>T2</v>
          </cell>
          <cell r="H540">
            <v>10.469999999999999</v>
          </cell>
          <cell r="I540" t="str">
            <v>menit</v>
          </cell>
          <cell r="L540">
            <v>3</v>
          </cell>
          <cell r="N540" t="str">
            <v>Biaya satuan untuk peralatan sudah termasuk bahan bakar, bahan habis dipakai dan operator.</v>
          </cell>
        </row>
        <row r="541">
          <cell r="C541" t="str">
            <v>- Muat, bongkar dan lain-lain</v>
          </cell>
          <cell r="G541" t="str">
            <v>T3</v>
          </cell>
          <cell r="H541">
            <v>50</v>
          </cell>
          <cell r="I541" t="str">
            <v>menit</v>
          </cell>
          <cell r="L541">
            <v>4</v>
          </cell>
          <cell r="N541" t="str">
            <v>Biaya satuan sudah termasuk pengeluaran untuk seluruh pajak yang berkaitan (tetapi tidak termasuk PPN</v>
          </cell>
        </row>
        <row r="542">
          <cell r="G542" t="str">
            <v>Ts</v>
          </cell>
          <cell r="H542">
            <v>73.557500000000005</v>
          </cell>
          <cell r="I542" t="str">
            <v>menit</v>
          </cell>
          <cell r="N542" t="str">
            <v>yang dibayar dari kontrak) dan biaya-biaya lainnya.</v>
          </cell>
        </row>
        <row r="543">
          <cell r="J543" t="str">
            <v>Berlanjut ke halaman berikut</v>
          </cell>
        </row>
        <row r="544">
          <cell r="A544" t="str">
            <v>ITEM PEMBAYARAN NO.</v>
          </cell>
          <cell r="D544" t="str">
            <v>:  2.3 (3)</v>
          </cell>
          <cell r="J544" t="str">
            <v xml:space="preserve">Analisa EI-233 </v>
          </cell>
        </row>
        <row r="545">
          <cell r="A545" t="str">
            <v>JENIS PEKERJAAN</v>
          </cell>
          <cell r="D545" t="str">
            <v>:  Gorong2 Pipa Beton Bertulang 500 mm &lt; diameter dalam &lt; 1 m</v>
          </cell>
        </row>
        <row r="546">
          <cell r="A546" t="str">
            <v>SATUAN PEMBAYARAN</v>
          </cell>
          <cell r="D546" t="str">
            <v>:  M1</v>
          </cell>
          <cell r="J546" t="str">
            <v xml:space="preserve">         URAIAN ANALISA HARGA SATUAN</v>
          </cell>
        </row>
        <row r="547">
          <cell r="J547" t="str">
            <v>Lanjutan</v>
          </cell>
        </row>
        <row r="549">
          <cell r="A549" t="str">
            <v>No.</v>
          </cell>
          <cell r="C549" t="str">
            <v>U R A I A N</v>
          </cell>
          <cell r="G549" t="str">
            <v>KODE</v>
          </cell>
          <cell r="H549" t="str">
            <v>KOEF.</v>
          </cell>
          <cell r="I549" t="str">
            <v>SATUAN</v>
          </cell>
          <cell r="J549" t="str">
            <v>KETERANGAN</v>
          </cell>
        </row>
        <row r="552">
          <cell r="C552" t="str">
            <v>Kapasitas Produksi / Jam   =</v>
          </cell>
          <cell r="E552" t="str">
            <v>V x Fa x 60</v>
          </cell>
          <cell r="G552" t="str">
            <v>Q2</v>
          </cell>
          <cell r="H552">
            <v>2.7080855113346698</v>
          </cell>
          <cell r="I552" t="str">
            <v xml:space="preserve">M' / Jam </v>
          </cell>
        </row>
        <row r="553">
          <cell r="E553" t="str">
            <v xml:space="preserve">    Ts</v>
          </cell>
        </row>
        <row r="555">
          <cell r="C555" t="str">
            <v>Koefisien Alat / m'</v>
          </cell>
          <cell r="D555" t="str">
            <v xml:space="preserve"> =  1  :  Q2</v>
          </cell>
          <cell r="G555" t="str">
            <v>(E08)</v>
          </cell>
          <cell r="H555">
            <v>0.36926455823293175</v>
          </cell>
          <cell r="I555" t="str">
            <v>jam</v>
          </cell>
        </row>
        <row r="558">
          <cell r="A558" t="str">
            <v>2.c.</v>
          </cell>
          <cell r="C558" t="str">
            <v>ALAT  BANTU</v>
          </cell>
        </row>
        <row r="559">
          <cell r="C559" t="str">
            <v>Diperlukan alat-alat bantu kecil</v>
          </cell>
          <cell r="J559" t="str">
            <v>Lump Sump</v>
          </cell>
        </row>
        <row r="560">
          <cell r="C560" t="str">
            <v>- Sekop    =         3   buah</v>
          </cell>
        </row>
        <row r="561">
          <cell r="C561" t="str">
            <v>- Pacul     =         3   buah</v>
          </cell>
        </row>
        <row r="562">
          <cell r="C562" t="str">
            <v>- Alat-alat kecil lain</v>
          </cell>
        </row>
        <row r="564">
          <cell r="A564" t="str">
            <v xml:space="preserve">   3.</v>
          </cell>
          <cell r="C564" t="str">
            <v>TENAGA</v>
          </cell>
        </row>
        <row r="565">
          <cell r="C565" t="str">
            <v>Produksi Gorong-gorong / hari</v>
          </cell>
          <cell r="G565" t="str">
            <v>Qt</v>
          </cell>
          <cell r="H565">
            <v>6</v>
          </cell>
          <cell r="I565" t="str">
            <v>M'</v>
          </cell>
        </row>
        <row r="566">
          <cell r="C566" t="str">
            <v>Kebutuhan tenaga :</v>
          </cell>
        </row>
        <row r="567">
          <cell r="D567" t="str">
            <v>- Pekerja</v>
          </cell>
          <cell r="G567" t="str">
            <v>P</v>
          </cell>
          <cell r="H567">
            <v>8</v>
          </cell>
          <cell r="I567" t="str">
            <v>orang</v>
          </cell>
        </row>
        <row r="568">
          <cell r="D568" t="str">
            <v>- Tukang</v>
          </cell>
          <cell r="G568" t="str">
            <v>T</v>
          </cell>
          <cell r="H568">
            <v>1</v>
          </cell>
          <cell r="I568" t="str">
            <v>orang</v>
          </cell>
        </row>
        <row r="569">
          <cell r="D569" t="str">
            <v>- Mandor</v>
          </cell>
          <cell r="G569" t="str">
            <v>M</v>
          </cell>
          <cell r="H569">
            <v>1</v>
          </cell>
          <cell r="I569" t="str">
            <v>orang</v>
          </cell>
        </row>
        <row r="571">
          <cell r="C571" t="str">
            <v>Koefisien tenaga / M'   :</v>
          </cell>
        </row>
        <row r="572">
          <cell r="D572" t="str">
            <v>- Pekerja</v>
          </cell>
          <cell r="E572" t="str">
            <v>= (Tk x P) : Qt</v>
          </cell>
          <cell r="G572" t="str">
            <v>(L01)</v>
          </cell>
          <cell r="H572">
            <v>9.3333333333333339</v>
          </cell>
          <cell r="I572" t="str">
            <v>jam</v>
          </cell>
        </row>
        <row r="573">
          <cell r="D573" t="str">
            <v>- Tukang</v>
          </cell>
          <cell r="E573" t="str">
            <v>= (Tk x T) : Qt</v>
          </cell>
          <cell r="G573" t="str">
            <v>(L02)</v>
          </cell>
          <cell r="H573">
            <v>1.1666666666666667</v>
          </cell>
          <cell r="I573" t="str">
            <v>jam</v>
          </cell>
        </row>
        <row r="574">
          <cell r="D574" t="str">
            <v>- Mandor</v>
          </cell>
          <cell r="E574" t="str">
            <v>= (Tk x M) : Qt</v>
          </cell>
          <cell r="G574" t="str">
            <v>(L03)</v>
          </cell>
          <cell r="H574">
            <v>1.1666666666666667</v>
          </cell>
          <cell r="I574" t="str">
            <v>jam</v>
          </cell>
        </row>
        <row r="576">
          <cell r="A576" t="str">
            <v>4.</v>
          </cell>
          <cell r="C576" t="str">
            <v>HARGA DASAR SATUAN UPAH, BAHAN DAN ALAT</v>
          </cell>
        </row>
        <row r="577">
          <cell r="C577" t="str">
            <v>Lihat lampiran.</v>
          </cell>
        </row>
        <row r="580">
          <cell r="A580" t="str">
            <v>5.</v>
          </cell>
          <cell r="C580" t="str">
            <v>ANALISA HARGA SATUAN PEKERJAAN</v>
          </cell>
        </row>
        <row r="581">
          <cell r="C581" t="str">
            <v>Lihat perhitungan dalam FORMULIR STANDAR UNTUK</v>
          </cell>
        </row>
        <row r="582">
          <cell r="C582" t="str">
            <v>PEREKEMAN ANALISA MASING-MASING HARGA</v>
          </cell>
        </row>
        <row r="583">
          <cell r="C583" t="str">
            <v>SATUAN.</v>
          </cell>
        </row>
        <row r="584">
          <cell r="C584" t="str">
            <v>Didapat Harga Satuan Pekerjaan :</v>
          </cell>
        </row>
        <row r="586">
          <cell r="C586" t="str">
            <v xml:space="preserve">Rp.  </v>
          </cell>
          <cell r="D586">
            <v>447945.27138535964</v>
          </cell>
          <cell r="E586" t="str">
            <v xml:space="preserve"> / M'</v>
          </cell>
        </row>
        <row r="589">
          <cell r="A589" t="str">
            <v>6.</v>
          </cell>
          <cell r="C589" t="str">
            <v>WAKTU PELAKSANAAN YANG DIPERLUKAN</v>
          </cell>
        </row>
        <row r="590">
          <cell r="C590" t="str">
            <v>Masa Pelaksanaan :</v>
          </cell>
          <cell r="D590" t="str">
            <v>. . . . . . . . . . . .</v>
          </cell>
          <cell r="E590" t="str">
            <v>bulan</v>
          </cell>
        </row>
        <row r="592">
          <cell r="A592" t="str">
            <v>7.</v>
          </cell>
          <cell r="C592" t="str">
            <v>VOLUME PEKERJAAN YANG DIPERLUKAN</v>
          </cell>
        </row>
        <row r="593">
          <cell r="C593" t="str">
            <v>Volume pekerjaan  :</v>
          </cell>
          <cell r="D593">
            <v>1</v>
          </cell>
          <cell r="E593" t="str">
            <v>M'</v>
          </cell>
        </row>
        <row r="603">
          <cell r="A603" t="str">
            <v>ITEM PEMBAYARAN NO.</v>
          </cell>
          <cell r="D603" t="str">
            <v>:  2.3 (4)</v>
          </cell>
          <cell r="J603" t="str">
            <v>Analisa EI-234</v>
          </cell>
        </row>
        <row r="604">
          <cell r="A604" t="str">
            <v>JENIS PEKERJAAN</v>
          </cell>
          <cell r="D604" t="str">
            <v>:  Gorong2 Pipa Beton Bertulang, 1 m &lt; diameter dalam &lt; 1.3 m</v>
          </cell>
          <cell r="L604" t="str">
            <v>FORMULIR STANDAR UNTUK</v>
          </cell>
        </row>
        <row r="605">
          <cell r="A605" t="str">
            <v>SATUAN PEMBAYARAN</v>
          </cell>
          <cell r="D605" t="str">
            <v>:  M1</v>
          </cell>
          <cell r="J605" t="str">
            <v xml:space="preserve">         URAIAN ANALISA HARGA SATUAN</v>
          </cell>
          <cell r="L605" t="str">
            <v>PEREKAMAN ANALISA MASING-MASING HARGA SATUAN</v>
          </cell>
        </row>
        <row r="606">
          <cell r="L606" t="str">
            <v/>
          </cell>
        </row>
        <row r="608">
          <cell r="A608" t="str">
            <v>No.</v>
          </cell>
          <cell r="C608" t="str">
            <v>U R A I A N</v>
          </cell>
          <cell r="G608" t="str">
            <v>KODE</v>
          </cell>
          <cell r="H608" t="str">
            <v>KOEF.</v>
          </cell>
          <cell r="I608" t="str">
            <v>SATUAN</v>
          </cell>
          <cell r="J608" t="str">
            <v>KETERANGAN</v>
          </cell>
        </row>
        <row r="609">
          <cell r="L609" t="str">
            <v>PROYEK</v>
          </cell>
          <cell r="O609" t="str">
            <v>:</v>
          </cell>
        </row>
        <row r="610">
          <cell r="L610" t="str">
            <v>No. PAKET KONTRAK</v>
          </cell>
          <cell r="O610" t="str">
            <v>:</v>
          </cell>
        </row>
        <row r="611">
          <cell r="A611" t="str">
            <v>I.</v>
          </cell>
          <cell r="C611" t="str">
            <v>ASUMSI</v>
          </cell>
          <cell r="L611" t="str">
            <v>NAMA PAKET</v>
          </cell>
          <cell r="O611" t="str">
            <v>:</v>
          </cell>
        </row>
        <row r="612">
          <cell r="A612">
            <v>1</v>
          </cell>
          <cell r="C612" t="str">
            <v>Pekerjaan dilakukan secara mekanik/manual</v>
          </cell>
          <cell r="L612" t="str">
            <v>PROP / KAB / KODYA</v>
          </cell>
          <cell r="O612" t="str">
            <v>:</v>
          </cell>
        </row>
        <row r="613">
          <cell r="A613">
            <v>2</v>
          </cell>
          <cell r="C613" t="str">
            <v>Lokasi pekerjaan : sepanjang jalan</v>
          </cell>
          <cell r="L613" t="str">
            <v>ITEM PEMBAYARAN NO.</v>
          </cell>
          <cell r="O613" t="str">
            <v>:  2.3 (4)</v>
          </cell>
          <cell r="R613" t="str">
            <v>PERKIRAAN VOL. PEK.</v>
          </cell>
          <cell r="T613" t="str">
            <v>:</v>
          </cell>
          <cell r="U613">
            <v>1</v>
          </cell>
        </row>
        <row r="614">
          <cell r="A614">
            <v>3</v>
          </cell>
          <cell r="C614" t="str">
            <v>Diameter bagian dalam gorong-gorong</v>
          </cell>
          <cell r="G614" t="str">
            <v>d</v>
          </cell>
          <cell r="H614">
            <v>1.2</v>
          </cell>
          <cell r="I614" t="str">
            <v>m</v>
          </cell>
          <cell r="L614" t="str">
            <v>JENIS PEKERJAAN</v>
          </cell>
          <cell r="O614" t="str">
            <v>:  Gorong2 Pipa Beton Bertulang, 1 m &lt; diameter dalam &lt; 1.3 m</v>
          </cell>
          <cell r="R614" t="str">
            <v>TOTAL HARGA (Rp.)</v>
          </cell>
          <cell r="T614" t="str">
            <v>:</v>
          </cell>
          <cell r="U614">
            <v>447945.27138535964</v>
          </cell>
        </row>
        <row r="615">
          <cell r="A615">
            <v>4</v>
          </cell>
          <cell r="C615" t="str">
            <v>Jarak rata-rata Base Camp ke lokasi pekerjaan</v>
          </cell>
          <cell r="G615" t="str">
            <v>L</v>
          </cell>
          <cell r="H615">
            <v>8.7249999999999996</v>
          </cell>
          <cell r="I615" t="str">
            <v>Km</v>
          </cell>
          <cell r="L615" t="str">
            <v>SATUAN PEMBAYARAN</v>
          </cell>
          <cell r="O615" t="str">
            <v>:  M1</v>
          </cell>
          <cell r="Q615">
            <v>0</v>
          </cell>
          <cell r="R615" t="str">
            <v>% THD. BIAYA PROYEK</v>
          </cell>
          <cell r="T615" t="str">
            <v>:</v>
          </cell>
          <cell r="U615" t="e">
            <v>#DIV/0!</v>
          </cell>
        </row>
        <row r="616">
          <cell r="A616">
            <v>5</v>
          </cell>
          <cell r="C616" t="str">
            <v>Jam kerja efektif per-hari</v>
          </cell>
          <cell r="G616" t="str">
            <v>Tk</v>
          </cell>
          <cell r="H616">
            <v>7</v>
          </cell>
          <cell r="I616" t="str">
            <v>Jam</v>
          </cell>
        </row>
        <row r="617">
          <cell r="A617">
            <v>6</v>
          </cell>
          <cell r="C617" t="str">
            <v>Tebal gorong-gorong</v>
          </cell>
          <cell r="G617" t="str">
            <v>tg</v>
          </cell>
          <cell r="H617">
            <v>10</v>
          </cell>
          <cell r="I617" t="str">
            <v>Cm</v>
          </cell>
        </row>
        <row r="618">
          <cell r="Q618" t="str">
            <v>PERKIRAAN</v>
          </cell>
          <cell r="R618" t="str">
            <v>HARGA</v>
          </cell>
          <cell r="S618" t="str">
            <v>JUMLAH</v>
          </cell>
        </row>
        <row r="619">
          <cell r="A619" t="str">
            <v>II.</v>
          </cell>
          <cell r="C619" t="str">
            <v>URUTAN KERJA</v>
          </cell>
          <cell r="L619" t="str">
            <v>NO.</v>
          </cell>
          <cell r="N619" t="str">
            <v>KOMPONEN</v>
          </cell>
          <cell r="P619" t="str">
            <v>SATUAN</v>
          </cell>
          <cell r="Q619" t="str">
            <v>KUANTITAS</v>
          </cell>
          <cell r="R619" t="str">
            <v>SATUAN</v>
          </cell>
          <cell r="S619" t="str">
            <v>HARGA</v>
          </cell>
        </row>
        <row r="620">
          <cell r="A620">
            <v>1</v>
          </cell>
          <cell r="C620" t="str">
            <v>Gorong-gorong dicetak di Base Camp</v>
          </cell>
          <cell r="R620" t="str">
            <v>(Rp.)</v>
          </cell>
          <cell r="S620" t="str">
            <v>(Rp.)</v>
          </cell>
        </row>
        <row r="621">
          <cell r="A621">
            <v>2</v>
          </cell>
          <cell r="C621" t="str">
            <v>Dump Truck mengangkut gorong-gorong jadi</v>
          </cell>
        </row>
        <row r="622">
          <cell r="C622" t="str">
            <v>ke lapangan</v>
          </cell>
        </row>
        <row r="623">
          <cell r="A623">
            <v>3</v>
          </cell>
          <cell r="C623" t="str">
            <v>Dasar gorong-gorong digali sesuai kebutuhan dan ma-</v>
          </cell>
          <cell r="L623" t="str">
            <v>A.</v>
          </cell>
          <cell r="N623" t="str">
            <v>TENAGA</v>
          </cell>
        </row>
        <row r="624">
          <cell r="C624" t="str">
            <v>terial backfill dipadatkan dengan Tamper</v>
          </cell>
        </row>
        <row r="625">
          <cell r="A625">
            <v>4</v>
          </cell>
          <cell r="C625" t="str">
            <v>Tebal lapis porus pada dasar gorong-gorong pipa</v>
          </cell>
          <cell r="G625" t="str">
            <v>tp</v>
          </cell>
          <cell r="H625">
            <v>0.18</v>
          </cell>
          <cell r="I625" t="str">
            <v>M</v>
          </cell>
          <cell r="J625" t="str">
            <v xml:space="preserve"> Sand bedding</v>
          </cell>
          <cell r="L625" t="str">
            <v>1.</v>
          </cell>
          <cell r="N625" t="str">
            <v>Pekerja</v>
          </cell>
          <cell r="O625" t="str">
            <v>(L01)</v>
          </cell>
          <cell r="P625" t="str">
            <v>Jam</v>
          </cell>
          <cell r="Q625">
            <v>9.3333333333333339</v>
          </cell>
          <cell r="R625">
            <v>2857.14</v>
          </cell>
          <cell r="U625">
            <v>26666.639999999999</v>
          </cell>
        </row>
        <row r="626">
          <cell r="A626">
            <v>5</v>
          </cell>
          <cell r="C626" t="str">
            <v>Material pilihan untuk penimbunan kembali (padat)</v>
          </cell>
          <cell r="L626" t="str">
            <v>2.</v>
          </cell>
          <cell r="N626" t="str">
            <v>Tukang</v>
          </cell>
          <cell r="O626" t="str">
            <v>(L02)</v>
          </cell>
          <cell r="P626" t="str">
            <v>Jam</v>
          </cell>
          <cell r="Q626">
            <v>1.1666666666666667</v>
          </cell>
          <cell r="R626">
            <v>4285.71</v>
          </cell>
          <cell r="U626">
            <v>4999.9950000000008</v>
          </cell>
        </row>
        <row r="627">
          <cell r="A627">
            <v>6</v>
          </cell>
          <cell r="C627" t="str">
            <v>Sekelompok pekerja akan melaksanakan pekerjaan</v>
          </cell>
          <cell r="L627" t="str">
            <v>3.</v>
          </cell>
          <cell r="N627" t="str">
            <v>Mandor</v>
          </cell>
          <cell r="O627" t="str">
            <v>(L03)</v>
          </cell>
          <cell r="P627" t="str">
            <v>Jam</v>
          </cell>
          <cell r="Q627">
            <v>1.1666666666666667</v>
          </cell>
          <cell r="R627">
            <v>3214.29</v>
          </cell>
          <cell r="U627">
            <v>3750.0050000000001</v>
          </cell>
        </row>
        <row r="628">
          <cell r="C628" t="str">
            <v>dengan cara manual dengan menggunakan alat bantu</v>
          </cell>
        </row>
        <row r="629">
          <cell r="Q629" t="str">
            <v xml:space="preserve">JUMLAH HARGA TENAGA   </v>
          </cell>
          <cell r="U629">
            <v>35416.639999999999</v>
          </cell>
        </row>
        <row r="631">
          <cell r="A631" t="str">
            <v>III.</v>
          </cell>
          <cell r="C631" t="str">
            <v>PEMAKAIAN BAHAN, ALAT DAN TENAGA</v>
          </cell>
          <cell r="L631" t="str">
            <v>B.</v>
          </cell>
          <cell r="N631" t="str">
            <v>BAHAN</v>
          </cell>
        </row>
        <row r="632">
          <cell r="A632" t="str">
            <v xml:space="preserve">   1.</v>
          </cell>
          <cell r="C632" t="str">
            <v>BAHAN</v>
          </cell>
        </row>
        <row r="633">
          <cell r="C633" t="str">
            <v>Untuk mendapatkan 1 M' gorong-gorong diperlukan</v>
          </cell>
          <cell r="L633" t="str">
            <v>1.</v>
          </cell>
          <cell r="N633" t="str">
            <v>Beton K-300</v>
          </cell>
          <cell r="O633" t="str">
            <v>(EI-714)</v>
          </cell>
          <cell r="P633" t="str">
            <v>M3</v>
          </cell>
          <cell r="Q633">
            <v>0.40840704496667279</v>
          </cell>
          <cell r="R633">
            <v>652902.54982502444</v>
          </cell>
          <cell r="U633">
            <v>266650.00102524407</v>
          </cell>
        </row>
        <row r="634">
          <cell r="C634" t="str">
            <v>- Beton K-300 = (22/7*((2*tg/100+d)/2)^2)-(22/7*(d/2)^2))*1</v>
          </cell>
          <cell r="G634" t="str">
            <v>(EI-714)</v>
          </cell>
          <cell r="H634">
            <v>0.40840704496667279</v>
          </cell>
          <cell r="I634" t="str">
            <v>M3</v>
          </cell>
          <cell r="L634" t="str">
            <v>2.</v>
          </cell>
          <cell r="N634" t="str">
            <v>Baja Tulangan</v>
          </cell>
          <cell r="O634" t="str">
            <v>(M39)</v>
          </cell>
          <cell r="P634" t="str">
            <v>Kg</v>
          </cell>
          <cell r="Q634">
            <v>44.924774946334011</v>
          </cell>
          <cell r="R634">
            <v>4000</v>
          </cell>
          <cell r="U634">
            <v>179699.09978533603</v>
          </cell>
        </row>
        <row r="635">
          <cell r="C635" t="str">
            <v>- Baja Tulangan (asumsi 100kg/m3)</v>
          </cell>
          <cell r="G635" t="str">
            <v>(M39)</v>
          </cell>
          <cell r="H635">
            <v>44.924774946334011</v>
          </cell>
          <cell r="I635" t="str">
            <v>Kg</v>
          </cell>
          <cell r="L635" t="str">
            <v>3.</v>
          </cell>
          <cell r="N635" t="str">
            <v>Urugan Porus</v>
          </cell>
          <cell r="O635" t="str">
            <v>(EI-241)</v>
          </cell>
          <cell r="P635" t="str">
            <v>M3</v>
          </cell>
          <cell r="Q635">
            <v>0.41580000000000006</v>
          </cell>
          <cell r="R635">
            <v>186901.40625406182</v>
          </cell>
          <cell r="U635">
            <v>77713.604720438918</v>
          </cell>
        </row>
        <row r="636">
          <cell r="C636" t="str">
            <v>- Timbunan Porus      = {(tp*(0.4+2*tg/100+d+0.4)*1)*1.05}</v>
          </cell>
          <cell r="G636" t="str">
            <v>(EI-241)</v>
          </cell>
          <cell r="H636">
            <v>0.41580000000000006</v>
          </cell>
          <cell r="I636" t="str">
            <v>M3</v>
          </cell>
          <cell r="L636" t="str">
            <v>4.</v>
          </cell>
          <cell r="N636" t="str">
            <v>Mat. Pilihan</v>
          </cell>
          <cell r="O636" t="str">
            <v>(M09)</v>
          </cell>
          <cell r="P636" t="str">
            <v>M3</v>
          </cell>
          <cell r="Q636">
            <v>2.3100000000000005</v>
          </cell>
          <cell r="R636">
            <v>25000</v>
          </cell>
          <cell r="U636">
            <v>57750.000000000015</v>
          </cell>
        </row>
        <row r="637">
          <cell r="C637" t="str">
            <v>- Material Pilihan</v>
          </cell>
          <cell r="D637" t="str">
            <v>= ((2*tg/100+d+0.3)*(0.4+2*tg/100+d+0.4)</v>
          </cell>
          <cell r="G637" t="str">
            <v>(M09)</v>
          </cell>
          <cell r="H637">
            <v>2.3100000000000005</v>
          </cell>
          <cell r="I637" t="str">
            <v>M3</v>
          </cell>
          <cell r="J637" t="str">
            <v xml:space="preserve"> = Vp</v>
          </cell>
        </row>
        <row r="638">
          <cell r="D638" t="str">
            <v xml:space="preserve">   -(22/7*(0.5*(2*tg/100+d))^2))*1*1.05</v>
          </cell>
        </row>
        <row r="639">
          <cell r="A639" t="str">
            <v xml:space="preserve">   2.</v>
          </cell>
          <cell r="C639" t="str">
            <v>ALAT</v>
          </cell>
          <cell r="Q639" t="str">
            <v xml:space="preserve">JUMLAH HARGA BAHAN   </v>
          </cell>
          <cell r="U639">
            <v>581812.70553101902</v>
          </cell>
        </row>
        <row r="640">
          <cell r="A640" t="str">
            <v>2.a.</v>
          </cell>
          <cell r="C640" t="str">
            <v>TAMPER</v>
          </cell>
          <cell r="G640" t="str">
            <v>(E25)</v>
          </cell>
        </row>
        <row r="641">
          <cell r="C641" t="str">
            <v>Kecepatan</v>
          </cell>
          <cell r="G641" t="str">
            <v>V</v>
          </cell>
          <cell r="H641">
            <v>0.5</v>
          </cell>
          <cell r="I641" t="str">
            <v>Km / Jam</v>
          </cell>
          <cell r="L641" t="str">
            <v>C.</v>
          </cell>
          <cell r="N641" t="str">
            <v>PERALATAN</v>
          </cell>
        </row>
        <row r="642">
          <cell r="C642" t="str">
            <v>Efisiensi alat</v>
          </cell>
          <cell r="G642" t="str">
            <v>Fa</v>
          </cell>
          <cell r="H642">
            <v>0.83</v>
          </cell>
          <cell r="I642" t="str">
            <v>-</v>
          </cell>
        </row>
        <row r="643">
          <cell r="C643" t="str">
            <v>Lebar pemadatan</v>
          </cell>
          <cell r="G643" t="str">
            <v>Lb</v>
          </cell>
          <cell r="H643">
            <v>0.4</v>
          </cell>
          <cell r="I643" t="str">
            <v>M</v>
          </cell>
          <cell r="L643" t="str">
            <v>1.</v>
          </cell>
          <cell r="N643" t="str">
            <v>Tamper</v>
          </cell>
          <cell r="O643" t="str">
            <v>(E25)</v>
          </cell>
          <cell r="P643" t="str">
            <v>Jam</v>
          </cell>
          <cell r="Q643">
            <v>0.69578313253012058</v>
          </cell>
          <cell r="R643">
            <v>18672.16854694486</v>
          </cell>
          <cell r="U643">
            <v>12991.779922723685</v>
          </cell>
        </row>
        <row r="644">
          <cell r="C644" t="str">
            <v>Banyak lintasan</v>
          </cell>
          <cell r="G644" t="str">
            <v>n</v>
          </cell>
          <cell r="H644">
            <v>10</v>
          </cell>
          <cell r="I644" t="str">
            <v>lintasan</v>
          </cell>
          <cell r="L644" t="str">
            <v>2.</v>
          </cell>
          <cell r="N644" t="str">
            <v>Dump Truck</v>
          </cell>
          <cell r="O644" t="str">
            <v>(E08)</v>
          </cell>
          <cell r="P644" t="str">
            <v>Jam</v>
          </cell>
          <cell r="Q644">
            <v>0.36926455823293175</v>
          </cell>
          <cell r="R644">
            <v>153645.58193291764</v>
          </cell>
          <cell r="U644">
            <v>56735.867936900555</v>
          </cell>
        </row>
        <row r="645">
          <cell r="C645" t="str">
            <v>Tebal lapis hamparan</v>
          </cell>
          <cell r="G645" t="str">
            <v>tp</v>
          </cell>
          <cell r="H645">
            <v>0.2</v>
          </cell>
          <cell r="I645" t="str">
            <v>M</v>
          </cell>
          <cell r="L645" t="str">
            <v>3.</v>
          </cell>
          <cell r="N645" t="str">
            <v>Alat  Bantu</v>
          </cell>
          <cell r="P645" t="str">
            <v>Ls</v>
          </cell>
          <cell r="Q645">
            <v>1</v>
          </cell>
          <cell r="R645">
            <v>1000</v>
          </cell>
          <cell r="U645">
            <v>1000</v>
          </cell>
        </row>
        <row r="648">
          <cell r="C648" t="str">
            <v>Kap. Prod. / Jam   =</v>
          </cell>
          <cell r="D648" t="str">
            <v>v x 1000 x Fa x Lb x 60</v>
          </cell>
          <cell r="G648" t="str">
            <v>Q1</v>
          </cell>
          <cell r="H648">
            <v>3.3200000000000003</v>
          </cell>
          <cell r="I648" t="str">
            <v xml:space="preserve">M3 / Jam </v>
          </cell>
        </row>
        <row r="649">
          <cell r="D649" t="str">
            <v xml:space="preserve">    n x tp</v>
          </cell>
        </row>
        <row r="651">
          <cell r="C651" t="str">
            <v>Koefisien Alat / m'</v>
          </cell>
          <cell r="D651" t="str">
            <v xml:space="preserve"> =  1  :  Q1 x Vp</v>
          </cell>
          <cell r="G651" t="str">
            <v>(E25)</v>
          </cell>
          <cell r="H651">
            <v>0.69578313253012058</v>
          </cell>
          <cell r="I651" t="str">
            <v>jam</v>
          </cell>
          <cell r="Q651" t="str">
            <v xml:space="preserve">JUMLAH HARGA PERALATAN   </v>
          </cell>
          <cell r="U651">
            <v>70727.647859624238</v>
          </cell>
        </row>
        <row r="653">
          <cell r="A653" t="str">
            <v>2.b.</v>
          </cell>
          <cell r="C653" t="str">
            <v>DUMP TRUCK</v>
          </cell>
          <cell r="G653" t="str">
            <v>(E08)</v>
          </cell>
          <cell r="L653" t="str">
            <v>D.</v>
          </cell>
          <cell r="N653" t="str">
            <v>JUMLAH HARGA TENAGA, BAHAN DAN PERALATAN  ( A + B + C )</v>
          </cell>
          <cell r="U653">
            <v>687956.99339064327</v>
          </cell>
        </row>
        <row r="654">
          <cell r="C654" t="str">
            <v>Kapasitas bak sekali muat</v>
          </cell>
          <cell r="G654" t="str">
            <v>V</v>
          </cell>
          <cell r="H654">
            <v>4</v>
          </cell>
          <cell r="I654" t="str">
            <v>Buah/M'</v>
          </cell>
          <cell r="L654" t="str">
            <v>E.</v>
          </cell>
          <cell r="N654" t="str">
            <v>OVERHEAD &amp; PROFIT</v>
          </cell>
          <cell r="P654">
            <v>10</v>
          </cell>
          <cell r="Q654" t="str">
            <v>%  x  D</v>
          </cell>
          <cell r="U654">
            <v>68795.699339064333</v>
          </cell>
        </row>
        <row r="655">
          <cell r="C655" t="str">
            <v>Faktor efisiensi alat</v>
          </cell>
          <cell r="G655" t="str">
            <v>Fa</v>
          </cell>
          <cell r="H655">
            <v>0.83</v>
          </cell>
          <cell r="L655" t="str">
            <v>F.</v>
          </cell>
          <cell r="N655" t="str">
            <v>HARGA SATUAN PEKERJAAN  ( D + E )</v>
          </cell>
          <cell r="U655">
            <v>756752.69272970757</v>
          </cell>
        </row>
        <row r="656">
          <cell r="C656" t="str">
            <v>Kecepatanrata-rata bermuatan</v>
          </cell>
          <cell r="G656" t="str">
            <v>v1</v>
          </cell>
          <cell r="H656">
            <v>40</v>
          </cell>
          <cell r="L656" t="str">
            <v>Note: 1</v>
          </cell>
          <cell r="N656" t="str">
            <v>SATUAN dapat berdasarkan atas jam operasi untuk Tenaga Kerja dan Peralatan, volume dan/atau ukuran</v>
          </cell>
        </row>
        <row r="657">
          <cell r="C657" t="str">
            <v>Kecepatan rata-rata kosong</v>
          </cell>
          <cell r="G657" t="str">
            <v>v2</v>
          </cell>
          <cell r="H657">
            <v>50</v>
          </cell>
          <cell r="N657" t="str">
            <v>berat untuk bahan-bahan.</v>
          </cell>
        </row>
        <row r="658">
          <cell r="C658" t="str">
            <v>Waktu siklus    :</v>
          </cell>
          <cell r="G658" t="str">
            <v>Ts</v>
          </cell>
          <cell r="L658">
            <v>2</v>
          </cell>
          <cell r="N658" t="str">
            <v>Kuantitas satuan adalah kuantitas setiap komponen untuk menyelesaikan satu satuan pekerjaan dari nomor</v>
          </cell>
        </row>
        <row r="659">
          <cell r="C659" t="str">
            <v>- Waktu  tempuh in  si    = (L : v1 ) x 60</v>
          </cell>
          <cell r="G659" t="str">
            <v>T1</v>
          </cell>
          <cell r="H659">
            <v>13.087499999999999</v>
          </cell>
          <cell r="I659" t="str">
            <v>menit</v>
          </cell>
          <cell r="N659" t="str">
            <v>mata pembayaran.</v>
          </cell>
        </row>
        <row r="660">
          <cell r="C660" t="str">
            <v>-  Waktutempuh kosong  = (L : v2)  x  60</v>
          </cell>
          <cell r="G660" t="str">
            <v>T2</v>
          </cell>
          <cell r="H660">
            <v>10.469999999999999</v>
          </cell>
          <cell r="I660" t="str">
            <v>menit</v>
          </cell>
          <cell r="L660">
            <v>3</v>
          </cell>
          <cell r="N660" t="str">
            <v>Biaya satuan untuk peralatan sudah termasuk bahan bakar, bahan habis dipakai dan operator.</v>
          </cell>
        </row>
        <row r="661">
          <cell r="C661" t="str">
            <v>- Muat, bongkar dan lain-lain</v>
          </cell>
          <cell r="G661" t="str">
            <v>T3</v>
          </cell>
          <cell r="H661">
            <v>50</v>
          </cell>
          <cell r="I661" t="str">
            <v>menit</v>
          </cell>
          <cell r="L661">
            <v>4</v>
          </cell>
          <cell r="N661" t="str">
            <v>Biaya satuan sudah termasuk pengeluaran untuk seluruh pajak yang berkaitan (tetapi tidak termasuk PPN</v>
          </cell>
        </row>
        <row r="662">
          <cell r="G662" t="str">
            <v>Ts</v>
          </cell>
          <cell r="H662">
            <v>73.557500000000005</v>
          </cell>
          <cell r="I662" t="str">
            <v>menit</v>
          </cell>
          <cell r="N662" t="str">
            <v>yang dibayar dari kontrak) dan biaya-biaya lainnya.</v>
          </cell>
        </row>
        <row r="663">
          <cell r="J663" t="str">
            <v>Berlanjut ke halaman berikut</v>
          </cell>
        </row>
        <row r="664">
          <cell r="A664" t="str">
            <v>ITEM PEMBAYARAN NO.</v>
          </cell>
          <cell r="D664" t="str">
            <v>:  2.3 (4)</v>
          </cell>
          <cell r="J664" t="str">
            <v>Analisa EI-234</v>
          </cell>
        </row>
        <row r="665">
          <cell r="A665" t="str">
            <v>JENIS PEKERJAAN</v>
          </cell>
          <cell r="D665" t="str">
            <v>:  Gorong2 Pipa Beton Bertulang, 1 m &lt; diameter dalam &lt; 1.3 m</v>
          </cell>
        </row>
        <row r="666">
          <cell r="A666" t="str">
            <v>SATUAN PEMBAYARAN</v>
          </cell>
          <cell r="D666" t="str">
            <v>:  M1</v>
          </cell>
          <cell r="J666" t="str">
            <v xml:space="preserve">         URAIAN ANALISA HARGA SATUAN</v>
          </cell>
        </row>
        <row r="667">
          <cell r="J667" t="str">
            <v>Lanjutan</v>
          </cell>
        </row>
        <row r="669">
          <cell r="A669" t="str">
            <v>No.</v>
          </cell>
          <cell r="C669" t="str">
            <v>U R A I A N</v>
          </cell>
          <cell r="G669" t="str">
            <v>KODE</v>
          </cell>
          <cell r="H669" t="str">
            <v>KOEF.</v>
          </cell>
          <cell r="I669" t="str">
            <v>SATUAN</v>
          </cell>
          <cell r="J669" t="str">
            <v>KETERANGAN</v>
          </cell>
        </row>
        <row r="672">
          <cell r="C672" t="str">
            <v>Kapasitas Produksi / Jam   =</v>
          </cell>
          <cell r="E672" t="str">
            <v>V x Fa x 60</v>
          </cell>
          <cell r="G672" t="str">
            <v>Q2</v>
          </cell>
          <cell r="H672">
            <v>2.7080855113346698</v>
          </cell>
          <cell r="I672" t="str">
            <v xml:space="preserve">M' / Jam </v>
          </cell>
        </row>
        <row r="673">
          <cell r="E673" t="str">
            <v xml:space="preserve">    Ts</v>
          </cell>
        </row>
        <row r="675">
          <cell r="C675" t="str">
            <v>Koefisien Alat / m'</v>
          </cell>
          <cell r="D675" t="str">
            <v xml:space="preserve"> =  1  :  Q2</v>
          </cell>
          <cell r="G675" t="str">
            <v>(E08)</v>
          </cell>
          <cell r="H675">
            <v>0.36926455823293175</v>
          </cell>
          <cell r="I675" t="str">
            <v>jam</v>
          </cell>
        </row>
        <row r="678">
          <cell r="A678" t="str">
            <v>2.c.</v>
          </cell>
          <cell r="C678" t="str">
            <v>ALAT  BANTU</v>
          </cell>
        </row>
        <row r="679">
          <cell r="C679" t="str">
            <v>Diperlukan alat-alat bantu kecil</v>
          </cell>
          <cell r="J679" t="str">
            <v>Lump Sump</v>
          </cell>
        </row>
        <row r="680">
          <cell r="C680" t="str">
            <v>- Sekop    =         3   buah</v>
          </cell>
        </row>
        <row r="681">
          <cell r="C681" t="str">
            <v>- Pacul     =         3   buah</v>
          </cell>
        </row>
        <row r="682">
          <cell r="C682" t="str">
            <v>- Alat-alat kecil lain</v>
          </cell>
        </row>
        <row r="684">
          <cell r="A684" t="str">
            <v xml:space="preserve">   3.</v>
          </cell>
          <cell r="C684" t="str">
            <v>TENAGA</v>
          </cell>
        </row>
        <row r="685">
          <cell r="C685" t="str">
            <v>Produksi Gorong-gorong / hari</v>
          </cell>
          <cell r="G685" t="str">
            <v>Qt</v>
          </cell>
          <cell r="H685">
            <v>6</v>
          </cell>
          <cell r="I685" t="str">
            <v>M'</v>
          </cell>
        </row>
        <row r="686">
          <cell r="C686" t="str">
            <v>Kebutuhan tenaga :</v>
          </cell>
        </row>
        <row r="687">
          <cell r="D687" t="str">
            <v>- Pekerja</v>
          </cell>
          <cell r="G687" t="str">
            <v>P</v>
          </cell>
          <cell r="H687">
            <v>8</v>
          </cell>
          <cell r="I687" t="str">
            <v>orang</v>
          </cell>
        </row>
        <row r="688">
          <cell r="D688" t="str">
            <v>- Tukang</v>
          </cell>
          <cell r="G688" t="str">
            <v>T</v>
          </cell>
          <cell r="H688">
            <v>1</v>
          </cell>
          <cell r="I688" t="str">
            <v>orang</v>
          </cell>
        </row>
        <row r="689">
          <cell r="D689" t="str">
            <v>- Mandor</v>
          </cell>
          <cell r="G689" t="str">
            <v>M</v>
          </cell>
          <cell r="H689">
            <v>1</v>
          </cell>
          <cell r="I689" t="str">
            <v>orang</v>
          </cell>
        </row>
        <row r="691">
          <cell r="C691" t="str">
            <v>Koefisien tenaga / M'   :</v>
          </cell>
        </row>
        <row r="692">
          <cell r="D692" t="str">
            <v>- Pekerja</v>
          </cell>
          <cell r="E692" t="str">
            <v>= (Tk x P) : Qt</v>
          </cell>
          <cell r="G692" t="str">
            <v>(L01)</v>
          </cell>
          <cell r="H692">
            <v>9.3333333333333339</v>
          </cell>
          <cell r="I692" t="str">
            <v>jam</v>
          </cell>
        </row>
        <row r="693">
          <cell r="D693" t="str">
            <v>- Tukang</v>
          </cell>
          <cell r="E693" t="str">
            <v>= (Tk x T) : Qt</v>
          </cell>
          <cell r="G693" t="str">
            <v>(L02)</v>
          </cell>
          <cell r="H693">
            <v>1.1666666666666667</v>
          </cell>
          <cell r="I693" t="str">
            <v>jam</v>
          </cell>
        </row>
        <row r="694">
          <cell r="D694" t="str">
            <v>- Mandor</v>
          </cell>
          <cell r="E694" t="str">
            <v>= (Tk x M) : Qt</v>
          </cell>
          <cell r="G694" t="str">
            <v>(L03)</v>
          </cell>
          <cell r="H694">
            <v>1.1666666666666667</v>
          </cell>
          <cell r="I694" t="str">
            <v>jam</v>
          </cell>
        </row>
        <row r="696">
          <cell r="A696" t="str">
            <v>4.</v>
          </cell>
          <cell r="C696" t="str">
            <v>HARGA DASAR SATUAN UPAH, BAHAN DAN ALAT</v>
          </cell>
        </row>
        <row r="697">
          <cell r="C697" t="str">
            <v>Lihat lampiran.</v>
          </cell>
        </row>
        <row r="700">
          <cell r="A700" t="str">
            <v>5.</v>
          </cell>
          <cell r="C700" t="str">
            <v>ANALISA HARGA SATUAN PEKERJAAN</v>
          </cell>
        </row>
        <row r="701">
          <cell r="C701" t="str">
            <v>Lihat perhitungan dalam FORMULIR STANDAR UNTUK</v>
          </cell>
        </row>
        <row r="702">
          <cell r="C702" t="str">
            <v>PEREKEMAN ANALISA MASING-MASING HARGA</v>
          </cell>
        </row>
        <row r="703">
          <cell r="C703" t="str">
            <v>SATUAN.</v>
          </cell>
        </row>
        <row r="704">
          <cell r="C704" t="str">
            <v>Didapat Harga Satuan Pekerjaan :</v>
          </cell>
        </row>
        <row r="706">
          <cell r="C706" t="str">
            <v xml:space="preserve">Rp.  </v>
          </cell>
          <cell r="D706">
            <v>756752.69272970757</v>
          </cell>
          <cell r="E706" t="str">
            <v xml:space="preserve"> / M'</v>
          </cell>
        </row>
        <row r="709">
          <cell r="A709" t="str">
            <v>6.</v>
          </cell>
          <cell r="C709" t="str">
            <v>WAKTU PELAKSANAAN YANG DIPERLUKAN</v>
          </cell>
        </row>
        <row r="710">
          <cell r="C710" t="str">
            <v>Masa Pelaksanaan :</v>
          </cell>
          <cell r="D710" t="str">
            <v>. . . . . . . . . . . .</v>
          </cell>
          <cell r="E710" t="str">
            <v>bulan</v>
          </cell>
        </row>
        <row r="712">
          <cell r="A712" t="str">
            <v>7.</v>
          </cell>
          <cell r="C712" t="str">
            <v>VOLUME PEKERJAAN YANG DIPERLUKAN</v>
          </cell>
        </row>
        <row r="713">
          <cell r="C713" t="str">
            <v>Volume pekerjaan  :</v>
          </cell>
          <cell r="D713">
            <v>1</v>
          </cell>
          <cell r="E713" t="str">
            <v>M'</v>
          </cell>
        </row>
        <row r="723">
          <cell r="A723" t="str">
            <v>ITEM PEMBAYARAN NO.</v>
          </cell>
          <cell r="D723" t="str">
            <v>:  2.3 (5)</v>
          </cell>
          <cell r="J723" t="str">
            <v>Analisa EI-236</v>
          </cell>
        </row>
        <row r="724">
          <cell r="A724" t="str">
            <v>JENIS PEKERJAAN</v>
          </cell>
          <cell r="D724" t="str">
            <v>: Gorong-Gorong Pipa Beton Bertulang, 1,3  m &lt; diameter dalam &lt; 1,5 m</v>
          </cell>
        </row>
        <row r="725">
          <cell r="A725" t="str">
            <v>SATUAN PEMBAYARAN</v>
          </cell>
          <cell r="D725" t="str">
            <v>: M1</v>
          </cell>
          <cell r="J725" t="str">
            <v xml:space="preserve">         URAIAN ANALISA HARGA SATUAN</v>
          </cell>
        </row>
        <row r="727">
          <cell r="A727" t="str">
            <v>ITEM PEMBAYARAN NO.</v>
          </cell>
          <cell r="D727" t="str">
            <v>:  2.3 (6)</v>
          </cell>
          <cell r="J727" t="str">
            <v>Analisa EI-236</v>
          </cell>
        </row>
        <row r="728">
          <cell r="A728" t="str">
            <v>JENIS PEKERJAAN</v>
          </cell>
          <cell r="D728" t="str">
            <v>: Gorong-Gorong Pipa Beton Bertulang, 1,5  m &lt; diameter dalam &lt;  2,3 m</v>
          </cell>
        </row>
        <row r="729">
          <cell r="A729" t="str">
            <v>SATUAN PEMBAYARAN</v>
          </cell>
          <cell r="D729" t="str">
            <v>: M1</v>
          </cell>
          <cell r="J729" t="str">
            <v xml:space="preserve">         URAIAN ANALISA HARGA SATUAN</v>
          </cell>
        </row>
        <row r="734">
          <cell r="A734" t="str">
            <v>ITEM PEMBAYARAN NO.</v>
          </cell>
          <cell r="D734" t="str">
            <v>:  2.3 (7)</v>
          </cell>
          <cell r="J734" t="str">
            <v>Analisa EI-236</v>
          </cell>
        </row>
        <row r="735">
          <cell r="A735" t="str">
            <v>JENIS PEKERJAAN</v>
          </cell>
          <cell r="D735" t="str">
            <v>:  Gorong2 Baja Bergelombang dengan dimensi … (mengacu pada SNI 03-6719-2002)</v>
          </cell>
        </row>
        <row r="736">
          <cell r="A736" t="str">
            <v>SATUAN PEMBAYARAN</v>
          </cell>
          <cell r="D736" t="str">
            <v>:  Ton</v>
          </cell>
          <cell r="J736" t="str">
            <v xml:space="preserve">         URAIAN ANALISA HARGA SATUAN</v>
          </cell>
        </row>
        <row r="739">
          <cell r="A739" t="str">
            <v>No.</v>
          </cell>
          <cell r="C739" t="str">
            <v>U R A I A N</v>
          </cell>
          <cell r="G739" t="str">
            <v>KODE</v>
          </cell>
          <cell r="H739" t="str">
            <v>KOEF.</v>
          </cell>
          <cell r="I739" t="str">
            <v>SATUAN</v>
          </cell>
          <cell r="J739" t="str">
            <v>KETERANGAN</v>
          </cell>
        </row>
        <row r="742">
          <cell r="A742" t="str">
            <v>I.</v>
          </cell>
          <cell r="C742" t="str">
            <v>ASUMSI</v>
          </cell>
        </row>
        <row r="743">
          <cell r="A743">
            <v>1</v>
          </cell>
          <cell r="C743" t="str">
            <v>Pekerjaan dilakukan secara mekanik/manual</v>
          </cell>
        </row>
        <row r="744">
          <cell r="A744">
            <v>2</v>
          </cell>
          <cell r="C744" t="str">
            <v>Lokasi pekerjaan : sepanjang jalan</v>
          </cell>
        </row>
        <row r="745">
          <cell r="A745">
            <v>3</v>
          </cell>
          <cell r="C745" t="str">
            <v>Diameter gorong-gorong baja</v>
          </cell>
          <cell r="G745" t="str">
            <v>d</v>
          </cell>
          <cell r="H745">
            <v>1</v>
          </cell>
          <cell r="I745" t="str">
            <v>m</v>
          </cell>
        </row>
        <row r="746">
          <cell r="A746">
            <v>4</v>
          </cell>
          <cell r="C746" t="str">
            <v>Jarak rata-rata Base Camp ke lokasi pekerjaan</v>
          </cell>
          <cell r="G746" t="str">
            <v>L</v>
          </cell>
          <cell r="H746">
            <v>8.7249999999999996</v>
          </cell>
          <cell r="I746" t="str">
            <v>Km</v>
          </cell>
        </row>
        <row r="747">
          <cell r="A747">
            <v>5</v>
          </cell>
          <cell r="C747" t="str">
            <v>Jam kerja efektif per-hari</v>
          </cell>
          <cell r="G747" t="str">
            <v>Tk</v>
          </cell>
          <cell r="H747">
            <v>7</v>
          </cell>
          <cell r="I747" t="str">
            <v>Jam</v>
          </cell>
        </row>
        <row r="748">
          <cell r="A748">
            <v>6</v>
          </cell>
          <cell r="C748" t="str">
            <v>Tebal gorong-gorong</v>
          </cell>
          <cell r="G748" t="str">
            <v>tg</v>
          </cell>
          <cell r="H748">
            <v>0.25</v>
          </cell>
          <cell r="I748" t="str">
            <v>Cm</v>
          </cell>
        </row>
        <row r="749">
          <cell r="A749">
            <v>7</v>
          </cell>
          <cell r="C749" t="str">
            <v>BJ Pipa Baja Bergelombang</v>
          </cell>
          <cell r="G749" t="str">
            <v>BJp</v>
          </cell>
          <cell r="H749">
            <v>7.9</v>
          </cell>
          <cell r="I749" t="str">
            <v>T/m3</v>
          </cell>
        </row>
        <row r="750">
          <cell r="G750" t="str">
            <v>BJp1</v>
          </cell>
          <cell r="H750">
            <v>0.12445321428571117</v>
          </cell>
          <cell r="I750" t="str">
            <v>T/m'</v>
          </cell>
        </row>
        <row r="751">
          <cell r="A751" t="str">
            <v>II.</v>
          </cell>
          <cell r="C751" t="str">
            <v>URUTAN KERJA</v>
          </cell>
        </row>
        <row r="753">
          <cell r="A753">
            <v>1</v>
          </cell>
          <cell r="C753" t="str">
            <v>Gorong-gorong baja diterima dari pemasok</v>
          </cell>
        </row>
        <row r="754">
          <cell r="C754" t="str">
            <v>di lokasi pekerjaan</v>
          </cell>
        </row>
        <row r="755">
          <cell r="A755">
            <v>3</v>
          </cell>
          <cell r="C755" t="str">
            <v>Dasar gorong-gorong digali sesuai kebutuhan dan ma-</v>
          </cell>
        </row>
        <row r="756">
          <cell r="C756" t="str">
            <v>terial backfill dipadatkan dengan Tamper</v>
          </cell>
        </row>
        <row r="757">
          <cell r="A757">
            <v>4</v>
          </cell>
          <cell r="C757" t="str">
            <v>Tebal lapis porus pada dasar gorong-gorong baja</v>
          </cell>
          <cell r="G757" t="str">
            <v>tp</v>
          </cell>
          <cell r="H757">
            <v>0.15</v>
          </cell>
          <cell r="I757" t="str">
            <v>M</v>
          </cell>
        </row>
        <row r="758">
          <cell r="A758">
            <v>5</v>
          </cell>
          <cell r="C758" t="str">
            <v>Material pilihan untuk penimbunan kembali (padat)</v>
          </cell>
        </row>
        <row r="759">
          <cell r="A759">
            <v>6</v>
          </cell>
          <cell r="C759" t="str">
            <v>Sekelompok pekerja akan melaksanakan pekerjaan</v>
          </cell>
        </row>
        <row r="760">
          <cell r="C760" t="str">
            <v>dengan cara manual dengan menggunakan alat bantu</v>
          </cell>
        </row>
        <row r="762">
          <cell r="A762" t="str">
            <v>III.</v>
          </cell>
          <cell r="C762" t="str">
            <v>PEMAKAIAN BAHAN, ALAT DAN TENAGA</v>
          </cell>
        </row>
        <row r="763">
          <cell r="A763" t="str">
            <v xml:space="preserve">   1.</v>
          </cell>
          <cell r="C763" t="str">
            <v>BAHAN</v>
          </cell>
        </row>
        <row r="764">
          <cell r="C764" t="str">
            <v>Untuk mendapatkan 1 M' gorong-gorong diperlukan</v>
          </cell>
        </row>
        <row r="765">
          <cell r="C765" t="str">
            <v>- Baja Bergelombang</v>
          </cell>
          <cell r="G765" t="str">
            <v>(M46)</v>
          </cell>
          <cell r="H765">
            <v>1050</v>
          </cell>
          <cell r="I765" t="str">
            <v>Kg</v>
          </cell>
        </row>
        <row r="766">
          <cell r="C766" t="str">
            <v>- Urugan Porus = {(tp*(0.5+2*tg/100+d+0.5)*1)*1.05} x (1/BJp1)</v>
          </cell>
          <cell r="G766" t="str">
            <v>(EI-241)</v>
          </cell>
          <cell r="H766">
            <v>2.5373993095512715</v>
          </cell>
          <cell r="I766" t="str">
            <v>M3</v>
          </cell>
        </row>
        <row r="767">
          <cell r="C767" t="str">
            <v>- Mat. Pilihan = {((2*tg/100+d+0.5)*(0.5+2*tg/100+d+0.5)</v>
          </cell>
          <cell r="G767" t="str">
            <v>(M09)</v>
          </cell>
          <cell r="H767">
            <v>18.763120248860478</v>
          </cell>
          <cell r="I767" t="str">
            <v>M3</v>
          </cell>
          <cell r="J767" t="str">
            <v xml:space="preserve"> = Vp</v>
          </cell>
        </row>
        <row r="768">
          <cell r="C768" t="str">
            <v xml:space="preserve">                      -(22/7*(0.5*(2*tg/100+d))^2)*1)*1.05} x (1/BJp1)</v>
          </cell>
        </row>
        <row r="770">
          <cell r="A770" t="str">
            <v xml:space="preserve">   2.</v>
          </cell>
          <cell r="C770" t="str">
            <v>ALAT</v>
          </cell>
        </row>
        <row r="771">
          <cell r="A771" t="str">
            <v>2.a.</v>
          </cell>
          <cell r="C771" t="str">
            <v>TAMPER</v>
          </cell>
          <cell r="G771" t="str">
            <v>(E25)</v>
          </cell>
        </row>
        <row r="772">
          <cell r="C772" t="str">
            <v>Kecepatan</v>
          </cell>
          <cell r="G772" t="str">
            <v>v</v>
          </cell>
          <cell r="H772">
            <v>0.5</v>
          </cell>
          <cell r="I772" t="str">
            <v>Km / Jam</v>
          </cell>
        </row>
        <row r="773">
          <cell r="C773" t="str">
            <v>Efisiensi alat</v>
          </cell>
          <cell r="G773" t="str">
            <v>Fa</v>
          </cell>
          <cell r="H773">
            <v>0.83</v>
          </cell>
          <cell r="I773" t="str">
            <v>-</v>
          </cell>
        </row>
        <row r="774">
          <cell r="C774" t="str">
            <v>Lebar pemadatan</v>
          </cell>
          <cell r="G774" t="str">
            <v>Lb</v>
          </cell>
          <cell r="H774">
            <v>0.4</v>
          </cell>
          <cell r="I774" t="str">
            <v>M</v>
          </cell>
        </row>
        <row r="775">
          <cell r="C775" t="str">
            <v>Banyak lintasan</v>
          </cell>
          <cell r="G775" t="str">
            <v>n</v>
          </cell>
          <cell r="H775">
            <v>10</v>
          </cell>
          <cell r="I775" t="str">
            <v>lintasan</v>
          </cell>
        </row>
        <row r="776">
          <cell r="C776" t="str">
            <v>Tebal lapis hamparan</v>
          </cell>
          <cell r="G776" t="str">
            <v>tp</v>
          </cell>
          <cell r="H776">
            <v>0.2</v>
          </cell>
          <cell r="I776" t="str">
            <v>M</v>
          </cell>
        </row>
        <row r="779">
          <cell r="C779" t="str">
            <v>Kap. Prod. / Jam   =</v>
          </cell>
          <cell r="D779" t="str">
            <v>v x 1000 x Fa x Lb x 60</v>
          </cell>
          <cell r="G779" t="str">
            <v>Q1</v>
          </cell>
          <cell r="H779">
            <v>3.3200000000000003</v>
          </cell>
          <cell r="I779" t="str">
            <v xml:space="preserve">M3 / Jam </v>
          </cell>
        </row>
        <row r="780">
          <cell r="D780" t="str">
            <v xml:space="preserve">    n x tp</v>
          </cell>
        </row>
        <row r="782">
          <cell r="C782" t="str">
            <v>Koefisien Alat / T</v>
          </cell>
          <cell r="D782" t="str">
            <v xml:space="preserve"> =  1  :  Q1 x Vp</v>
          </cell>
          <cell r="G782" t="str">
            <v>(E25)</v>
          </cell>
          <cell r="H782">
            <v>0.76427690046725039</v>
          </cell>
          <cell r="I782" t="str">
            <v>jam</v>
          </cell>
        </row>
        <row r="785">
          <cell r="A785" t="str">
            <v>2.c.</v>
          </cell>
          <cell r="C785" t="str">
            <v>ALAT  BANTU</v>
          </cell>
        </row>
        <row r="786">
          <cell r="C786" t="str">
            <v>Diperlukan alat-alat bantu kecil</v>
          </cell>
          <cell r="J786" t="str">
            <v>Lump Sump</v>
          </cell>
        </row>
        <row r="787">
          <cell r="C787" t="str">
            <v>- Sekop    =         3   buah</v>
          </cell>
        </row>
        <row r="788">
          <cell r="C788" t="str">
            <v>- Pacul     =         3   buah</v>
          </cell>
        </row>
        <row r="789">
          <cell r="C789" t="str">
            <v>- Alat-alat kecil lain</v>
          </cell>
        </row>
        <row r="794">
          <cell r="J794" t="str">
            <v>Berlanjut ke halaman berikut</v>
          </cell>
        </row>
        <row r="795">
          <cell r="A795" t="str">
            <v>ITEM PEMBAYARAN NO.</v>
          </cell>
          <cell r="D795" t="str">
            <v>:  2.3 (7)</v>
          </cell>
          <cell r="J795" t="str">
            <v>Analisa EI-236</v>
          </cell>
        </row>
        <row r="796">
          <cell r="A796" t="str">
            <v>JENIS PEKERJAAN</v>
          </cell>
          <cell r="D796" t="str">
            <v>:  Gorong2 Baja Bergelombang dengan dimensi … (mengacu pada SNI 03-6719-2002)</v>
          </cell>
        </row>
        <row r="797">
          <cell r="A797" t="str">
            <v>SATUAN PEMBAYARAN</v>
          </cell>
          <cell r="D797" t="str">
            <v>:  Ton</v>
          </cell>
          <cell r="J797" t="str">
            <v xml:space="preserve">         URAIAN ANALISA HARGA SATUAN</v>
          </cell>
        </row>
        <row r="798">
          <cell r="J798" t="str">
            <v>Lanjutan</v>
          </cell>
        </row>
        <row r="800">
          <cell r="A800" t="str">
            <v>No.</v>
          </cell>
          <cell r="C800" t="str">
            <v>U R A I A N</v>
          </cell>
          <cell r="G800" t="str">
            <v>KODE</v>
          </cell>
          <cell r="H800" t="str">
            <v>KOEF.</v>
          </cell>
          <cell r="I800" t="str">
            <v>SATUAN</v>
          </cell>
          <cell r="J800" t="str">
            <v>KETERANGAN</v>
          </cell>
        </row>
        <row r="803">
          <cell r="A803" t="str">
            <v xml:space="preserve">   3.</v>
          </cell>
          <cell r="C803" t="str">
            <v>TENAGA</v>
          </cell>
        </row>
        <row r="804">
          <cell r="C804" t="str">
            <v xml:space="preserve">Produksi Gorong-gorong / hari </v>
          </cell>
          <cell r="G804" t="str">
            <v>Qt</v>
          </cell>
          <cell r="H804">
            <v>1.3</v>
          </cell>
          <cell r="I804" t="str">
            <v>Ton</v>
          </cell>
          <cell r="J804">
            <v>10</v>
          </cell>
        </row>
        <row r="805">
          <cell r="J805" t="str">
            <v>M' per hari</v>
          </cell>
        </row>
        <row r="806">
          <cell r="C806" t="str">
            <v>Kebutuhan tenaga :</v>
          </cell>
        </row>
        <row r="807">
          <cell r="D807" t="str">
            <v>- Pekerja</v>
          </cell>
          <cell r="G807" t="str">
            <v>P</v>
          </cell>
          <cell r="H807">
            <v>12</v>
          </cell>
          <cell r="I807" t="str">
            <v>orang</v>
          </cell>
        </row>
        <row r="808">
          <cell r="D808" t="str">
            <v>- Tukang</v>
          </cell>
          <cell r="G808" t="str">
            <v>T</v>
          </cell>
          <cell r="H808">
            <v>1</v>
          </cell>
          <cell r="I808" t="str">
            <v>orang</v>
          </cell>
        </row>
        <row r="809">
          <cell r="D809" t="str">
            <v>- Mandor</v>
          </cell>
          <cell r="G809" t="str">
            <v>M</v>
          </cell>
          <cell r="H809">
            <v>1</v>
          </cell>
          <cell r="I809" t="str">
            <v>orang</v>
          </cell>
        </row>
        <row r="811">
          <cell r="C811" t="str">
            <v>Koefisien tenaga / Ton   :</v>
          </cell>
        </row>
        <row r="812">
          <cell r="D812" t="str">
            <v>- Pekerja</v>
          </cell>
          <cell r="E812" t="str">
            <v>= (Tk x P) : Qt</v>
          </cell>
          <cell r="G812" t="str">
            <v>(L01)</v>
          </cell>
          <cell r="H812">
            <v>64.615384615384613</v>
          </cell>
          <cell r="I812" t="str">
            <v>jam</v>
          </cell>
        </row>
        <row r="813">
          <cell r="D813" t="str">
            <v>- Tukang</v>
          </cell>
          <cell r="E813" t="str">
            <v>= (Tk x T) : Qt</v>
          </cell>
          <cell r="G813" t="str">
            <v>(L02)</v>
          </cell>
          <cell r="H813">
            <v>5.3846153846153841</v>
          </cell>
          <cell r="I813" t="str">
            <v>jam</v>
          </cell>
        </row>
        <row r="814">
          <cell r="D814" t="str">
            <v>- Mandor</v>
          </cell>
          <cell r="E814" t="str">
            <v>= (Tk x M) : Qt</v>
          </cell>
          <cell r="G814" t="str">
            <v>(L03)</v>
          </cell>
          <cell r="H814">
            <v>5.3846153846153841</v>
          </cell>
          <cell r="I814" t="str">
            <v>jam</v>
          </cell>
        </row>
        <row r="816">
          <cell r="A816" t="str">
            <v>4.</v>
          </cell>
          <cell r="C816" t="str">
            <v>HARGA DASAR SATUAN UPAH, BAHAN DAN ALAT</v>
          </cell>
        </row>
        <row r="817">
          <cell r="C817" t="str">
            <v>Lihat lampiran.</v>
          </cell>
        </row>
        <row r="819">
          <cell r="A819" t="str">
            <v>5.</v>
          </cell>
          <cell r="C819" t="str">
            <v>ANALISA HARGA SATUAN PEKERJAAN</v>
          </cell>
        </row>
        <row r="820">
          <cell r="C820" t="str">
            <v>Lihat perhitungan dalam FORMULIR STANDAR UNTUK</v>
          </cell>
        </row>
        <row r="821">
          <cell r="C821" t="str">
            <v>PEREKEMAN ANALISA MASING-MASING HARGA</v>
          </cell>
        </row>
        <row r="822">
          <cell r="C822" t="str">
            <v>SATUAN.</v>
          </cell>
        </row>
        <row r="823">
          <cell r="C823" t="str">
            <v>Didapat Harga Satuan Pekerjaan :</v>
          </cell>
        </row>
        <row r="825">
          <cell r="C825" t="str">
            <v xml:space="preserve">Rp.  </v>
          </cell>
          <cell r="D825">
            <v>9967201.2306805458</v>
          </cell>
          <cell r="E825" t="str">
            <v xml:space="preserve"> / M'</v>
          </cell>
        </row>
        <row r="828">
          <cell r="A828" t="str">
            <v>6.</v>
          </cell>
          <cell r="C828" t="str">
            <v>WAKTU PELAKSANAAN YANG DIPERLUKAN</v>
          </cell>
        </row>
        <row r="829">
          <cell r="C829" t="str">
            <v>Masa Pelaksanaan :</v>
          </cell>
          <cell r="D829" t="str">
            <v>. . . . . . . . . . . .</v>
          </cell>
          <cell r="E829" t="str">
            <v>bulan</v>
          </cell>
        </row>
        <row r="831">
          <cell r="A831" t="str">
            <v>7.</v>
          </cell>
          <cell r="C831" t="str">
            <v>VOLUME PEKERJAAN YANG DIPERLUKAN</v>
          </cell>
        </row>
        <row r="832">
          <cell r="C832" t="str">
            <v>Volume pekerjaan  :</v>
          </cell>
          <cell r="D832">
            <v>1</v>
          </cell>
          <cell r="E832" t="str">
            <v>M'</v>
          </cell>
        </row>
        <row r="854">
          <cell r="A854" t="str">
            <v>ITEM PEMBAYARAN NO.</v>
          </cell>
          <cell r="D854" t="str">
            <v>:  2.3 (8)</v>
          </cell>
          <cell r="J854" t="str">
            <v xml:space="preserve">Analisa EI-235 </v>
          </cell>
        </row>
        <row r="855">
          <cell r="A855" t="str">
            <v>JENIS PEKERJAAN</v>
          </cell>
          <cell r="D855" t="str">
            <v>: Gorong-Gorong Pipa beton tanpa tulangan diameter dalam 100 mm sampai 900 mm</v>
          </cell>
          <cell r="L855" t="str">
            <v>FORMULIR STANDAR UNTUK</v>
          </cell>
        </row>
        <row r="856">
          <cell r="A856" t="str">
            <v>SATUAN PEMBAYARAN</v>
          </cell>
          <cell r="D856" t="str">
            <v>:  M1</v>
          </cell>
          <cell r="J856" t="str">
            <v xml:space="preserve">         URAIAN ANALISA HARGA SATUAN</v>
          </cell>
          <cell r="L856" t="str">
            <v>PEREKAMAN ANALISA MASING-MASING HARGA SATUAN</v>
          </cell>
        </row>
        <row r="857">
          <cell r="L857" t="str">
            <v/>
          </cell>
        </row>
        <row r="859">
          <cell r="A859" t="str">
            <v>No.</v>
          </cell>
          <cell r="C859" t="str">
            <v>U R A I A N</v>
          </cell>
          <cell r="G859" t="str">
            <v>KODE</v>
          </cell>
          <cell r="H859" t="str">
            <v>KOEF.</v>
          </cell>
          <cell r="I859" t="str">
            <v>SATUAN</v>
          </cell>
          <cell r="J859" t="str">
            <v>KETERANGAN</v>
          </cell>
        </row>
        <row r="860">
          <cell r="L860" t="str">
            <v>PROYEK</v>
          </cell>
          <cell r="O860" t="str">
            <v>:</v>
          </cell>
        </row>
        <row r="861">
          <cell r="L861" t="str">
            <v>No. PAKET KONTRAK</v>
          </cell>
          <cell r="O861" t="str">
            <v>:</v>
          </cell>
        </row>
        <row r="862">
          <cell r="A862" t="str">
            <v>I.</v>
          </cell>
          <cell r="C862" t="str">
            <v>ASUMSI</v>
          </cell>
          <cell r="L862" t="str">
            <v>NAMA PAKET</v>
          </cell>
          <cell r="O862" t="str">
            <v>:</v>
          </cell>
        </row>
        <row r="863">
          <cell r="A863">
            <v>1</v>
          </cell>
          <cell r="C863" t="str">
            <v>Pekerjaan dilakukan secara mekanik/manual</v>
          </cell>
          <cell r="L863" t="str">
            <v>PROP / KAB / KODYA</v>
          </cell>
          <cell r="O863" t="str">
            <v>:</v>
          </cell>
        </row>
        <row r="864">
          <cell r="A864">
            <v>2</v>
          </cell>
          <cell r="C864" t="str">
            <v>Lokasi pekerjaan : sepanjang jalan</v>
          </cell>
          <cell r="L864" t="str">
            <v>ITEM PEMBAYARAN NO.</v>
          </cell>
          <cell r="O864" t="str">
            <v>:  2.3 (8)</v>
          </cell>
          <cell r="R864" t="str">
            <v>PERKIRAAN VOL. PEK.</v>
          </cell>
          <cell r="T864" t="str">
            <v>:</v>
          </cell>
          <cell r="U864">
            <v>1</v>
          </cell>
        </row>
        <row r="865">
          <cell r="A865">
            <v>3</v>
          </cell>
          <cell r="C865" t="str">
            <v>Diameter bagian dalam gorong-gorong</v>
          </cell>
          <cell r="G865" t="str">
            <v>d</v>
          </cell>
          <cell r="H865">
            <v>0.25</v>
          </cell>
          <cell r="I865" t="str">
            <v>m</v>
          </cell>
          <cell r="L865" t="str">
            <v>JENIS PEKERJAAN</v>
          </cell>
          <cell r="O865" t="str">
            <v>: Gorong-Gorong Pipa beton tanpa tulangan diameter dalam 100 mm sampai 900 mm</v>
          </cell>
          <cell r="R865" t="str">
            <v>TOTAL HARGA (Rp.)</v>
          </cell>
          <cell r="T865" t="str">
            <v>:</v>
          </cell>
          <cell r="U865">
            <v>218715.29344341051</v>
          </cell>
        </row>
        <row r="866">
          <cell r="A866">
            <v>4</v>
          </cell>
          <cell r="C866" t="str">
            <v>Jarak rata-rata Base Camp ke lokasi pekerjaan</v>
          </cell>
          <cell r="G866" t="str">
            <v>L</v>
          </cell>
          <cell r="H866">
            <v>8.7249999999999996</v>
          </cell>
          <cell r="I866" t="str">
            <v>Km</v>
          </cell>
          <cell r="L866" t="str">
            <v>SATUAN PEMBAYARAN</v>
          </cell>
          <cell r="O866" t="str">
            <v>:  M1</v>
          </cell>
          <cell r="Q866">
            <v>0</v>
          </cell>
          <cell r="R866" t="str">
            <v>% THD. BIAYA PROYEK</v>
          </cell>
          <cell r="T866" t="str">
            <v>:</v>
          </cell>
          <cell r="U866" t="e">
            <v>#DIV/0!</v>
          </cell>
        </row>
        <row r="867">
          <cell r="A867">
            <v>5</v>
          </cell>
          <cell r="C867" t="str">
            <v>Jam kerja efektif per-hari</v>
          </cell>
          <cell r="G867" t="str">
            <v>Tk</v>
          </cell>
          <cell r="H867">
            <v>7</v>
          </cell>
          <cell r="I867" t="str">
            <v>jam</v>
          </cell>
        </row>
        <row r="868">
          <cell r="A868">
            <v>6</v>
          </cell>
          <cell r="C868" t="str">
            <v>Tebal gorong-gorong</v>
          </cell>
          <cell r="G868" t="str">
            <v>tg</v>
          </cell>
          <cell r="H868">
            <v>6.5</v>
          </cell>
          <cell r="I868" t="str">
            <v>Cm</v>
          </cell>
        </row>
        <row r="869">
          <cell r="Q869" t="str">
            <v>PERKIRAAN</v>
          </cell>
          <cell r="R869" t="str">
            <v>HARGA</v>
          </cell>
          <cell r="S869" t="str">
            <v>JUMLAH</v>
          </cell>
        </row>
        <row r="870">
          <cell r="A870" t="str">
            <v>II.</v>
          </cell>
          <cell r="C870" t="str">
            <v>URUTAN KERJA</v>
          </cell>
          <cell r="L870" t="str">
            <v>NO.</v>
          </cell>
          <cell r="N870" t="str">
            <v>KOMPONEN</v>
          </cell>
          <cell r="P870" t="str">
            <v>SATUAN</v>
          </cell>
          <cell r="Q870" t="str">
            <v>KUANTITAS</v>
          </cell>
          <cell r="R870" t="str">
            <v>SATUAN</v>
          </cell>
          <cell r="S870" t="str">
            <v>HARGA</v>
          </cell>
        </row>
        <row r="871">
          <cell r="A871">
            <v>1</v>
          </cell>
          <cell r="C871" t="str">
            <v>Gorong-gorong dicetak di Base Camp</v>
          </cell>
          <cell r="R871" t="str">
            <v>(Rp.)</v>
          </cell>
          <cell r="S871" t="str">
            <v>(Rp.)</v>
          </cell>
        </row>
        <row r="872">
          <cell r="A872">
            <v>2</v>
          </cell>
          <cell r="C872" t="str">
            <v>Dump Truck mengangkut gorong-gorong jadi</v>
          </cell>
        </row>
        <row r="873">
          <cell r="C873" t="str">
            <v>ke lapangan</v>
          </cell>
        </row>
        <row r="874">
          <cell r="A874">
            <v>3</v>
          </cell>
          <cell r="C874" t="str">
            <v>Dasar gorong-gorong digali sesuai kebutuhan dan ma-</v>
          </cell>
          <cell r="L874" t="str">
            <v>A.</v>
          </cell>
          <cell r="N874" t="str">
            <v>TENAGA</v>
          </cell>
        </row>
        <row r="875">
          <cell r="C875" t="str">
            <v>terial backfill dipadatkan dengan Tamper</v>
          </cell>
        </row>
        <row r="876">
          <cell r="A876">
            <v>4</v>
          </cell>
          <cell r="C876" t="str">
            <v>Tebal lapis porus pada dasar gorong-gorong pipa baja</v>
          </cell>
          <cell r="G876" t="str">
            <v>tp</v>
          </cell>
          <cell r="H876">
            <v>0.1</v>
          </cell>
          <cell r="I876" t="str">
            <v>M</v>
          </cell>
          <cell r="J876" t="str">
            <v xml:space="preserve"> Sand bedding</v>
          </cell>
          <cell r="L876" t="str">
            <v>1.</v>
          </cell>
          <cell r="N876" t="str">
            <v>Pekerja</v>
          </cell>
          <cell r="O876" t="str">
            <v>(L01)</v>
          </cell>
          <cell r="P876" t="str">
            <v>jam</v>
          </cell>
          <cell r="Q876">
            <v>1.75</v>
          </cell>
          <cell r="R876">
            <v>2857.14</v>
          </cell>
          <cell r="U876">
            <v>4999.9949999999999</v>
          </cell>
        </row>
        <row r="877">
          <cell r="A877">
            <v>5</v>
          </cell>
          <cell r="C877" t="str">
            <v>Material pilihan untuk penimbunan kembali (padat)</v>
          </cell>
          <cell r="L877" t="str">
            <v>2.</v>
          </cell>
          <cell r="N877" t="str">
            <v>Tukang</v>
          </cell>
          <cell r="O877" t="str">
            <v>(L02)</v>
          </cell>
          <cell r="P877" t="str">
            <v>jam</v>
          </cell>
          <cell r="Q877">
            <v>0</v>
          </cell>
          <cell r="R877">
            <v>4285.71</v>
          </cell>
          <cell r="U877">
            <v>0</v>
          </cell>
        </row>
        <row r="878">
          <cell r="A878">
            <v>6</v>
          </cell>
          <cell r="C878" t="str">
            <v>Sekelompok pekerja akan melaksanakan pekerjaan</v>
          </cell>
          <cell r="L878" t="str">
            <v>3.</v>
          </cell>
          <cell r="N878" t="str">
            <v>Mandor</v>
          </cell>
          <cell r="O878" t="str">
            <v>(L03)</v>
          </cell>
          <cell r="P878" t="str">
            <v>jam</v>
          </cell>
          <cell r="Q878">
            <v>0.35</v>
          </cell>
          <cell r="R878">
            <v>3214.29</v>
          </cell>
          <cell r="U878">
            <v>1125.0014999999999</v>
          </cell>
        </row>
        <row r="879">
          <cell r="C879" t="str">
            <v>dengan cara manual dengan menggunakan alat bantu</v>
          </cell>
        </row>
        <row r="880">
          <cell r="Q880" t="str">
            <v xml:space="preserve">JUMLAH HARGA TENAGA   </v>
          </cell>
          <cell r="U880">
            <v>6124.9964999999993</v>
          </cell>
        </row>
        <row r="882">
          <cell r="A882" t="str">
            <v>III.</v>
          </cell>
          <cell r="C882" t="str">
            <v>PEMAKAIAN BAHAN, ALAT DAN TENAGA</v>
          </cell>
          <cell r="L882" t="str">
            <v>B.</v>
          </cell>
          <cell r="N882" t="str">
            <v>BAHAN</v>
          </cell>
        </row>
        <row r="883">
          <cell r="A883" t="str">
            <v xml:space="preserve">   1.</v>
          </cell>
          <cell r="C883" t="str">
            <v>BAHAN</v>
          </cell>
        </row>
        <row r="884">
          <cell r="C884" t="str">
            <v>Untuk mendapatkan 1 M' gorong-gorong diperlukan</v>
          </cell>
          <cell r="L884" t="str">
            <v>1.</v>
          </cell>
          <cell r="N884" t="str">
            <v>Beton K-175</v>
          </cell>
          <cell r="O884" t="str">
            <v>(EI-716)</v>
          </cell>
          <cell r="P884" t="str">
            <v>M3</v>
          </cell>
          <cell r="Q884">
            <v>6.4324109582251016E-2</v>
          </cell>
          <cell r="R884">
            <v>579443.14540291647</v>
          </cell>
          <cell r="U884">
            <v>37272.16438158141</v>
          </cell>
        </row>
        <row r="885">
          <cell r="C885" t="str">
            <v>- Beton K-175 = (22/7*((2*tg/100+d)/2)^2)-(22/7*(d/2)^2))*1</v>
          </cell>
          <cell r="G885" t="str">
            <v>(EI-716)</v>
          </cell>
          <cell r="H885">
            <v>6.4324109582251016E-2</v>
          </cell>
          <cell r="I885" t="str">
            <v>M3</v>
          </cell>
          <cell r="L885" t="str">
            <v>2.</v>
          </cell>
          <cell r="N885" t="str">
            <v>Urugan Porus</v>
          </cell>
          <cell r="O885" t="str">
            <v>(EI-241)</v>
          </cell>
          <cell r="P885" t="str">
            <v>M3</v>
          </cell>
          <cell r="Q885">
            <v>7.1400000000000005E-2</v>
          </cell>
          <cell r="R885">
            <v>186901.40625406182</v>
          </cell>
          <cell r="U885">
            <v>13344.760406540016</v>
          </cell>
        </row>
        <row r="886">
          <cell r="C886" t="str">
            <v>- Timbunan Porus      = {(tp*(0.15+2*tg/100+d+0.15)*1)*1.05}</v>
          </cell>
          <cell r="G886" t="str">
            <v>(EI-241)</v>
          </cell>
          <cell r="H886">
            <v>7.1400000000000005E-2</v>
          </cell>
          <cell r="I886" t="str">
            <v>M3</v>
          </cell>
          <cell r="L886" t="str">
            <v>3.</v>
          </cell>
          <cell r="N886" t="str">
            <v>Mat. Pilihan</v>
          </cell>
          <cell r="O886" t="str">
            <v>(M09)</v>
          </cell>
          <cell r="P886" t="str">
            <v>M3</v>
          </cell>
          <cell r="Q886">
            <v>0.25929000000000008</v>
          </cell>
          <cell r="R886">
            <v>25000</v>
          </cell>
          <cell r="U886">
            <v>6482.2500000000018</v>
          </cell>
        </row>
        <row r="887">
          <cell r="C887" t="str">
            <v>- Material Pilihan  = ((2*tg/100+d+0.15)*(0.15+2*tg/100+d+0.15)</v>
          </cell>
          <cell r="G887" t="str">
            <v>(M09)</v>
          </cell>
          <cell r="H887">
            <v>0.25929000000000008</v>
          </cell>
          <cell r="I887" t="str">
            <v>M3</v>
          </cell>
          <cell r="J887" t="str">
            <v xml:space="preserve"> = Vp</v>
          </cell>
        </row>
        <row r="888">
          <cell r="D888" t="str">
            <v>-(22/7*(0.5*(2*tg/100+d))^2))*1*1.05</v>
          </cell>
        </row>
        <row r="890">
          <cell r="A890" t="str">
            <v xml:space="preserve">   2.</v>
          </cell>
          <cell r="C890" t="str">
            <v>ALAT</v>
          </cell>
          <cell r="Q890" t="str">
            <v xml:space="preserve">JUMLAH HARGA BAHAN   </v>
          </cell>
          <cell r="U890">
            <v>57099.174788121425</v>
          </cell>
        </row>
        <row r="891">
          <cell r="A891" t="str">
            <v>2.a.</v>
          </cell>
          <cell r="C891" t="str">
            <v>TAMPER</v>
          </cell>
          <cell r="G891" t="str">
            <v>(E25)</v>
          </cell>
        </row>
        <row r="892">
          <cell r="C892" t="str">
            <v>Kecepatan</v>
          </cell>
          <cell r="G892" t="str">
            <v>v</v>
          </cell>
          <cell r="H892">
            <v>0.5</v>
          </cell>
          <cell r="I892" t="str">
            <v>Km / Jam</v>
          </cell>
          <cell r="L892" t="str">
            <v>C.</v>
          </cell>
          <cell r="N892" t="str">
            <v>PERALATAN</v>
          </cell>
        </row>
        <row r="893">
          <cell r="C893" t="str">
            <v>Efisiensi alat</v>
          </cell>
          <cell r="G893" t="str">
            <v>Fa</v>
          </cell>
          <cell r="H893">
            <v>0.83</v>
          </cell>
          <cell r="I893" t="str">
            <v>-</v>
          </cell>
        </row>
        <row r="894">
          <cell r="C894" t="str">
            <v>Lebar pemadatan</v>
          </cell>
          <cell r="G894" t="str">
            <v>Lb</v>
          </cell>
          <cell r="H894">
            <v>0.4</v>
          </cell>
          <cell r="I894" t="str">
            <v>M</v>
          </cell>
          <cell r="L894" t="str">
            <v>1.</v>
          </cell>
          <cell r="N894" t="str">
            <v>Tamper</v>
          </cell>
          <cell r="O894" t="str">
            <v>(E25)</v>
          </cell>
          <cell r="P894" t="str">
            <v>jam</v>
          </cell>
          <cell r="Q894">
            <v>7.8099397590361455E-2</v>
          </cell>
          <cell r="R894">
            <v>18672.16854694486</v>
          </cell>
          <cell r="U894">
            <v>1458.2851152220883</v>
          </cell>
        </row>
        <row r="895">
          <cell r="C895" t="str">
            <v>Banyak lintasan</v>
          </cell>
          <cell r="G895" t="str">
            <v>n</v>
          </cell>
          <cell r="H895">
            <v>10</v>
          </cell>
          <cell r="I895" t="str">
            <v>lintasan</v>
          </cell>
          <cell r="L895" t="str">
            <v>2.</v>
          </cell>
          <cell r="N895" t="str">
            <v>Dump Truck</v>
          </cell>
          <cell r="O895" t="str">
            <v>(E08)</v>
          </cell>
          <cell r="P895" t="str">
            <v>jam</v>
          </cell>
          <cell r="Q895">
            <v>7.210090361445784E-2</v>
          </cell>
          <cell r="R895">
            <v>153645.58193291764</v>
          </cell>
          <cell r="U895">
            <v>11077.98529373258</v>
          </cell>
        </row>
        <row r="896">
          <cell r="C896" t="str">
            <v>Tebal lapis hamparan</v>
          </cell>
          <cell r="G896" t="str">
            <v>tp</v>
          </cell>
          <cell r="H896">
            <v>0.2</v>
          </cell>
          <cell r="I896" t="str">
            <v>M</v>
          </cell>
          <cell r="L896" t="str">
            <v>3.</v>
          </cell>
          <cell r="N896" t="str">
            <v>Alat  Bantu</v>
          </cell>
          <cell r="P896" t="str">
            <v>Ls</v>
          </cell>
          <cell r="Q896">
            <v>1</v>
          </cell>
          <cell r="R896">
            <v>150</v>
          </cell>
          <cell r="U896">
            <v>150</v>
          </cell>
        </row>
        <row r="899">
          <cell r="C899" t="str">
            <v>Kap. Prod. / Jam   =</v>
          </cell>
          <cell r="D899" t="str">
            <v>v x 1000 x Fa x Lb x 60</v>
          </cell>
          <cell r="G899" t="str">
            <v>Q1</v>
          </cell>
          <cell r="H899">
            <v>3.3200000000000003</v>
          </cell>
          <cell r="I899" t="str">
            <v xml:space="preserve">M3 / Jam </v>
          </cell>
        </row>
        <row r="900">
          <cell r="D900" t="str">
            <v xml:space="preserve">    n x tp</v>
          </cell>
        </row>
        <row r="902">
          <cell r="C902" t="str">
            <v>Koefisien Alat / m'</v>
          </cell>
          <cell r="D902" t="str">
            <v xml:space="preserve"> =  1  :  Q1 x Vp</v>
          </cell>
          <cell r="G902" t="str">
            <v>(E25)</v>
          </cell>
          <cell r="H902">
            <v>7.8099397590361455E-2</v>
          </cell>
          <cell r="I902" t="str">
            <v>jam</v>
          </cell>
          <cell r="Q902" t="str">
            <v xml:space="preserve">JUMLAH HARGA PERALATAN   </v>
          </cell>
          <cell r="U902">
            <v>12686.270408954668</v>
          </cell>
        </row>
        <row r="904">
          <cell r="A904" t="str">
            <v>2.b.</v>
          </cell>
          <cell r="C904" t="str">
            <v>DUMP TRUCK</v>
          </cell>
          <cell r="G904" t="str">
            <v>(E08)</v>
          </cell>
          <cell r="L904" t="str">
            <v>D.</v>
          </cell>
          <cell r="N904" t="str">
            <v>JUMLAH HARGA TENAGA, BAHAN DAN PERALATAN  ( A + B + C )</v>
          </cell>
          <cell r="U904">
            <v>75910.441697076094</v>
          </cell>
        </row>
        <row r="905">
          <cell r="C905" t="str">
            <v>Kapasitas bak sekali muat</v>
          </cell>
          <cell r="G905" t="str">
            <v>V</v>
          </cell>
          <cell r="H905">
            <v>20</v>
          </cell>
          <cell r="I905" t="str">
            <v>Buah/M'</v>
          </cell>
          <cell r="L905" t="str">
            <v>E.</v>
          </cell>
          <cell r="N905" t="str">
            <v>OVERHEAD &amp; PROFIT</v>
          </cell>
          <cell r="P905">
            <v>10</v>
          </cell>
          <cell r="Q905" t="str">
            <v>%  x  D</v>
          </cell>
          <cell r="U905">
            <v>7591.0441697076094</v>
          </cell>
        </row>
        <row r="906">
          <cell r="C906" t="str">
            <v>Faktor efisiensi alat</v>
          </cell>
          <cell r="G906" t="str">
            <v>Fa</v>
          </cell>
          <cell r="H906">
            <v>0.83</v>
          </cell>
          <cell r="L906" t="str">
            <v>F.</v>
          </cell>
          <cell r="N906" t="str">
            <v>HARGA SATUAN PEKERJAAN  ( D + E )</v>
          </cell>
          <cell r="U906">
            <v>83501.485866783711</v>
          </cell>
        </row>
        <row r="907">
          <cell r="C907" t="str">
            <v>Kecepatanrata-rata bermuatan</v>
          </cell>
          <cell r="G907" t="str">
            <v>v1</v>
          </cell>
          <cell r="H907">
            <v>40</v>
          </cell>
          <cell r="I907" t="str">
            <v>Km/Jam</v>
          </cell>
          <cell r="L907" t="str">
            <v>Note: 1</v>
          </cell>
          <cell r="N907" t="str">
            <v>SATUAN dapat berdasarkan atas jam operasi untuk Tenaga Kerja dan Peralatan, volume dan/atau ukuran</v>
          </cell>
        </row>
        <row r="908">
          <cell r="C908" t="str">
            <v>Kecepatan rata-rata kosong</v>
          </cell>
          <cell r="G908" t="str">
            <v>v2</v>
          </cell>
          <cell r="H908">
            <v>60</v>
          </cell>
          <cell r="I908" t="str">
            <v>Km/Jam</v>
          </cell>
          <cell r="N908" t="str">
            <v>berat untuk bahan-bahan.</v>
          </cell>
        </row>
        <row r="909">
          <cell r="C909" t="str">
            <v>Waktu siklus    :</v>
          </cell>
          <cell r="G909" t="str">
            <v>Ts1</v>
          </cell>
          <cell r="L909">
            <v>2</v>
          </cell>
          <cell r="N909" t="str">
            <v>Kuantitas satuan adalah kuantitas setiap komponen untuk menyelesaikan satu satuan pekerjaan dari nomor</v>
          </cell>
        </row>
        <row r="910">
          <cell r="C910" t="str">
            <v>- Waktu  tempuh in  si  = (L : v1 ) x 60</v>
          </cell>
          <cell r="G910" t="str">
            <v>T1</v>
          </cell>
          <cell r="H910">
            <v>13.087499999999999</v>
          </cell>
          <cell r="I910" t="str">
            <v>menit</v>
          </cell>
          <cell r="N910" t="str">
            <v>mata pembayaran.</v>
          </cell>
        </row>
        <row r="911">
          <cell r="C911" t="str">
            <v>-  Waktutempuh kosong  = (L : v2)  x  60</v>
          </cell>
          <cell r="G911" t="str">
            <v>T2</v>
          </cell>
          <cell r="H911">
            <v>8.7249999999999996</v>
          </cell>
          <cell r="I911" t="str">
            <v>menit</v>
          </cell>
          <cell r="L911">
            <v>3</v>
          </cell>
          <cell r="N911" t="str">
            <v>Biaya satuan untuk peralatan sudah termasuk bahan bakar, bahan habis dipakai dan operator.</v>
          </cell>
        </row>
        <row r="912">
          <cell r="C912" t="str">
            <v>-  Muat, bongkar dan lain-lain</v>
          </cell>
          <cell r="G912" t="str">
            <v>T3</v>
          </cell>
          <cell r="H912">
            <v>50</v>
          </cell>
          <cell r="I912" t="str">
            <v>menit</v>
          </cell>
          <cell r="L912">
            <v>4</v>
          </cell>
          <cell r="N912" t="str">
            <v>Biaya satuan sudah termasuk pengeluaran untuk seluruh pajak yang berkaitan (tetapi tidak termasuk PPN</v>
          </cell>
        </row>
        <row r="913">
          <cell r="G913" t="str">
            <v>Ts1</v>
          </cell>
          <cell r="H913">
            <v>71.8125</v>
          </cell>
          <cell r="I913" t="str">
            <v>menit</v>
          </cell>
          <cell r="N913" t="str">
            <v>yang dibayar dari kontrak) dan biaya-biaya lainnya.</v>
          </cell>
        </row>
        <row r="914">
          <cell r="J914" t="str">
            <v>Berlanjut ke halaman berikut</v>
          </cell>
        </row>
        <row r="915">
          <cell r="A915" t="str">
            <v>ITEM PEMBAYARAN NO.</v>
          </cell>
          <cell r="D915" t="str">
            <v>:  2.3 (8)</v>
          </cell>
          <cell r="J915" t="str">
            <v xml:space="preserve">Analisa EI-235 </v>
          </cell>
        </row>
        <row r="916">
          <cell r="A916" t="str">
            <v>JENIS PEKERJAAN</v>
          </cell>
          <cell r="D916" t="str">
            <v>: Gorong-Gorong Pipa beton tanpa tulangan diameter dalam 100 mm sampai 900 mm</v>
          </cell>
        </row>
        <row r="917">
          <cell r="A917" t="str">
            <v>SATUAN PEMBAYARAN</v>
          </cell>
          <cell r="D917" t="str">
            <v>:  M1</v>
          </cell>
          <cell r="J917" t="str">
            <v xml:space="preserve">         URAIAN ANALISA HARGA SATUAN</v>
          </cell>
        </row>
        <row r="918">
          <cell r="J918" t="str">
            <v>Lanjutan</v>
          </cell>
        </row>
        <row r="920">
          <cell r="A920" t="str">
            <v>No.</v>
          </cell>
          <cell r="C920" t="str">
            <v>U R A I A N</v>
          </cell>
          <cell r="G920" t="str">
            <v>KODE</v>
          </cell>
          <cell r="H920" t="str">
            <v>KOEF.</v>
          </cell>
          <cell r="I920" t="str">
            <v>SATUAN</v>
          </cell>
          <cell r="J920" t="str">
            <v>KETERANGAN</v>
          </cell>
        </row>
        <row r="923">
          <cell r="C923" t="str">
            <v>Kapasitas Produksi / Jam   =</v>
          </cell>
          <cell r="E923" t="str">
            <v>V x Fa x 60</v>
          </cell>
          <cell r="G923" t="str">
            <v>Q2</v>
          </cell>
          <cell r="H923">
            <v>13.869451697127936</v>
          </cell>
          <cell r="I923" t="str">
            <v xml:space="preserve">M' / Jam </v>
          </cell>
        </row>
        <row r="924">
          <cell r="E924" t="str">
            <v>Ts1</v>
          </cell>
        </row>
        <row r="926">
          <cell r="C926" t="str">
            <v>Koefisien Alat / m'</v>
          </cell>
          <cell r="D926" t="str">
            <v xml:space="preserve"> =  1  :  Q2</v>
          </cell>
          <cell r="G926" t="str">
            <v>(E08)</v>
          </cell>
          <cell r="H926">
            <v>7.210090361445784E-2</v>
          </cell>
          <cell r="I926" t="str">
            <v>jam</v>
          </cell>
        </row>
        <row r="929">
          <cell r="A929" t="str">
            <v>2.c.</v>
          </cell>
          <cell r="C929" t="str">
            <v>ALAT  BANTU</v>
          </cell>
        </row>
        <row r="930">
          <cell r="C930" t="str">
            <v>Diperlukan alat-alat bantu kecil</v>
          </cell>
          <cell r="J930" t="str">
            <v>Lump Sump</v>
          </cell>
        </row>
        <row r="931">
          <cell r="C931" t="str">
            <v>- Sekop    =         3   buah</v>
          </cell>
        </row>
        <row r="932">
          <cell r="C932" t="str">
            <v>- Pacul     =         3   buah</v>
          </cell>
        </row>
        <row r="933">
          <cell r="C933" t="str">
            <v>- Alat-alat kecil lain</v>
          </cell>
        </row>
        <row r="935">
          <cell r="A935" t="str">
            <v xml:space="preserve">   3.</v>
          </cell>
          <cell r="C935" t="str">
            <v>TENAGA</v>
          </cell>
        </row>
        <row r="936">
          <cell r="C936" t="str">
            <v>Produksi Gorong-gorong / hari</v>
          </cell>
          <cell r="G936" t="str">
            <v>Qt</v>
          </cell>
          <cell r="H936">
            <v>20</v>
          </cell>
          <cell r="I936" t="str">
            <v>M'</v>
          </cell>
        </row>
        <row r="937">
          <cell r="C937" t="str">
            <v>Kebutuhan tenaga :</v>
          </cell>
        </row>
        <row r="938">
          <cell r="D938" t="str">
            <v>- Pekerja</v>
          </cell>
          <cell r="G938" t="str">
            <v>P</v>
          </cell>
          <cell r="H938">
            <v>5</v>
          </cell>
          <cell r="I938" t="str">
            <v>orang</v>
          </cell>
        </row>
        <row r="939">
          <cell r="D939" t="str">
            <v>- Tukang</v>
          </cell>
          <cell r="G939" t="str">
            <v>T</v>
          </cell>
          <cell r="H939">
            <v>0</v>
          </cell>
          <cell r="I939" t="str">
            <v>orang</v>
          </cell>
        </row>
        <row r="940">
          <cell r="D940" t="str">
            <v>- Mandor</v>
          </cell>
          <cell r="G940" t="str">
            <v>M</v>
          </cell>
          <cell r="H940">
            <v>1</v>
          </cell>
          <cell r="I940" t="str">
            <v>orang</v>
          </cell>
        </row>
        <row r="942">
          <cell r="C942" t="str">
            <v>Koefisien tenaga / M1   :</v>
          </cell>
        </row>
        <row r="943">
          <cell r="D943" t="str">
            <v>- Pekerja</v>
          </cell>
          <cell r="E943" t="str">
            <v>= (Tk x P) : Qt</v>
          </cell>
          <cell r="G943" t="str">
            <v>(L01)</v>
          </cell>
          <cell r="H943">
            <v>1.75</v>
          </cell>
          <cell r="I943" t="str">
            <v>Jam</v>
          </cell>
        </row>
        <row r="944">
          <cell r="D944" t="str">
            <v>- Tukang</v>
          </cell>
          <cell r="E944" t="str">
            <v>= (Tk x T) : Qt</v>
          </cell>
          <cell r="G944" t="str">
            <v>(L02)</v>
          </cell>
          <cell r="H944">
            <v>0</v>
          </cell>
          <cell r="I944" t="str">
            <v>Jam</v>
          </cell>
        </row>
        <row r="945">
          <cell r="D945" t="str">
            <v>- Mandor</v>
          </cell>
          <cell r="E945" t="str">
            <v>= (Tk x M) : Qt</v>
          </cell>
          <cell r="G945" t="str">
            <v>(L03)</v>
          </cell>
          <cell r="H945">
            <v>0.35</v>
          </cell>
          <cell r="I945" t="str">
            <v>Jam</v>
          </cell>
        </row>
        <row r="947">
          <cell r="A947" t="str">
            <v>4.</v>
          </cell>
          <cell r="C947" t="str">
            <v>HARGA DASAR SATUAN UPAH, BAHAN DAN ALAT</v>
          </cell>
        </row>
        <row r="948">
          <cell r="C948" t="str">
            <v>Lihat lampiran.</v>
          </cell>
        </row>
        <row r="951">
          <cell r="A951" t="str">
            <v>5.</v>
          </cell>
          <cell r="C951" t="str">
            <v>ANALISA HARGA SATUAN PEKERJAAN</v>
          </cell>
        </row>
        <row r="952">
          <cell r="C952" t="str">
            <v>Lihat perhitungan dalam FORMULIR STANDAR UNTUK</v>
          </cell>
        </row>
        <row r="953">
          <cell r="C953" t="str">
            <v>PEREKEMAN ANALISA MASING-MASING HARGA</v>
          </cell>
        </row>
        <row r="954">
          <cell r="C954" t="str">
            <v>SATUAN.</v>
          </cell>
        </row>
        <row r="955">
          <cell r="C955" t="str">
            <v>Didapat Harga Satuan Pekerjaan :</v>
          </cell>
        </row>
        <row r="957">
          <cell r="C957" t="str">
            <v xml:space="preserve">Rp.  </v>
          </cell>
          <cell r="D957">
            <v>83501.485866783711</v>
          </cell>
          <cell r="E957" t="str">
            <v xml:space="preserve"> / M'</v>
          </cell>
        </row>
        <row r="960">
          <cell r="A960" t="str">
            <v>6.</v>
          </cell>
          <cell r="C960" t="str">
            <v>WAKTU PELAKSANAAN YANG DIPERLUKAN</v>
          </cell>
        </row>
        <row r="961">
          <cell r="C961" t="str">
            <v>Masa Pelaksanaan :</v>
          </cell>
          <cell r="D961" t="str">
            <v>. . . . . . . . . . . .</v>
          </cell>
          <cell r="E961" t="str">
            <v>bulan</v>
          </cell>
        </row>
        <row r="963">
          <cell r="A963" t="str">
            <v>7.</v>
          </cell>
          <cell r="C963" t="str">
            <v>VOLUME PEKERJAAN YANG DIPERLUKAN</v>
          </cell>
        </row>
        <row r="964">
          <cell r="C964" t="str">
            <v>Volume pekerjaan  :</v>
          </cell>
          <cell r="D964">
            <v>1</v>
          </cell>
          <cell r="E964" t="str">
            <v>M'</v>
          </cell>
        </row>
        <row r="974">
          <cell r="A974" t="str">
            <v>ITEM PEMBAYARAN NO.</v>
          </cell>
          <cell r="D974" t="str">
            <v>:  2.3 (9)</v>
          </cell>
          <cell r="J974" t="str">
            <v xml:space="preserve">Analisa EI-241 </v>
          </cell>
        </row>
        <row r="975">
          <cell r="A975" t="str">
            <v>JENIS PEKERJAAN</v>
          </cell>
          <cell r="D975" t="str">
            <v>: Gorong-gorong persegi beton bertulang pracetak dengan dimensi………</v>
          </cell>
        </row>
        <row r="976">
          <cell r="A976" t="str">
            <v>SATUAN PEMBAYARAN</v>
          </cell>
          <cell r="D976" t="str">
            <v>:  M1</v>
          </cell>
          <cell r="J976" t="str">
            <v xml:space="preserve">         URAIAN ANALISA HARGA SATUAN</v>
          </cell>
        </row>
        <row r="978">
          <cell r="A978" t="str">
            <v>ITEM PEMBAYARAN NO.</v>
          </cell>
          <cell r="D978" t="str">
            <v>:  2.4 (1)</v>
          </cell>
          <cell r="J978" t="str">
            <v xml:space="preserve">Analisa EI-241 </v>
          </cell>
        </row>
        <row r="979">
          <cell r="A979" t="str">
            <v>JENIS PEKERJAAN</v>
          </cell>
          <cell r="D979" t="str">
            <v>:  Timbunan Porous / Bhn.Penyaring</v>
          </cell>
          <cell r="L979" t="str">
            <v>FORMULIR STANDAR UNTUK</v>
          </cell>
        </row>
        <row r="980">
          <cell r="A980" t="str">
            <v>SATUAN PEMBAYARAN</v>
          </cell>
          <cell r="D980" t="str">
            <v>:  M3</v>
          </cell>
          <cell r="J980" t="str">
            <v xml:space="preserve">         URAIAN ANALISA HARGA SATUAN</v>
          </cell>
          <cell r="L980" t="str">
            <v>PEREKAMAN ANALISA MASING-MASING HARGA SATUAN</v>
          </cell>
        </row>
        <row r="981">
          <cell r="L981" t="str">
            <v/>
          </cell>
        </row>
        <row r="983">
          <cell r="A983" t="str">
            <v>No.</v>
          </cell>
          <cell r="C983" t="str">
            <v>U R A I A N</v>
          </cell>
          <cell r="G983" t="str">
            <v>KODE</v>
          </cell>
          <cell r="H983" t="str">
            <v>KOEF.</v>
          </cell>
          <cell r="I983" t="str">
            <v>SATUAN</v>
          </cell>
          <cell r="J983" t="str">
            <v>KETERANGAN</v>
          </cell>
        </row>
        <row r="984">
          <cell r="L984" t="str">
            <v>PROYEK</v>
          </cell>
          <cell r="O984" t="str">
            <v>:</v>
          </cell>
        </row>
        <row r="985">
          <cell r="L985" t="str">
            <v>No. PAKET KONTRAK</v>
          </cell>
          <cell r="O985" t="str">
            <v>:</v>
          </cell>
        </row>
        <row r="986">
          <cell r="A986" t="str">
            <v>I.</v>
          </cell>
          <cell r="C986" t="str">
            <v>ASUMSI</v>
          </cell>
          <cell r="L986" t="str">
            <v>NAMA PAKET</v>
          </cell>
          <cell r="O986" t="str">
            <v>:</v>
          </cell>
        </row>
        <row r="987">
          <cell r="A987">
            <v>1</v>
          </cell>
          <cell r="C987" t="str">
            <v>Pekerjaan dilakukan secara manual</v>
          </cell>
          <cell r="L987" t="str">
            <v>PROP / KAB / KODYA</v>
          </cell>
          <cell r="O987" t="str">
            <v>:</v>
          </cell>
        </row>
        <row r="988">
          <cell r="A988">
            <v>2</v>
          </cell>
          <cell r="C988" t="str">
            <v>Lokasi pekerjaan : sepanjang jalan</v>
          </cell>
          <cell r="L988" t="str">
            <v>ITEM PEMBAYARAN NO.</v>
          </cell>
          <cell r="O988" t="str">
            <v>:  2.4 (1)</v>
          </cell>
          <cell r="R988" t="str">
            <v>PERKIRAAN VOL. PEK.</v>
          </cell>
          <cell r="T988" t="str">
            <v>:</v>
          </cell>
          <cell r="U988">
            <v>1</v>
          </cell>
        </row>
        <row r="989">
          <cell r="A989">
            <v>3</v>
          </cell>
          <cell r="C989" t="str">
            <v>Kondisi Jalan   :  sedang / baik</v>
          </cell>
          <cell r="L989" t="str">
            <v>JENIS PEKERJAAN</v>
          </cell>
          <cell r="O989" t="str">
            <v>:  Timbunan Porous / Bhn.Penyaring</v>
          </cell>
          <cell r="R989" t="str">
            <v>TOTAL HARGA (Rp.)</v>
          </cell>
          <cell r="T989" t="str">
            <v>:</v>
          </cell>
          <cell r="U989">
            <v>83501.485866783711</v>
          </cell>
        </row>
        <row r="990">
          <cell r="A990">
            <v>4</v>
          </cell>
          <cell r="C990" t="str">
            <v>Jam kerja efektif per-hari</v>
          </cell>
          <cell r="G990" t="str">
            <v>Tk</v>
          </cell>
          <cell r="H990">
            <v>7</v>
          </cell>
          <cell r="I990" t="str">
            <v>Jam</v>
          </cell>
          <cell r="L990" t="str">
            <v>SATUAN PEMBAYARAN</v>
          </cell>
          <cell r="O990" t="str">
            <v>:  M3</v>
          </cell>
          <cell r="R990" t="str">
            <v>% THD. BIAYA PROYEK</v>
          </cell>
          <cell r="T990" t="str">
            <v>:</v>
          </cell>
          <cell r="U990" t="e">
            <v>#DIV/0!</v>
          </cell>
        </row>
        <row r="991">
          <cell r="A991">
            <v>5</v>
          </cell>
          <cell r="C991" t="str">
            <v>Faktor kehilangan material</v>
          </cell>
          <cell r="G991" t="str">
            <v>Fh</v>
          </cell>
          <cell r="H991">
            <v>1.1000000000000001</v>
          </cell>
          <cell r="I991" t="str">
            <v>-</v>
          </cell>
        </row>
        <row r="992">
          <cell r="A992">
            <v>6</v>
          </cell>
          <cell r="C992" t="str">
            <v>Material Porous terdiri dari batu pecah dan pasir</v>
          </cell>
        </row>
        <row r="993">
          <cell r="Q993" t="str">
            <v>PERKIRAAN</v>
          </cell>
          <cell r="R993" t="str">
            <v>HARGA</v>
          </cell>
          <cell r="S993" t="str">
            <v>JUMLAH</v>
          </cell>
        </row>
        <row r="994">
          <cell r="A994" t="str">
            <v>II.</v>
          </cell>
          <cell r="C994" t="str">
            <v>URUTAN KERJA</v>
          </cell>
          <cell r="L994" t="str">
            <v>NO.</v>
          </cell>
          <cell r="N994" t="str">
            <v>KOMPONEN</v>
          </cell>
          <cell r="P994" t="str">
            <v>SATUAN</v>
          </cell>
          <cell r="Q994" t="str">
            <v>KUANTITAS</v>
          </cell>
          <cell r="R994" t="str">
            <v>SATUAN</v>
          </cell>
          <cell r="S994" t="str">
            <v>HARGA</v>
          </cell>
        </row>
        <row r="995">
          <cell r="A995">
            <v>1</v>
          </cell>
          <cell r="C995" t="str">
            <v>Material Porous diterima dilokasi pekerjaan</v>
          </cell>
          <cell r="R995" t="str">
            <v>(Rp.)</v>
          </cell>
          <cell r="S995" t="str">
            <v>(Rp.)</v>
          </cell>
        </row>
        <row r="996">
          <cell r="A996">
            <v>2</v>
          </cell>
          <cell r="C996" t="str">
            <v>Material dipadatkan dengan menggunakan</v>
          </cell>
        </row>
        <row r="997">
          <cell r="C997" t="str">
            <v>Tamper</v>
          </cell>
        </row>
        <row r="998">
          <cell r="A998">
            <v>3</v>
          </cell>
          <cell r="C998" t="str">
            <v>Pemadatan dilakukan lapis demi lapis</v>
          </cell>
          <cell r="G998" t="str">
            <v>t</v>
          </cell>
          <cell r="H998">
            <v>0.15</v>
          </cell>
          <cell r="I998" t="str">
            <v>M</v>
          </cell>
          <cell r="L998" t="str">
            <v>A.</v>
          </cell>
          <cell r="N998" t="str">
            <v>TENAGA</v>
          </cell>
        </row>
        <row r="999">
          <cell r="A999">
            <v>4</v>
          </cell>
          <cell r="C999" t="str">
            <v>Pekerjaan galian dilaksanakan oleh pekerja</v>
          </cell>
        </row>
        <row r="1000">
          <cell r="L1000" t="str">
            <v>1.</v>
          </cell>
          <cell r="N1000" t="str">
            <v>Pekerja</v>
          </cell>
          <cell r="O1000" t="str">
            <v>(L01)</v>
          </cell>
          <cell r="P1000" t="str">
            <v>Jam</v>
          </cell>
          <cell r="Q1000">
            <v>2.8</v>
          </cell>
          <cell r="R1000">
            <v>2857.14</v>
          </cell>
          <cell r="U1000">
            <v>7999.9919999999993</v>
          </cell>
        </row>
        <row r="1001">
          <cell r="A1001" t="str">
            <v>III.</v>
          </cell>
          <cell r="C1001" t="str">
            <v>PEMAKAIAN BAHAN, ALAT DAN TENAGA</v>
          </cell>
          <cell r="L1001" t="str">
            <v>2.</v>
          </cell>
          <cell r="N1001" t="str">
            <v>Mandor</v>
          </cell>
          <cell r="O1001" t="str">
            <v>(L03)</v>
          </cell>
          <cell r="P1001" t="str">
            <v>Jam</v>
          </cell>
          <cell r="Q1001">
            <v>0.7</v>
          </cell>
          <cell r="R1001">
            <v>3214.29</v>
          </cell>
          <cell r="U1001">
            <v>2250.0029999999997</v>
          </cell>
        </row>
        <row r="1002">
          <cell r="A1002" t="str">
            <v xml:space="preserve">   1.</v>
          </cell>
          <cell r="C1002" t="str">
            <v>BAHAN</v>
          </cell>
        </row>
        <row r="1003">
          <cell r="C1003" t="str">
            <v>Material Porous terdiri dari :</v>
          </cell>
        </row>
        <row r="1004">
          <cell r="C1004" t="str">
            <v>- Batu pecah</v>
          </cell>
          <cell r="G1004" t="str">
            <v>Bt</v>
          </cell>
          <cell r="H1004">
            <v>50</v>
          </cell>
          <cell r="I1004" t="str">
            <v>%</v>
          </cell>
          <cell r="Q1004" t="str">
            <v xml:space="preserve">JUMLAH HARGA TENAGA   </v>
          </cell>
          <cell r="U1004">
            <v>10249.994999999999</v>
          </cell>
        </row>
        <row r="1005">
          <cell r="C1005" t="str">
            <v>- Pasir</v>
          </cell>
          <cell r="G1005" t="str">
            <v>Ps</v>
          </cell>
          <cell r="H1005">
            <v>50</v>
          </cell>
          <cell r="I1005" t="str">
            <v>%</v>
          </cell>
        </row>
        <row r="1006">
          <cell r="L1006" t="str">
            <v>B.</v>
          </cell>
          <cell r="N1006" t="str">
            <v>BAHAN</v>
          </cell>
        </row>
        <row r="1007">
          <cell r="C1007" t="str">
            <v>Kebutuhan Batu Pecah / M3  = (Bt : 100) x Fh</v>
          </cell>
          <cell r="G1007" t="str">
            <v>(M03)</v>
          </cell>
          <cell r="H1007">
            <v>0.55000000000000004</v>
          </cell>
          <cell r="I1007" t="str">
            <v>M3</v>
          </cell>
          <cell r="J1007" t="str">
            <v xml:space="preserve"> Agregat Kasar</v>
          </cell>
        </row>
        <row r="1008">
          <cell r="C1008" t="str">
            <v>Kebutuhan Pasir / M3   =  (Ps : 100) x Fh</v>
          </cell>
          <cell r="G1008" t="str">
            <v>(M01)</v>
          </cell>
          <cell r="H1008">
            <v>0.55000000000000004</v>
          </cell>
          <cell r="I1008" t="str">
            <v>M3</v>
          </cell>
          <cell r="L1008" t="str">
            <v>1.</v>
          </cell>
          <cell r="N1008" t="str">
            <v>Agregat Kasar</v>
          </cell>
          <cell r="O1008" t="str">
            <v>(M03)</v>
          </cell>
          <cell r="P1008" t="str">
            <v>M3</v>
          </cell>
          <cell r="Q1008">
            <v>0.55000000000000004</v>
          </cell>
          <cell r="R1008">
            <v>222345.54558042376</v>
          </cell>
          <cell r="U1008">
            <v>122290.05006923308</v>
          </cell>
        </row>
        <row r="1009">
          <cell r="L1009" t="str">
            <v>2.</v>
          </cell>
          <cell r="N1009" t="str">
            <v>Pasir</v>
          </cell>
          <cell r="O1009" t="str">
            <v>(M01)</v>
          </cell>
          <cell r="P1009" t="str">
            <v>M3</v>
          </cell>
          <cell r="Q1009">
            <v>0.55000000000000004</v>
          </cell>
          <cell r="R1009">
            <v>54300</v>
          </cell>
          <cell r="U1009">
            <v>29865.000000000004</v>
          </cell>
        </row>
        <row r="1011">
          <cell r="A1011" t="str">
            <v xml:space="preserve">   2.</v>
          </cell>
          <cell r="C1011" t="str">
            <v>ALAT</v>
          </cell>
        </row>
        <row r="1012">
          <cell r="A1012" t="str">
            <v>2.a.</v>
          </cell>
          <cell r="C1012" t="str">
            <v>HAND COMPACTOR</v>
          </cell>
          <cell r="G1012" t="str">
            <v>(E25)</v>
          </cell>
        </row>
        <row r="1013">
          <cell r="C1013" t="str">
            <v>Kecepatan</v>
          </cell>
          <cell r="G1013" t="str">
            <v>v</v>
          </cell>
          <cell r="H1013">
            <v>0.25</v>
          </cell>
          <cell r="I1013" t="str">
            <v>Km / Jam</v>
          </cell>
        </row>
        <row r="1014">
          <cell r="C1014" t="str">
            <v>Efisiensi alat</v>
          </cell>
          <cell r="G1014" t="str">
            <v>Fa</v>
          </cell>
          <cell r="H1014">
            <v>0.83</v>
          </cell>
          <cell r="I1014" t="str">
            <v>-</v>
          </cell>
          <cell r="Q1014" t="str">
            <v xml:space="preserve">JUMLAH HARGA BAHAN   </v>
          </cell>
          <cell r="U1014">
            <v>152155.05006923308</v>
          </cell>
        </row>
        <row r="1015">
          <cell r="C1015" t="str">
            <v>Lebar pemadatan</v>
          </cell>
          <cell r="G1015" t="str">
            <v>b</v>
          </cell>
          <cell r="H1015">
            <v>0.25</v>
          </cell>
          <cell r="I1015" t="str">
            <v>M</v>
          </cell>
        </row>
        <row r="1016">
          <cell r="C1016" t="str">
            <v>Banyak lintasan</v>
          </cell>
          <cell r="G1016" t="str">
            <v>n</v>
          </cell>
          <cell r="H1016">
            <v>10</v>
          </cell>
          <cell r="I1016" t="str">
            <v>lintasan</v>
          </cell>
          <cell r="L1016" t="str">
            <v>C.</v>
          </cell>
          <cell r="N1016" t="str">
            <v>PERALATAN</v>
          </cell>
        </row>
        <row r="1018">
          <cell r="L1018" t="str">
            <v>1.</v>
          </cell>
          <cell r="N1018" t="str">
            <v>Tamper</v>
          </cell>
          <cell r="O1018" t="str">
            <v>(E25)</v>
          </cell>
          <cell r="P1018" t="str">
            <v>Jam</v>
          </cell>
          <cell r="Q1018">
            <v>1.285140562248996</v>
          </cell>
          <cell r="R1018">
            <v>18672.16854694486</v>
          </cell>
          <cell r="U1018">
            <v>23996.361184828736</v>
          </cell>
        </row>
        <row r="1019">
          <cell r="C1019" t="str">
            <v>Kap. Prod. / Jam   =</v>
          </cell>
          <cell r="D1019" t="str">
            <v>v x 1000 x Fa x b x t</v>
          </cell>
          <cell r="G1019" t="str">
            <v>Q1</v>
          </cell>
          <cell r="H1019">
            <v>0.77812499999999996</v>
          </cell>
          <cell r="I1019" t="str">
            <v xml:space="preserve">M3 / Jam </v>
          </cell>
          <cell r="L1019" t="str">
            <v>2.</v>
          </cell>
          <cell r="N1019" t="str">
            <v>Alat  Bantu</v>
          </cell>
          <cell r="P1019" t="str">
            <v>Ls</v>
          </cell>
          <cell r="Q1019">
            <v>1</v>
          </cell>
          <cell r="R1019">
            <v>500</v>
          </cell>
          <cell r="U1019">
            <v>500</v>
          </cell>
        </row>
        <row r="1020">
          <cell r="D1020" t="str">
            <v xml:space="preserve">        n</v>
          </cell>
        </row>
        <row r="1022">
          <cell r="C1022" t="str">
            <v>Koefisien Alat / M3</v>
          </cell>
          <cell r="D1022" t="str">
            <v xml:space="preserve"> =  1  :  Q1</v>
          </cell>
          <cell r="G1022" t="str">
            <v>(E25)</v>
          </cell>
          <cell r="H1022">
            <v>1.285140562248996</v>
          </cell>
          <cell r="I1022" t="str">
            <v>Jam</v>
          </cell>
        </row>
        <row r="1025">
          <cell r="A1025" t="str">
            <v>2.b.</v>
          </cell>
          <cell r="C1025" t="str">
            <v>ALAT  BANTU</v>
          </cell>
        </row>
        <row r="1026">
          <cell r="C1026" t="str">
            <v>Diperlukan alat-alat bantu kecil</v>
          </cell>
          <cell r="J1026" t="str">
            <v>Lump Sump</v>
          </cell>
          <cell r="Q1026" t="str">
            <v xml:space="preserve">JUMLAH HARGA PERALATAN   </v>
          </cell>
          <cell r="U1026">
            <v>24496.361184828736</v>
          </cell>
        </row>
        <row r="1027">
          <cell r="C1027" t="str">
            <v>- Sekop    =         3   buah</v>
          </cell>
        </row>
        <row r="1028">
          <cell r="C1028" t="str">
            <v>- Alat-alat kecil lain</v>
          </cell>
          <cell r="L1028" t="str">
            <v>D.</v>
          </cell>
          <cell r="N1028" t="str">
            <v>JUMLAH HARGA TENAGA, BAHAN DAN PERALATAN  ( A + B + C )</v>
          </cell>
          <cell r="U1028">
            <v>186901.40625406182</v>
          </cell>
        </row>
        <row r="1029">
          <cell r="L1029" t="str">
            <v>E.</v>
          </cell>
          <cell r="N1029" t="str">
            <v>OVERHEAD &amp; PROFIT</v>
          </cell>
          <cell r="P1029">
            <v>10</v>
          </cell>
          <cell r="Q1029" t="str">
            <v>%  x  D</v>
          </cell>
          <cell r="U1029">
            <v>18690.140625406184</v>
          </cell>
        </row>
        <row r="1030">
          <cell r="L1030" t="str">
            <v>F.</v>
          </cell>
          <cell r="N1030" t="str">
            <v>HARGA SATUAN PEKERJAAN  ( D + E )</v>
          </cell>
          <cell r="U1030">
            <v>205591.54687946799</v>
          </cell>
        </row>
        <row r="1031">
          <cell r="L1031" t="str">
            <v>Note: 1</v>
          </cell>
          <cell r="N1031" t="str">
            <v>SATUAN dapat berdasarkan atas jam operasi untuk Tenaga Kerja dan Peralatan, volume dan/atau ukuran</v>
          </cell>
        </row>
        <row r="1032">
          <cell r="N1032" t="str">
            <v>berat untuk bahan-bahan.</v>
          </cell>
        </row>
        <row r="1033">
          <cell r="L1033">
            <v>2</v>
          </cell>
          <cell r="N1033" t="str">
            <v>Kuantitas satuan adalah kuantitas setiap komponen untuk menyelesaikan satu satuan pekerjaan dari nomor</v>
          </cell>
        </row>
        <row r="1034">
          <cell r="N1034" t="str">
            <v>mata pembayaran.</v>
          </cell>
        </row>
        <row r="1035">
          <cell r="L1035">
            <v>3</v>
          </cell>
          <cell r="N1035" t="str">
            <v>Biaya satuan untuk peralatan sudah termasuk bahan bakar, bahan habis dipakai dan operator.</v>
          </cell>
        </row>
        <row r="1036">
          <cell r="L1036">
            <v>4</v>
          </cell>
          <cell r="N1036" t="str">
            <v>Biaya satuan sudah termasuk pengeluaran untuk seluruh pajak yang berkaitan (tetapi tidak termasuk PPN</v>
          </cell>
        </row>
        <row r="1037">
          <cell r="N1037" t="str">
            <v>yang dibayar dari kontrak) dan biaya-biaya lainnya.</v>
          </cell>
        </row>
        <row r="1038">
          <cell r="J1038" t="str">
            <v>Berlanjut ke halaman berikut</v>
          </cell>
        </row>
        <row r="1039">
          <cell r="A1039" t="str">
            <v>ITEM PEMBAYARAN NO.</v>
          </cell>
          <cell r="D1039" t="str">
            <v>:  2.4 (1)</v>
          </cell>
          <cell r="J1039" t="str">
            <v xml:space="preserve">Analisa EI-241 </v>
          </cell>
        </row>
        <row r="1040">
          <cell r="A1040" t="str">
            <v>JENIS PEKERJAAN</v>
          </cell>
          <cell r="D1040" t="str">
            <v>:  Timbunan Porous / Bhn.Penyaring</v>
          </cell>
        </row>
        <row r="1041">
          <cell r="A1041" t="str">
            <v>SATUAN PEMBAYARAN</v>
          </cell>
          <cell r="D1041" t="str">
            <v>:  M3</v>
          </cell>
          <cell r="J1041" t="str">
            <v xml:space="preserve">         URAIAN ANALISA HARGA SATUAN</v>
          </cell>
        </row>
        <row r="1042">
          <cell r="J1042" t="str">
            <v>Lanjutan</v>
          </cell>
        </row>
        <row r="1044">
          <cell r="A1044" t="str">
            <v>No.</v>
          </cell>
          <cell r="C1044" t="str">
            <v>U R A I A N</v>
          </cell>
          <cell r="G1044" t="str">
            <v>KODE</v>
          </cell>
          <cell r="H1044" t="str">
            <v>KOEF.</v>
          </cell>
          <cell r="I1044" t="str">
            <v>SATUAN</v>
          </cell>
          <cell r="J1044" t="str">
            <v>KETERANGAN</v>
          </cell>
        </row>
        <row r="1047">
          <cell r="A1047" t="str">
            <v xml:space="preserve">   3.</v>
          </cell>
          <cell r="C1047" t="str">
            <v>TENAGA</v>
          </cell>
        </row>
        <row r="1048">
          <cell r="C1048" t="str">
            <v>Produksi yang dapat diselesaikan / hari</v>
          </cell>
          <cell r="G1048" t="str">
            <v>Qt</v>
          </cell>
          <cell r="H1048">
            <v>10</v>
          </cell>
          <cell r="I1048" t="str">
            <v>M3</v>
          </cell>
        </row>
        <row r="1049">
          <cell r="C1049" t="str">
            <v>Kebutuhan tenaga :</v>
          </cell>
        </row>
        <row r="1050">
          <cell r="D1050" t="str">
            <v>- Pekerja</v>
          </cell>
          <cell r="G1050" t="str">
            <v>P</v>
          </cell>
          <cell r="H1050">
            <v>4</v>
          </cell>
          <cell r="I1050" t="str">
            <v>orang</v>
          </cell>
        </row>
        <row r="1051">
          <cell r="D1051" t="str">
            <v>- Mandor</v>
          </cell>
          <cell r="G1051" t="str">
            <v>M</v>
          </cell>
          <cell r="H1051">
            <v>1</v>
          </cell>
          <cell r="I1051" t="str">
            <v>orang</v>
          </cell>
        </row>
        <row r="1054">
          <cell r="C1054" t="str">
            <v>Koefisien tenaga / M3   :</v>
          </cell>
        </row>
        <row r="1055">
          <cell r="D1055" t="str">
            <v>- Pekerja</v>
          </cell>
          <cell r="E1055" t="str">
            <v>= (Tk x P) : Qt</v>
          </cell>
          <cell r="G1055" t="str">
            <v>(L01)</v>
          </cell>
          <cell r="H1055">
            <v>2.8</v>
          </cell>
          <cell r="I1055" t="str">
            <v>Jam</v>
          </cell>
        </row>
        <row r="1056">
          <cell r="D1056" t="str">
            <v>- Mandor</v>
          </cell>
          <cell r="E1056" t="str">
            <v>= (Tk x M) : Qt</v>
          </cell>
          <cell r="G1056" t="str">
            <v>(L03)</v>
          </cell>
          <cell r="H1056">
            <v>0.7</v>
          </cell>
          <cell r="I1056" t="str">
            <v>Jam</v>
          </cell>
        </row>
        <row r="1059">
          <cell r="A1059" t="str">
            <v>4.</v>
          </cell>
          <cell r="C1059" t="str">
            <v>HARGA DASAR SATUAN UPAH, BAHAN DAN ALAT</v>
          </cell>
        </row>
        <row r="1060">
          <cell r="C1060" t="str">
            <v>Lihat lampiran.</v>
          </cell>
        </row>
        <row r="1063">
          <cell r="A1063" t="str">
            <v>5.</v>
          </cell>
          <cell r="C1063" t="str">
            <v>ANALISA HARGA SATUAN PEKERJAAN</v>
          </cell>
        </row>
        <row r="1064">
          <cell r="C1064" t="str">
            <v>Lihat perhitungan dalam FORMULIR STANDAR UNTUK</v>
          </cell>
        </row>
        <row r="1065">
          <cell r="C1065" t="str">
            <v>PEREKEMAN ANALISA MASING-MASING HARGA</v>
          </cell>
        </row>
        <row r="1066">
          <cell r="C1066" t="str">
            <v>SATUAN.</v>
          </cell>
        </row>
        <row r="1067">
          <cell r="C1067" t="str">
            <v>Didapat Harga Satuan Pekerjaan :</v>
          </cell>
        </row>
        <row r="1069">
          <cell r="C1069" t="str">
            <v xml:space="preserve">Rp.  </v>
          </cell>
          <cell r="D1069">
            <v>205591.54687946799</v>
          </cell>
          <cell r="E1069" t="str">
            <v xml:space="preserve"> / M3</v>
          </cell>
        </row>
        <row r="1072">
          <cell r="A1072" t="str">
            <v>6.</v>
          </cell>
          <cell r="C1072" t="str">
            <v>WAKTU PELAKSANAAN YANG DIPERLUKAN</v>
          </cell>
        </row>
        <row r="1073">
          <cell r="C1073" t="str">
            <v>Masa Pelaksanaan :</v>
          </cell>
          <cell r="D1073" t="str">
            <v>. . . . . . . . . . . .</v>
          </cell>
          <cell r="E1073" t="str">
            <v>bulan</v>
          </cell>
        </row>
        <row r="1075">
          <cell r="A1075" t="str">
            <v>7.</v>
          </cell>
          <cell r="C1075" t="str">
            <v>VOLUME PEKERJAAN YANG DIPERLUKAN</v>
          </cell>
        </row>
        <row r="1076">
          <cell r="C1076" t="str">
            <v>Volume pekerjaan  :</v>
          </cell>
          <cell r="D1076">
            <v>1</v>
          </cell>
          <cell r="E1076" t="str">
            <v>M3</v>
          </cell>
        </row>
        <row r="1097">
          <cell r="T1097" t="str">
            <v xml:space="preserve">Analisa LI-242 </v>
          </cell>
        </row>
        <row r="1098">
          <cell r="A1098" t="str">
            <v>ITEM PEMBAYARAN NO.</v>
          </cell>
          <cell r="D1098" t="str">
            <v>:  2.4 (2)</v>
          </cell>
          <cell r="J1098" t="str">
            <v xml:space="preserve">Analisa LI-242 </v>
          </cell>
        </row>
        <row r="1099">
          <cell r="A1099" t="str">
            <v>JENIS PEKERJAAN</v>
          </cell>
          <cell r="D1099" t="str">
            <v>:  Anyaman Filter Plastik</v>
          </cell>
          <cell r="L1099" t="str">
            <v>FORMULIR STANDAR UNTUK</v>
          </cell>
        </row>
        <row r="1100">
          <cell r="A1100" t="str">
            <v>SATUAN PEMBAYARAN</v>
          </cell>
          <cell r="D1100" t="str">
            <v>:  M2</v>
          </cell>
          <cell r="J1100" t="str">
            <v xml:space="preserve">         URAIAN ANALISA HARGA SATUAN</v>
          </cell>
          <cell r="L1100" t="str">
            <v>PEREKAMAN ANALISA MASING-MASING HARGA SATUAN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</sheetNames>
    <sheetDataSet>
      <sheetData sheetId="0">
        <row r="1">
          <cell r="A1" t="str">
            <v>ITEM PEMBAYARAN NO.</v>
          </cell>
          <cell r="D1" t="str">
            <v>:  4.2 (1)</v>
          </cell>
          <cell r="J1" t="str">
            <v>Analisa EI-421</v>
          </cell>
          <cell r="T1" t="str">
            <v>Analisa EI-421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 t="str">
            <v/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4.2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Lebar bahu jalan</v>
          </cell>
          <cell r="G17" t="str">
            <v>Lb</v>
          </cell>
          <cell r="H17">
            <v>1</v>
          </cell>
          <cell r="I17" t="str">
            <v>M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9</v>
          </cell>
          <cell r="C18" t="str">
            <v>Proporsi Campuran :</v>
          </cell>
          <cell r="D18" t="str">
            <v>- Agregat Kasar</v>
          </cell>
          <cell r="G18" t="str">
            <v>Ak</v>
          </cell>
          <cell r="H18">
            <v>55</v>
          </cell>
          <cell r="I18" t="str">
            <v>%</v>
          </cell>
          <cell r="J18" t="str">
            <v xml:space="preserve"> Gradasi harus -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D19" t="str">
            <v>- Agregat Halus</v>
          </cell>
          <cell r="G19" t="str">
            <v>Ah</v>
          </cell>
          <cell r="H19">
            <v>45</v>
          </cell>
          <cell r="I19" t="str">
            <v>%</v>
          </cell>
          <cell r="J19" t="str">
            <v xml:space="preserve"> memenuhi Spec.</v>
          </cell>
          <cell r="R19" t="str">
            <v>(Rp.)</v>
          </cell>
          <cell r="S19" t="str">
            <v>(Rp.)</v>
          </cell>
        </row>
        <row r="20">
          <cell r="A20" t="str">
            <v>II.</v>
          </cell>
          <cell r="C20" t="str">
            <v>URUTAN KERJA</v>
          </cell>
        </row>
        <row r="21">
          <cell r="A21">
            <v>1</v>
          </cell>
          <cell r="C21" t="str">
            <v xml:space="preserve">Wheel Loader mencampur &amp; memuat Agregat ke </v>
          </cell>
        </row>
        <row r="22">
          <cell r="C22" t="str">
            <v>dalam Dump Truck di Base Camp</v>
          </cell>
          <cell r="L22" t="str">
            <v>A.</v>
          </cell>
          <cell r="N22" t="str">
            <v>TENAGA</v>
          </cell>
        </row>
        <row r="23">
          <cell r="A23">
            <v>2</v>
          </cell>
          <cell r="C23" t="str">
            <v>Dump Truck mengangkut Agregat ke lokasi</v>
          </cell>
        </row>
        <row r="24">
          <cell r="C24" t="str">
            <v>pekerjaan dan dihampar dengan Motor Grader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A25">
            <v>3</v>
          </cell>
          <cell r="C25" t="str">
            <v>Hamparan Agregat dibasahi dengan Water Tank Truck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sebelum dipadatkan dengan Tandem Roller &amp; PTR</v>
          </cell>
        </row>
        <row r="27">
          <cell r="A27">
            <v>4</v>
          </cell>
          <cell r="C27" t="str">
            <v>Selama pemadatan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L30" t="str">
            <v>B.</v>
          </cell>
          <cell r="N30" t="str">
            <v>BAHAN</v>
          </cell>
        </row>
        <row r="31">
          <cell r="A31" t="str">
            <v>III.</v>
          </cell>
          <cell r="C31" t="str">
            <v>PEMAKAIAN BAHAN, ALAT DAN TENAGA</v>
          </cell>
        </row>
        <row r="32">
          <cell r="L32" t="str">
            <v>1.</v>
          </cell>
          <cell r="N32" t="str">
            <v>Agregat Kasar  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A33" t="str">
            <v xml:space="preserve">   1.</v>
          </cell>
          <cell r="C33" t="str">
            <v>BAHAN</v>
          </cell>
          <cell r="L33" t="str">
            <v>2.</v>
          </cell>
          <cell r="N33" t="str">
            <v>Agregat Halus 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Kasar</v>
          </cell>
          <cell r="D34" t="str">
            <v>=  Ak x 1 M3 x Fk</v>
          </cell>
          <cell r="G34" t="str">
            <v>M03</v>
          </cell>
          <cell r="H34">
            <v>0.66</v>
          </cell>
          <cell r="I34" t="str">
            <v>M3</v>
          </cell>
        </row>
        <row r="35">
          <cell r="C35" t="str">
            <v>- Agregat Halus</v>
          </cell>
          <cell r="D35" t="str">
            <v>=  Ah x 1 M3 x Fk</v>
          </cell>
          <cell r="G35" t="str">
            <v>M04</v>
          </cell>
          <cell r="H35">
            <v>0.54</v>
          </cell>
          <cell r="I35" t="str">
            <v>M3</v>
          </cell>
        </row>
        <row r="37">
          <cell r="A37" t="str">
            <v xml:space="preserve">   2.</v>
          </cell>
          <cell r="C37" t="str">
            <v>ALAT</v>
          </cell>
        </row>
        <row r="38">
          <cell r="A38" t="str">
            <v>2.a.</v>
          </cell>
          <cell r="C38" t="str">
            <v>WHEEL LOADER</v>
          </cell>
          <cell r="G38" t="str">
            <v>(E15)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Kapasitas bucket</v>
          </cell>
          <cell r="G39" t="str">
            <v>V</v>
          </cell>
          <cell r="H39">
            <v>1.5</v>
          </cell>
          <cell r="I39" t="str">
            <v>M3</v>
          </cell>
        </row>
        <row r="40">
          <cell r="C40" t="str">
            <v>Faktor bucket</v>
          </cell>
          <cell r="G40" t="str">
            <v>Fb</v>
          </cell>
          <cell r="H40">
            <v>0.9</v>
          </cell>
          <cell r="I40" t="str">
            <v>-</v>
          </cell>
          <cell r="J40" t="str">
            <v>Pemuatan ringan</v>
          </cell>
          <cell r="L40" t="str">
            <v>C.</v>
          </cell>
          <cell r="N40" t="str">
            <v>PERALATAN</v>
          </cell>
        </row>
        <row r="41">
          <cell r="C41" t="str">
            <v>Faktor Efisiensi alat</v>
          </cell>
          <cell r="G41" t="str">
            <v>Fa</v>
          </cell>
          <cell r="H41">
            <v>0.83</v>
          </cell>
          <cell r="I41" t="str">
            <v>-</v>
          </cell>
        </row>
        <row r="42">
          <cell r="C42" t="str">
            <v>Waktu siklus</v>
          </cell>
          <cell r="G42" t="str">
            <v>Ts1</v>
          </cell>
          <cell r="L42" t="str">
            <v>1</v>
          </cell>
          <cell r="N42" t="str">
            <v>Wheel Loader</v>
          </cell>
          <cell r="O42" t="str">
            <v>E15</v>
          </cell>
          <cell r="P42" t="str">
            <v>Jam</v>
          </cell>
          <cell r="Q42">
            <v>3.5698348951360995E-2</v>
          </cell>
          <cell r="R42">
            <v>163808.13869490434</v>
          </cell>
          <cell r="U42">
            <v>5847.680096203635</v>
          </cell>
        </row>
        <row r="43">
          <cell r="C43" t="str">
            <v>- Mencampur</v>
          </cell>
          <cell r="G43" t="str">
            <v>T1</v>
          </cell>
          <cell r="H43">
            <v>1.5</v>
          </cell>
          <cell r="I43" t="str">
            <v>menit</v>
          </cell>
          <cell r="L43" t="str">
            <v>2</v>
          </cell>
          <cell r="N43" t="str">
            <v>Dump Truck</v>
          </cell>
          <cell r="O43" t="str">
            <v>E09</v>
          </cell>
          <cell r="P43" t="str">
            <v>Jam</v>
          </cell>
          <cell r="Q43">
            <v>0.14542063837680036</v>
          </cell>
          <cell r="R43">
            <v>70230.073977639215</v>
          </cell>
          <cell r="U43">
            <v>10212.90219107821</v>
          </cell>
        </row>
        <row r="44">
          <cell r="C44" t="str">
            <v>- Memuat dan lain-lain</v>
          </cell>
          <cell r="G44" t="str">
            <v>T2</v>
          </cell>
          <cell r="H44">
            <v>0.5</v>
          </cell>
          <cell r="I44" t="str">
            <v>menit</v>
          </cell>
          <cell r="L44" t="str">
            <v>3</v>
          </cell>
          <cell r="N44" t="str">
            <v>Motor Grader</v>
          </cell>
          <cell r="O44" t="str">
            <v>E13</v>
          </cell>
          <cell r="P44" t="str">
            <v>Jam</v>
          </cell>
          <cell r="Q44">
            <v>1.1713520749665328E-2</v>
          </cell>
          <cell r="R44">
            <v>201666.62574070093</v>
          </cell>
          <cell r="U44">
            <v>2362.2262051286921</v>
          </cell>
        </row>
        <row r="45">
          <cell r="G45" t="str">
            <v>Ts1</v>
          </cell>
          <cell r="H45">
            <v>2</v>
          </cell>
          <cell r="I45" t="str">
            <v>menit</v>
          </cell>
          <cell r="L45" t="str">
            <v>4</v>
          </cell>
          <cell r="N45" t="str">
            <v>Tandem Roller</v>
          </cell>
          <cell r="O45" t="str">
            <v>E17</v>
          </cell>
          <cell r="P45" t="str">
            <v>Jam</v>
          </cell>
          <cell r="Q45">
            <v>1.7849174475680501E-2</v>
          </cell>
          <cell r="R45">
            <v>293927.19306224468</v>
          </cell>
          <cell r="U45">
            <v>5246.3577521150328</v>
          </cell>
        </row>
        <row r="46">
          <cell r="L46" t="str">
            <v>5</v>
          </cell>
          <cell r="N46" t="str">
            <v>Water Tanker</v>
          </cell>
          <cell r="O46" t="str">
            <v>E23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C47" t="str">
            <v>Kap. Prod. / jam =</v>
          </cell>
          <cell r="D47" t="str">
            <v>V x Fb x Fa x 60</v>
          </cell>
          <cell r="G47" t="str">
            <v>Q1</v>
          </cell>
          <cell r="H47">
            <v>28.012500000000003</v>
          </cell>
          <cell r="I47" t="str">
            <v>M3</v>
          </cell>
          <cell r="L47" t="str">
            <v>6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D48" t="str">
            <v>Fk x Ts1</v>
          </cell>
        </row>
        <row r="49">
          <cell r="C49" t="str">
            <v>Koefisien Alat / M3</v>
          </cell>
          <cell r="D49" t="str">
            <v xml:space="preserve"> =  1  :  Q1</v>
          </cell>
          <cell r="G49" t="str">
            <v>(E15)</v>
          </cell>
          <cell r="H49">
            <v>3.5698348951360995E-2</v>
          </cell>
          <cell r="I49" t="str">
            <v>Jam</v>
          </cell>
        </row>
        <row r="50">
          <cell r="Q50" t="str">
            <v xml:space="preserve">JUMLAH HARGA PERALATAN   </v>
          </cell>
          <cell r="U50">
            <v>25157.249307366055</v>
          </cell>
        </row>
        <row r="51">
          <cell r="A51" t="str">
            <v>2.b.</v>
          </cell>
          <cell r="C51" t="str">
            <v>DUMP TRUCK</v>
          </cell>
          <cell r="G51" t="str">
            <v>(E09)</v>
          </cell>
        </row>
        <row r="52">
          <cell r="C52" t="str">
            <v>Kapasitas bak</v>
          </cell>
          <cell r="G52" t="str">
            <v>V</v>
          </cell>
          <cell r="H52">
            <v>6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277600.24268880818</v>
          </cell>
        </row>
        <row r="53">
          <cell r="C53" t="str">
            <v>Faktor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27760.024268880821</v>
          </cell>
        </row>
        <row r="54">
          <cell r="C54" t="str">
            <v>Kecepatan rata-rata bermuatan</v>
          </cell>
          <cell r="G54" t="str">
            <v>v1</v>
          </cell>
          <cell r="H54">
            <v>45</v>
          </cell>
          <cell r="I54" t="str">
            <v>KM / Jam</v>
          </cell>
          <cell r="L54" t="str">
            <v>F.</v>
          </cell>
          <cell r="N54" t="str">
            <v>HARGA SATUAN PEKERJAAN  ( D + E )</v>
          </cell>
          <cell r="U54">
            <v>305360.26695768902</v>
          </cell>
        </row>
        <row r="55">
          <cell r="C55" t="str">
            <v>Kecepatan rata-rata kosong</v>
          </cell>
          <cell r="G55" t="str">
            <v>v2</v>
          </cell>
          <cell r="H55">
            <v>60</v>
          </cell>
          <cell r="I55" t="str">
            <v>KM / 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Siklus  :  - Waktu memuat = V : Q1 x 60</v>
          </cell>
          <cell r="G56" t="str">
            <v>T1</v>
          </cell>
          <cell r="H56">
            <v>12.851405622489958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isi = (L : v1) x 60 menit</v>
          </cell>
          <cell r="G57" t="str">
            <v>T2</v>
          </cell>
          <cell r="H57">
            <v>11.633333333333333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 = (L : v2) x 60 menit</v>
          </cell>
          <cell r="G58" t="str">
            <v>T3</v>
          </cell>
          <cell r="H58">
            <v>8.7249999999999996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 termasuk menurunkan Agregat</v>
          </cell>
          <cell r="G59" t="str">
            <v>T4</v>
          </cell>
          <cell r="H59">
            <v>3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36.20973895582329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4.2 (1)</v>
          </cell>
          <cell r="J62" t="str">
            <v>Analisa EI-421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J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 xml:space="preserve">Kap. Prod./jam = 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 = 1 : Q2</v>
          </cell>
          <cell r="D72" t="str">
            <v xml:space="preserve"> =  1 : Q2</v>
          </cell>
          <cell r="G72" t="str">
            <v>(E08)</v>
          </cell>
          <cell r="H72">
            <v>0.14542063837680036</v>
          </cell>
          <cell r="I72" t="str">
            <v>Jam</v>
          </cell>
        </row>
        <row r="74">
          <cell r="A74" t="str">
            <v>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 / 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>3 x pp</v>
          </cell>
        </row>
        <row r="80">
          <cell r="C80" t="str">
            <v>Waktu Siklus</v>
          </cell>
          <cell r="G80" t="str">
            <v>Ts3</v>
          </cell>
        </row>
        <row r="81">
          <cell r="C81" t="str">
            <v>- Perataan 1 lintasan  = (Lh x 60) : (v x 1000)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5">
          <cell r="C85" t="str">
            <v>Kap.Prod.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1 :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9">
          <cell r="A89" t="str">
            <v>2.d.</v>
          </cell>
          <cell r="C89" t="str">
            <v>TANDEM ROLLER</v>
          </cell>
          <cell r="G89" t="str">
            <v>(E17)</v>
          </cell>
        </row>
        <row r="90">
          <cell r="C90" t="str">
            <v>Kecepatan rata-rata</v>
          </cell>
          <cell r="G90" t="str">
            <v>v</v>
          </cell>
          <cell r="H90">
            <v>3</v>
          </cell>
          <cell r="I90" t="str">
            <v>KM / 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5">
          <cell r="C95" t="str">
            <v>Kap.Prod.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1 : Q4</v>
          </cell>
          <cell r="G97" t="str">
            <v>(E17)</v>
          </cell>
          <cell r="H97">
            <v>1.7849174475680501E-2</v>
          </cell>
          <cell r="I97" t="str">
            <v>Jam</v>
          </cell>
        </row>
        <row r="99">
          <cell r="A99" t="str">
            <v>2.e.</v>
          </cell>
          <cell r="C99" t="str">
            <v>WATERTANK TRUCK</v>
          </cell>
          <cell r="G99" t="str">
            <v>(E23)</v>
          </cell>
        </row>
        <row r="100">
          <cell r="C100" t="str">
            <v>Volume tangki air</v>
          </cell>
          <cell r="G100" t="str">
            <v>V</v>
          </cell>
          <cell r="H100">
            <v>4</v>
          </cell>
          <cell r="I100" t="str">
            <v>M3</v>
          </cell>
        </row>
        <row r="101">
          <cell r="C101" t="str">
            <v>Kebutuhan air / M3 agregat padat</v>
          </cell>
          <cell r="G101" t="str">
            <v>Wc</v>
          </cell>
          <cell r="H101">
            <v>7.0000000000000007E-2</v>
          </cell>
          <cell r="I101" t="str">
            <v>M3</v>
          </cell>
        </row>
        <row r="102">
          <cell r="C102" t="str">
            <v>Pengisian tangki / jam</v>
          </cell>
          <cell r="G102" t="str">
            <v>n</v>
          </cell>
          <cell r="H102">
            <v>1</v>
          </cell>
          <cell r="I102" t="str">
            <v>kali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5">
          <cell r="C105" t="str">
            <v>Kap.Prod. / jam =</v>
          </cell>
          <cell r="D105" t="str">
            <v>V x n x Fa</v>
          </cell>
          <cell r="G105" t="str">
            <v>Q5</v>
          </cell>
          <cell r="H105">
            <v>47.428571428571423</v>
          </cell>
          <cell r="I105" t="str">
            <v>M3</v>
          </cell>
        </row>
        <row r="106">
          <cell r="D106" t="str">
            <v>Wc</v>
          </cell>
        </row>
        <row r="107">
          <cell r="C107" t="str">
            <v>Koefisien Alat / M3</v>
          </cell>
          <cell r="D107" t="str">
            <v xml:space="preserve"> = 1 : Q5</v>
          </cell>
          <cell r="G107" t="str">
            <v>(E23)</v>
          </cell>
          <cell r="H107">
            <v>2.1084337349397592E-2</v>
          </cell>
          <cell r="I107" t="str">
            <v>Jam</v>
          </cell>
        </row>
        <row r="110">
          <cell r="A110" t="str">
            <v>2.g.</v>
          </cell>
          <cell r="C110" t="str">
            <v>ALAT BANTU</v>
          </cell>
        </row>
        <row r="111">
          <cell r="C111" t="str">
            <v>diperlukan :</v>
          </cell>
          <cell r="J111" t="str">
            <v>Lump Sum</v>
          </cell>
        </row>
        <row r="112">
          <cell r="C112" t="str">
            <v>- Kereta dorong     = 2 buah</v>
          </cell>
        </row>
        <row r="113">
          <cell r="C113" t="str">
            <v>- Sekop                = 3 buah</v>
          </cell>
        </row>
        <row r="114">
          <cell r="C114" t="str">
            <v>- Garpu                = 2 buah</v>
          </cell>
        </row>
        <row r="120">
          <cell r="J120" t="str">
            <v>Berlanjut ke halaman berikut</v>
          </cell>
        </row>
        <row r="121">
          <cell r="A121" t="str">
            <v>ITEM PEMBAYARAN NO.</v>
          </cell>
          <cell r="D121" t="str">
            <v>:  4.2 (1)</v>
          </cell>
          <cell r="J121" t="str">
            <v>Analisa EI-421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J123" t="str">
            <v xml:space="preserve">         URAIAN ANALISA HARGA SATUAN</v>
          </cell>
        </row>
        <row r="124">
          <cell r="J124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9">
          <cell r="A129" t="str">
            <v xml:space="preserve">   3.</v>
          </cell>
          <cell r="C129" t="str">
            <v>TENAGA</v>
          </cell>
        </row>
        <row r="130">
          <cell r="C130" t="str">
            <v>Produksi menentukan : WHEEL LOADER</v>
          </cell>
          <cell r="G130" t="str">
            <v>Q1</v>
          </cell>
          <cell r="H130">
            <v>28.012500000000003</v>
          </cell>
          <cell r="I130" t="str">
            <v>M3/Jam</v>
          </cell>
        </row>
        <row r="131">
          <cell r="C131" t="str">
            <v>Produksi Agregat / hari  =  Tk x Q1</v>
          </cell>
          <cell r="G131" t="str">
            <v>Qt</v>
          </cell>
          <cell r="H131">
            <v>196.08750000000003</v>
          </cell>
          <cell r="I131" t="str">
            <v>M3</v>
          </cell>
        </row>
        <row r="132">
          <cell r="C132" t="str">
            <v>Kebutuhan tenaga :</v>
          </cell>
        </row>
        <row r="133">
          <cell r="D133" t="str">
            <v>- Pekerja</v>
          </cell>
          <cell r="G133" t="str">
            <v>P</v>
          </cell>
          <cell r="H133">
            <v>7</v>
          </cell>
          <cell r="I133" t="str">
            <v>orang</v>
          </cell>
        </row>
        <row r="134">
          <cell r="D134" t="str">
            <v>- Mandor</v>
          </cell>
          <cell r="G134" t="str">
            <v>M</v>
          </cell>
          <cell r="H134">
            <v>1</v>
          </cell>
          <cell r="I134" t="str">
            <v>orang</v>
          </cell>
        </row>
        <row r="136">
          <cell r="C136" t="str">
            <v>Koefisien tenaga / M3     :</v>
          </cell>
        </row>
        <row r="137">
          <cell r="D137" t="str">
            <v>- Pekerja</v>
          </cell>
          <cell r="E137" t="str">
            <v>= (Tk x P) : Qt</v>
          </cell>
          <cell r="G137" t="str">
            <v>(L01)</v>
          </cell>
          <cell r="H137">
            <v>0.24988844265952695</v>
          </cell>
          <cell r="I137" t="str">
            <v>Jam</v>
          </cell>
        </row>
        <row r="138">
          <cell r="D138" t="str">
            <v>- Mandor</v>
          </cell>
          <cell r="E138" t="str">
            <v>= (Tk x M) : Qt</v>
          </cell>
          <cell r="G138" t="str">
            <v>(L03)</v>
          </cell>
          <cell r="H138">
            <v>3.5698348951360995E-2</v>
          </cell>
          <cell r="I138" t="str">
            <v>Jam</v>
          </cell>
        </row>
        <row r="141">
          <cell r="A141" t="str">
            <v>4.</v>
          </cell>
          <cell r="C141" t="str">
            <v>HARGA DASAR SATUAN UPAH, BAHAN DAN ALAT</v>
          </cell>
        </row>
        <row r="142">
          <cell r="C142" t="str">
            <v>Lihat lampiran.</v>
          </cell>
        </row>
        <row r="144">
          <cell r="A144" t="str">
            <v>5.</v>
          </cell>
          <cell r="C144" t="str">
            <v>ANALISA HARGA SATUAN PEKERJAAN</v>
          </cell>
        </row>
        <row r="145">
          <cell r="C145" t="str">
            <v>Lihat perhitungan dalam FORMULIR STANDAR UNTUK</v>
          </cell>
        </row>
        <row r="146">
          <cell r="C146" t="str">
            <v>PEREKEMAN ANALISA MASING-MASING HARGA</v>
          </cell>
        </row>
        <row r="147">
          <cell r="C147" t="str">
            <v>SATUAN.</v>
          </cell>
        </row>
        <row r="148">
          <cell r="C148" t="str">
            <v>Didapat Harga Satuan Pekerjaan :</v>
          </cell>
        </row>
        <row r="150">
          <cell r="C150" t="str">
            <v xml:space="preserve">Rp.  </v>
          </cell>
          <cell r="D150">
            <v>305360.26695768902</v>
          </cell>
          <cell r="E150" t="str">
            <v xml:space="preserve"> / M3.</v>
          </cell>
        </row>
        <row r="153">
          <cell r="A153" t="str">
            <v>6.</v>
          </cell>
          <cell r="C153" t="str">
            <v>WAKTU PELAKSANAAN YANG DIPERLUKAN</v>
          </cell>
        </row>
        <row r="154">
          <cell r="C154" t="str">
            <v>Waktu pelaksanaan</v>
          </cell>
          <cell r="D154" t="str">
            <v>:  . . . . . . .  bulan</v>
          </cell>
        </row>
        <row r="156">
          <cell r="A156" t="str">
            <v>7.</v>
          </cell>
          <cell r="C156" t="str">
            <v>VOLUME PEKERJAAN YANG DIPERLUKAN</v>
          </cell>
        </row>
        <row r="157">
          <cell r="C157" t="str">
            <v>Volume pekerjaan  :</v>
          </cell>
          <cell r="D157">
            <v>0</v>
          </cell>
          <cell r="E157" t="str">
            <v>M3</v>
          </cell>
        </row>
        <row r="180">
          <cell r="A180" t="str">
            <v>ITEM PEMBAYARAN NO.</v>
          </cell>
          <cell r="D180" t="str">
            <v>:  4.2 (2)</v>
          </cell>
          <cell r="J180" t="str">
            <v>Analisa EI-422</v>
          </cell>
          <cell r="T180" t="str">
            <v>Analisa EI-422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J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 t="str">
            <v/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7">
          <cell r="L187" t="str">
            <v>PROYEK</v>
          </cell>
          <cell r="O187" t="str">
            <v>: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>: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>: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>: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4.2 (2)</v>
          </cell>
          <cell r="R191" t="str">
            <v>PERKIRAAN VOL. PEK.</v>
          </cell>
          <cell r="T191" t="str">
            <v>:</v>
          </cell>
          <cell r="U191">
            <v>0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 (Rp.)</v>
          </cell>
          <cell r="T192" t="str">
            <v>:</v>
          </cell>
          <cell r="U192">
            <v>3711291.7469440131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 t="e">
            <v>#DIV/0!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Lebar bahu jalan</v>
          </cell>
          <cell r="G196" t="str">
            <v>Lb</v>
          </cell>
          <cell r="H196">
            <v>1</v>
          </cell>
          <cell r="I196" t="str">
            <v>M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A197">
            <v>9</v>
          </cell>
          <cell r="C197" t="str">
            <v>Proporsi Campuran :</v>
          </cell>
          <cell r="D197" t="str">
            <v>- Agregat Kasar</v>
          </cell>
          <cell r="G197" t="str">
            <v>Ak</v>
          </cell>
          <cell r="H197">
            <v>35</v>
          </cell>
          <cell r="I197" t="str">
            <v>%</v>
          </cell>
          <cell r="J197" t="str">
            <v xml:space="preserve"> Gradasi harus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Agregat Halus</v>
          </cell>
          <cell r="G198" t="str">
            <v>Ah</v>
          </cell>
          <cell r="H198">
            <v>20</v>
          </cell>
          <cell r="I198" t="str">
            <v>%</v>
          </cell>
          <cell r="J198" t="str">
            <v xml:space="preserve"> memenuhi</v>
          </cell>
          <cell r="R198" t="str">
            <v>(Rp.)</v>
          </cell>
          <cell r="S198" t="str">
            <v>(Rp.)</v>
          </cell>
        </row>
        <row r="199">
          <cell r="D199" t="str">
            <v>- Sirtu</v>
          </cell>
          <cell r="G199" t="str">
            <v>St</v>
          </cell>
          <cell r="H199">
            <v>45</v>
          </cell>
          <cell r="I199" t="str">
            <v>%</v>
          </cell>
          <cell r="J199" t="str">
            <v xml:space="preserve"> Spesifikasi</v>
          </cell>
        </row>
        <row r="200">
          <cell r="A200" t="str">
            <v>II.</v>
          </cell>
          <cell r="C200" t="str">
            <v>URUTAN KERJA</v>
          </cell>
        </row>
        <row r="201">
          <cell r="A201">
            <v>1</v>
          </cell>
          <cell r="C201" t="str">
            <v xml:space="preserve">Wheel Loader mencampur &amp; memuat Agregat ke </v>
          </cell>
          <cell r="L201" t="str">
            <v>A.</v>
          </cell>
          <cell r="N201" t="str">
            <v>TENAGA</v>
          </cell>
        </row>
        <row r="202">
          <cell r="C202" t="str">
            <v>dalam Dump Truck di Base Camp</v>
          </cell>
        </row>
        <row r="203">
          <cell r="A203">
            <v>2</v>
          </cell>
          <cell r="C203" t="str">
            <v>Dump Truck mengangkut Agregat ke lokasi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C204" t="str">
            <v>pekerjaan dan dihampar dengan Motor Grader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A205">
            <v>3</v>
          </cell>
          <cell r="C205" t="str">
            <v>Hamparan Agregat dibasahi dengan Water Tank Truck</v>
          </cell>
        </row>
        <row r="206">
          <cell r="C206" t="str">
            <v>sebelum dipadatkan dengan Tandem Roller &amp; PTR</v>
          </cell>
        </row>
        <row r="207">
          <cell r="A207">
            <v>4</v>
          </cell>
          <cell r="C207" t="str">
            <v>Selama pemadatan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1">
          <cell r="A211" t="str">
            <v>III.</v>
          </cell>
          <cell r="C211" t="str">
            <v>PEMAKAIAN BAHAN, ALAT DAN TENAGA</v>
          </cell>
          <cell r="L211" t="str">
            <v>1.</v>
          </cell>
          <cell r="N211" t="str">
            <v>Agregat Kasar  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A212" t="str">
            <v xml:space="preserve">   1.</v>
          </cell>
          <cell r="C212" t="str">
            <v>BAHAN</v>
          </cell>
          <cell r="L212" t="str">
            <v>2.</v>
          </cell>
          <cell r="N212" t="str">
            <v>Agregat Halus 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Kasar</v>
          </cell>
          <cell r="D213" t="str">
            <v>=  Ak x 1 M3 x Fk</v>
          </cell>
          <cell r="G213" t="str">
            <v>M03</v>
          </cell>
          <cell r="H213">
            <v>0.42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Agregat Halus</v>
          </cell>
          <cell r="D214" t="str">
            <v>=  Ah x 1 M3 x Fk</v>
          </cell>
          <cell r="G214" t="str">
            <v>M04</v>
          </cell>
          <cell r="H214">
            <v>0.24</v>
          </cell>
          <cell r="I214" t="str">
            <v>M3</v>
          </cell>
        </row>
        <row r="215">
          <cell r="C215" t="str">
            <v>- Sirtu</v>
          </cell>
          <cell r="D215" t="str">
            <v>=  St x 1 M3 x Fk</v>
          </cell>
          <cell r="G215" t="str">
            <v>M16</v>
          </cell>
          <cell r="H215">
            <v>0.54</v>
          </cell>
          <cell r="I215" t="str">
            <v>M3</v>
          </cell>
        </row>
        <row r="216">
          <cell r="A216" t="str">
            <v xml:space="preserve">   2.</v>
          </cell>
          <cell r="C216" t="str">
            <v>ALAT</v>
          </cell>
        </row>
        <row r="217">
          <cell r="A217" t="str">
            <v>2.a.</v>
          </cell>
          <cell r="C217" t="str">
            <v>WHEEL LOADER</v>
          </cell>
          <cell r="G217" t="str">
            <v>(E15)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Kapasitas bucket</v>
          </cell>
          <cell r="G218" t="str">
            <v>V</v>
          </cell>
          <cell r="H218">
            <v>1.5</v>
          </cell>
          <cell r="I218" t="str">
            <v>M3</v>
          </cell>
        </row>
        <row r="219">
          <cell r="C219" t="str">
            <v>Faktor bucket</v>
          </cell>
          <cell r="G219" t="str">
            <v>Fb</v>
          </cell>
          <cell r="H219">
            <v>0.9</v>
          </cell>
          <cell r="I219" t="str">
            <v>-</v>
          </cell>
          <cell r="J219" t="str">
            <v>Pemuatan ringan</v>
          </cell>
          <cell r="L219" t="str">
            <v>C.</v>
          </cell>
          <cell r="N219" t="str">
            <v>PERALATAN</v>
          </cell>
        </row>
        <row r="220">
          <cell r="C220" t="str">
            <v>Faktor Efisiensi alat</v>
          </cell>
          <cell r="G220" t="str">
            <v>Fa</v>
          </cell>
          <cell r="H220">
            <v>0.83</v>
          </cell>
          <cell r="I220" t="str">
            <v>-</v>
          </cell>
        </row>
        <row r="221">
          <cell r="C221" t="str">
            <v>Waktu siklus</v>
          </cell>
          <cell r="G221" t="str">
            <v>Ts1</v>
          </cell>
          <cell r="L221" t="str">
            <v>1</v>
          </cell>
          <cell r="N221" t="str">
            <v>Wheel Loader</v>
          </cell>
          <cell r="O221" t="str">
            <v>E15</v>
          </cell>
          <cell r="P221" t="str">
            <v>Jam</v>
          </cell>
          <cell r="Q221">
            <v>3.5698348951360995E-2</v>
          </cell>
          <cell r="R221">
            <v>163808.13869490434</v>
          </cell>
          <cell r="U221">
            <v>5847.680096203635</v>
          </cell>
        </row>
        <row r="222">
          <cell r="C222" t="str">
            <v>- Mencampur</v>
          </cell>
          <cell r="G222" t="str">
            <v>T1</v>
          </cell>
          <cell r="H222">
            <v>1.5</v>
          </cell>
          <cell r="I222" t="str">
            <v>menit</v>
          </cell>
          <cell r="L222" t="str">
            <v>2</v>
          </cell>
          <cell r="N222" t="str">
            <v>Dump Truck</v>
          </cell>
          <cell r="O222" t="str">
            <v>E09</v>
          </cell>
          <cell r="P222" t="str">
            <v>Jam</v>
          </cell>
          <cell r="Q222">
            <v>0.14542063837680036</v>
          </cell>
          <cell r="R222">
            <v>70230.073977639215</v>
          </cell>
          <cell r="U222">
            <v>10212.90219107821</v>
          </cell>
        </row>
        <row r="223">
          <cell r="C223" t="str">
            <v>- Memuat dan lain-lain</v>
          </cell>
          <cell r="G223" t="str">
            <v>T2</v>
          </cell>
          <cell r="H223">
            <v>0.5</v>
          </cell>
          <cell r="I223" t="str">
            <v>menit</v>
          </cell>
          <cell r="L223" t="str">
            <v>3</v>
          </cell>
          <cell r="N223" t="str">
            <v>Motor Grader</v>
          </cell>
          <cell r="O223" t="str">
            <v>E13</v>
          </cell>
          <cell r="P223" t="str">
            <v>Jam</v>
          </cell>
          <cell r="Q223">
            <v>1.1713520749665328E-2</v>
          </cell>
          <cell r="R223">
            <v>201666.62574070093</v>
          </cell>
          <cell r="U223">
            <v>2362.2262051286921</v>
          </cell>
        </row>
        <row r="224">
          <cell r="G224" t="str">
            <v>Ts1</v>
          </cell>
          <cell r="H224">
            <v>2</v>
          </cell>
          <cell r="I224" t="str">
            <v>menit</v>
          </cell>
          <cell r="L224" t="str">
            <v>4</v>
          </cell>
          <cell r="N224" t="str">
            <v>Tandem Roller</v>
          </cell>
          <cell r="O224" t="str">
            <v>E17</v>
          </cell>
          <cell r="P224" t="str">
            <v>Jam</v>
          </cell>
          <cell r="Q224">
            <v>1.7849174475680501E-2</v>
          </cell>
          <cell r="R224">
            <v>293927.19306224468</v>
          </cell>
          <cell r="U224">
            <v>5246.3577521150328</v>
          </cell>
        </row>
        <row r="225">
          <cell r="L225" t="str">
            <v>5</v>
          </cell>
          <cell r="N225" t="str">
            <v>Water Tanker</v>
          </cell>
          <cell r="O225" t="str">
            <v>E23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C226" t="str">
            <v>Kap. Prod. / jam =</v>
          </cell>
          <cell r="D226" t="str">
            <v>V x Fb x Fa x 60</v>
          </cell>
          <cell r="G226" t="str">
            <v>Q1</v>
          </cell>
          <cell r="H226">
            <v>28.012500000000003</v>
          </cell>
          <cell r="I226" t="str">
            <v>M3</v>
          </cell>
          <cell r="L226" t="str">
            <v>6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D227" t="str">
            <v>Fk x Ts1</v>
          </cell>
        </row>
        <row r="228">
          <cell r="C228" t="str">
            <v>Koefisien Alat / M3</v>
          </cell>
          <cell r="D228" t="str">
            <v xml:space="preserve"> =  1  :  Q1</v>
          </cell>
          <cell r="G228" t="str">
            <v>(E15)</v>
          </cell>
          <cell r="H228">
            <v>3.5698348951360995E-2</v>
          </cell>
          <cell r="I228" t="str">
            <v>Jam</v>
          </cell>
        </row>
        <row r="229">
          <cell r="Q229" t="str">
            <v xml:space="preserve">JUMLAH HARGA PERALATAN   </v>
          </cell>
          <cell r="U229">
            <v>25157.249307366055</v>
          </cell>
        </row>
        <row r="230">
          <cell r="A230" t="str">
            <v>2.b.</v>
          </cell>
          <cell r="C230" t="str">
            <v>DUMP TRUCK</v>
          </cell>
          <cell r="G230" t="str">
            <v>(E09)</v>
          </cell>
        </row>
        <row r="231">
          <cell r="C231" t="str">
            <v>Kapasitas bak</v>
          </cell>
          <cell r="G231" t="str">
            <v>V</v>
          </cell>
          <cell r="H231">
            <v>6</v>
          </cell>
          <cell r="I231" t="str">
            <v>M3</v>
          </cell>
          <cell r="L231" t="str">
            <v>D.</v>
          </cell>
          <cell r="N231" t="str">
            <v>JUMLAH HARGA TENAGA, BAHAN DAN PERALATAN  ( A + B + C )</v>
          </cell>
          <cell r="U231">
            <v>308808.29942325567</v>
          </cell>
        </row>
        <row r="232">
          <cell r="C232" t="str">
            <v>Faktor Efisiensi alat</v>
          </cell>
          <cell r="G232" t="str">
            <v>Fa</v>
          </cell>
          <cell r="H232">
            <v>0.83</v>
          </cell>
          <cell r="I232" t="str">
            <v>-</v>
          </cell>
          <cell r="L232" t="str">
            <v>E.</v>
          </cell>
          <cell r="N232" t="str">
            <v>OVERHEAD &amp; PROFIT</v>
          </cell>
          <cell r="P232">
            <v>10</v>
          </cell>
          <cell r="Q232" t="str">
            <v>%  x  D</v>
          </cell>
          <cell r="U232">
            <v>30880.829942325567</v>
          </cell>
        </row>
        <row r="233">
          <cell r="C233" t="str">
            <v>Kecepatan rata-rata bermuatan</v>
          </cell>
          <cell r="G233" t="str">
            <v>v1</v>
          </cell>
          <cell r="H233">
            <v>45</v>
          </cell>
          <cell r="I233" t="str">
            <v>KM / Jam</v>
          </cell>
          <cell r="L233" t="str">
            <v>F.</v>
          </cell>
          <cell r="N233" t="str">
            <v>HARGA SATUAN PEKERJAAN  ( D + E )</v>
          </cell>
          <cell r="U233">
            <v>339689.1293655812</v>
          </cell>
        </row>
        <row r="234">
          <cell r="C234" t="str">
            <v>Kecepatan rata-rata kosong</v>
          </cell>
          <cell r="G234" t="str">
            <v>v2</v>
          </cell>
          <cell r="H234">
            <v>60</v>
          </cell>
          <cell r="I234" t="str">
            <v>KM / Jam</v>
          </cell>
          <cell r="L234" t="str">
            <v>Note: 1</v>
          </cell>
          <cell r="N234" t="str">
            <v>SATUAN dapat berdasarkan atas jam operasi untuk Tenaga Kerja dan Peralatan, volume dan/atau ukuran</v>
          </cell>
        </row>
        <row r="235">
          <cell r="C235" t="str">
            <v>Waktu Siklus  :  - Waktu memuat = V : Q1 x 60</v>
          </cell>
          <cell r="G235" t="str">
            <v>T1</v>
          </cell>
          <cell r="H235">
            <v>12.851405622489958</v>
          </cell>
          <cell r="I235" t="str">
            <v>menit</v>
          </cell>
          <cell r="N235" t="str">
            <v>berat untuk bahan-bahan.</v>
          </cell>
        </row>
        <row r="236">
          <cell r="C236" t="str">
            <v>- Waktu tempuh isi = (L : v1) x 60 menit</v>
          </cell>
          <cell r="G236" t="str">
            <v>T2</v>
          </cell>
          <cell r="H236">
            <v>11.633333333333333</v>
          </cell>
          <cell r="I236" t="str">
            <v>menit</v>
          </cell>
          <cell r="L236">
            <v>2</v>
          </cell>
          <cell r="N236" t="str">
            <v>Kuantitas satuan adalah kuantitas setiap komponen untuk menyelesaikan satu satuan pekerjaan dari nomor</v>
          </cell>
        </row>
        <row r="237">
          <cell r="C237" t="str">
            <v>- Waktu tempuh kosong = (L : v2) x 60 menit</v>
          </cell>
          <cell r="G237" t="str">
            <v>T3</v>
          </cell>
          <cell r="H237">
            <v>8.7249999999999996</v>
          </cell>
          <cell r="I237" t="str">
            <v>menit</v>
          </cell>
          <cell r="N237" t="str">
            <v>mata pembayaran.</v>
          </cell>
        </row>
        <row r="238">
          <cell r="C238" t="str">
            <v>- Lain-lain termasuk menurunkan Agregat</v>
          </cell>
          <cell r="G238" t="str">
            <v>T4</v>
          </cell>
          <cell r="H238">
            <v>3</v>
          </cell>
          <cell r="I238" t="str">
            <v>menit</v>
          </cell>
          <cell r="L238">
            <v>3</v>
          </cell>
          <cell r="N238" t="str">
            <v>Biaya satuan untuk peralatan sudah termasuk bahan bakar, bahan habis dipakai dan operator.</v>
          </cell>
        </row>
        <row r="239">
          <cell r="G239" t="str">
            <v>Ts2</v>
          </cell>
          <cell r="H239">
            <v>36.20973895582329</v>
          </cell>
          <cell r="I239" t="str">
            <v>menit</v>
          </cell>
          <cell r="L239">
            <v>4</v>
          </cell>
          <cell r="N239" t="str">
            <v>Biaya satuan sudah termasuk pengeluaran untuk seluruh pajak yang berkaitan (tetapi tidak termasuk PPN</v>
          </cell>
        </row>
        <row r="240">
          <cell r="J240" t="str">
            <v>Berlanjut ke halaman berikut</v>
          </cell>
          <cell r="N240" t="str">
            <v>yang dibayar dari kontrak) dan biaya-biaya lainnya.</v>
          </cell>
        </row>
        <row r="241">
          <cell r="A241" t="str">
            <v>ITEM PEMBAYARAN NO.</v>
          </cell>
          <cell r="D241" t="str">
            <v>:  4.2 (2)</v>
          </cell>
          <cell r="J241" t="str">
            <v>Analisa EI-422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J243" t="str">
            <v xml:space="preserve">         URAIAN ANALISA HARGA SATUAN</v>
          </cell>
        </row>
        <row r="244">
          <cell r="J244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9">
          <cell r="C249" t="str">
            <v xml:space="preserve">Kap. Prod. / Jam = 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1 : Q2</v>
          </cell>
          <cell r="G251" t="str">
            <v>(E08)</v>
          </cell>
          <cell r="H251">
            <v>0.14542063837680036</v>
          </cell>
          <cell r="I251" t="str">
            <v>Jam</v>
          </cell>
        </row>
        <row r="253">
          <cell r="A253" t="str">
            <v>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 / 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>3 x pp</v>
          </cell>
        </row>
        <row r="259">
          <cell r="C259" t="str">
            <v>Waktu Siklus</v>
          </cell>
          <cell r="G259" t="str">
            <v>Ts3</v>
          </cell>
        </row>
        <row r="260">
          <cell r="C260" t="str">
            <v>- Perataan 1 lintasan  = (Lh x 60) : (v x 1000)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4">
          <cell r="C264" t="str">
            <v>Kap.Prod.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1 :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8">
          <cell r="A268" t="str">
            <v>2.d.</v>
          </cell>
          <cell r="C268" t="str">
            <v>TANDEM ROLLER</v>
          </cell>
          <cell r="G268" t="str">
            <v>(E17)</v>
          </cell>
        </row>
        <row r="269">
          <cell r="C269" t="str">
            <v>Kecepatan rata-rata</v>
          </cell>
          <cell r="G269" t="str">
            <v>v</v>
          </cell>
          <cell r="H269">
            <v>3</v>
          </cell>
          <cell r="I269" t="str">
            <v>KM / 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4">
          <cell r="C274" t="str">
            <v>Kap.Prod./jam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1 : Q4</v>
          </cell>
          <cell r="G276" t="str">
            <v>(E17)</v>
          </cell>
          <cell r="H276">
            <v>1.7849174475680501E-2</v>
          </cell>
          <cell r="I276" t="str">
            <v>Jam</v>
          </cell>
        </row>
        <row r="279">
          <cell r="A279" t="str">
            <v>2.e.</v>
          </cell>
          <cell r="C279" t="str">
            <v>WATER TANKER</v>
          </cell>
          <cell r="G279" t="str">
            <v>(E23)</v>
          </cell>
        </row>
        <row r="280">
          <cell r="C280" t="str">
            <v>Volume Tangki air</v>
          </cell>
          <cell r="G280" t="str">
            <v>V</v>
          </cell>
          <cell r="H280">
            <v>4</v>
          </cell>
          <cell r="I280" t="str">
            <v>M3</v>
          </cell>
          <cell r="J280" t="str">
            <v>Lump Sum</v>
          </cell>
        </row>
        <row r="281">
          <cell r="C281" t="str">
            <v>Kebutuhan air / M3 agregat padat</v>
          </cell>
          <cell r="G281" t="str">
            <v>Wc</v>
          </cell>
          <cell r="H281">
            <v>7.0000000000000007E-2</v>
          </cell>
          <cell r="I281" t="str">
            <v>M3</v>
          </cell>
        </row>
        <row r="282">
          <cell r="C282" t="str">
            <v>Pengisian tangki / Jam</v>
          </cell>
          <cell r="G282" t="str">
            <v>n</v>
          </cell>
          <cell r="H282">
            <v>1</v>
          </cell>
          <cell r="I282" t="str">
            <v>kali</v>
          </cell>
        </row>
        <row r="283">
          <cell r="C283" t="str">
            <v>Faktor efisiensi alat</v>
          </cell>
          <cell r="G283" t="str">
            <v>Fa</v>
          </cell>
          <cell r="H283">
            <v>0.83</v>
          </cell>
          <cell r="I283" t="str">
            <v>-</v>
          </cell>
        </row>
        <row r="285">
          <cell r="C285" t="str">
            <v>Kap. Prod. / Jam  =</v>
          </cell>
          <cell r="D285" t="str">
            <v>V x n Fa</v>
          </cell>
          <cell r="G285" t="str">
            <v>Q5</v>
          </cell>
          <cell r="H285">
            <v>47.428571428571423</v>
          </cell>
          <cell r="I285" t="str">
            <v>M3</v>
          </cell>
        </row>
        <row r="286">
          <cell r="D286" t="str">
            <v>Wc</v>
          </cell>
        </row>
        <row r="288">
          <cell r="C288" t="str">
            <v>Koefisien Alat / M3</v>
          </cell>
          <cell r="D288" t="str">
            <v xml:space="preserve"> =   1 : Q5</v>
          </cell>
          <cell r="G288" t="str">
            <v>(E23)</v>
          </cell>
          <cell r="H288">
            <v>2.1084337349397592E-2</v>
          </cell>
          <cell r="I288" t="str">
            <v>Jam</v>
          </cell>
        </row>
        <row r="292">
          <cell r="C292" t="str">
            <v>ALAT BANTU</v>
          </cell>
        </row>
        <row r="293">
          <cell r="C293" t="str">
            <v>diperlukan :</v>
          </cell>
        </row>
        <row r="294">
          <cell r="C294" t="str">
            <v>- Kereta dorong   = 2 buah</v>
          </cell>
        </row>
        <row r="295">
          <cell r="C295" t="str">
            <v>- Sekop                = 3 buah</v>
          </cell>
        </row>
        <row r="296">
          <cell r="C296" t="str">
            <v>- Garpu                = 2 buah</v>
          </cell>
        </row>
        <row r="299">
          <cell r="J299" t="str">
            <v>Berlanjut ke halaman berikut</v>
          </cell>
        </row>
        <row r="300">
          <cell r="A300" t="str">
            <v>ITEM PEMBAYARAN NO.</v>
          </cell>
          <cell r="D300" t="str">
            <v>:  4.2 (2)</v>
          </cell>
          <cell r="J300" t="str">
            <v>Analisa EI-422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J302" t="str">
            <v xml:space="preserve">         URAIAN ANALISA HARGA SATUAN</v>
          </cell>
        </row>
        <row r="303">
          <cell r="J303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8">
          <cell r="A308" t="str">
            <v xml:space="preserve">   3.</v>
          </cell>
          <cell r="C308" t="str">
            <v>TENAGA</v>
          </cell>
        </row>
        <row r="309">
          <cell r="C309" t="str">
            <v>Produksi menentukan : WHEEL LOADER</v>
          </cell>
          <cell r="G309" t="str">
            <v>Q1</v>
          </cell>
          <cell r="H309">
            <v>28.012500000000003</v>
          </cell>
          <cell r="I309" t="str">
            <v>M3/Jam</v>
          </cell>
        </row>
        <row r="310">
          <cell r="C310" t="str">
            <v>Produksi Agregat / hari  =  Tk x Q1</v>
          </cell>
          <cell r="G310" t="str">
            <v>Qt</v>
          </cell>
          <cell r="H310">
            <v>196.08750000000003</v>
          </cell>
          <cell r="I310" t="str">
            <v>M3</v>
          </cell>
        </row>
        <row r="311">
          <cell r="C311" t="str">
            <v>Kebutuhan tenaga :</v>
          </cell>
        </row>
        <row r="312">
          <cell r="D312" t="str">
            <v>- Pekerja</v>
          </cell>
          <cell r="G312" t="str">
            <v>P</v>
          </cell>
          <cell r="H312">
            <v>7</v>
          </cell>
          <cell r="I312" t="str">
            <v>orang</v>
          </cell>
        </row>
        <row r="313">
          <cell r="D313" t="str">
            <v>- Mandor</v>
          </cell>
          <cell r="G313" t="str">
            <v>M</v>
          </cell>
          <cell r="H313">
            <v>1</v>
          </cell>
          <cell r="I313" t="str">
            <v>orang</v>
          </cell>
        </row>
        <row r="315">
          <cell r="C315" t="str">
            <v>Koefisien tenaga / M3     :</v>
          </cell>
        </row>
        <row r="316">
          <cell r="D316" t="str">
            <v>- Pekerja</v>
          </cell>
          <cell r="E316" t="str">
            <v>= (Tk x P) : Qt</v>
          </cell>
          <cell r="G316" t="str">
            <v>(L01)</v>
          </cell>
          <cell r="H316">
            <v>0.24988844265952695</v>
          </cell>
          <cell r="I316" t="str">
            <v>Jam</v>
          </cell>
        </row>
        <row r="317">
          <cell r="D317" t="str">
            <v>- Mandor</v>
          </cell>
          <cell r="E317" t="str">
            <v>= (Tk x M) : Qt</v>
          </cell>
          <cell r="G317" t="str">
            <v>(L03)</v>
          </cell>
          <cell r="H317">
            <v>3.5698348951360995E-2</v>
          </cell>
          <cell r="I317" t="str">
            <v>Jam</v>
          </cell>
        </row>
        <row r="319">
          <cell r="A319" t="str">
            <v>4.</v>
          </cell>
          <cell r="C319" t="str">
            <v>HARGA DASAR SATUAN UPAH, BAHAN DAN ALAT</v>
          </cell>
        </row>
        <row r="320">
          <cell r="C320" t="str">
            <v>Lihat lampiran.</v>
          </cell>
        </row>
        <row r="322">
          <cell r="A322" t="str">
            <v>5.</v>
          </cell>
          <cell r="C322" t="str">
            <v>ANALISA HARGA SATUAN PEKERJAAN</v>
          </cell>
        </row>
        <row r="323">
          <cell r="C323" t="str">
            <v>Lihat perhitungan dalam FORMULIR STANDAR UNTUK</v>
          </cell>
        </row>
        <row r="324">
          <cell r="C324" t="str">
            <v>PEREKEMAN ANALISA MASING-MASING HARGA</v>
          </cell>
        </row>
        <row r="325">
          <cell r="C325" t="str">
            <v>SATUAN.</v>
          </cell>
        </row>
        <row r="326">
          <cell r="C326" t="str">
            <v>Didapat Harga Satuan Pekerjaan :</v>
          </cell>
        </row>
        <row r="328">
          <cell r="C328" t="str">
            <v xml:space="preserve">Rp.  </v>
          </cell>
          <cell r="D328">
            <v>339689.1293655812</v>
          </cell>
          <cell r="E328" t="str">
            <v xml:space="preserve"> / M3.</v>
          </cell>
        </row>
        <row r="331">
          <cell r="A331" t="str">
            <v>6.</v>
          </cell>
          <cell r="C331" t="str">
            <v>WAKTU PELAKSANAAN YANG DIPERLUKAN</v>
          </cell>
        </row>
        <row r="332">
          <cell r="C332" t="str">
            <v>Waktu pelaksanaan</v>
          </cell>
          <cell r="D332" t="str">
            <v>:  . . . . . . .  bulan</v>
          </cell>
        </row>
        <row r="334">
          <cell r="A334" t="str">
            <v>7.</v>
          </cell>
          <cell r="C334" t="str">
            <v>VOLUME PEKERJAAN YANG DIPERLUKAN</v>
          </cell>
        </row>
        <row r="335">
          <cell r="C335" t="str">
            <v>Volume pekerjaan  :</v>
          </cell>
          <cell r="D335">
            <v>0</v>
          </cell>
          <cell r="E335" t="str">
            <v>M3</v>
          </cell>
        </row>
        <row r="359">
          <cell r="A359" t="str">
            <v>ITEM PEMBAYARAN NO.</v>
          </cell>
          <cell r="D359" t="str">
            <v>:  4.2 (4)</v>
          </cell>
          <cell r="J359" t="str">
            <v>Analisa EI-424</v>
          </cell>
          <cell r="T359" t="str">
            <v>Analisa EI-424</v>
          </cell>
        </row>
        <row r="360">
          <cell r="A360" t="str">
            <v>JENIS PEKERJAAN</v>
          </cell>
          <cell r="D360" t="str">
            <v>:  SEMEN Utk. Pond. Semen Tanah</v>
          </cell>
        </row>
        <row r="361">
          <cell r="A361" t="str">
            <v>SATUAN PEMBAYARAN</v>
          </cell>
          <cell r="D361" t="str">
            <v>:  TON</v>
          </cell>
          <cell r="J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 t="str">
            <v/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6">
          <cell r="L366" t="str">
            <v>PROYEK</v>
          </cell>
          <cell r="O366" t="str">
            <v>: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>:</v>
          </cell>
        </row>
        <row r="368">
          <cell r="A368">
            <v>1</v>
          </cell>
          <cell r="C368" t="str">
            <v>Pekerjaan dilakukan secara manual</v>
          </cell>
          <cell r="L368" t="str">
            <v>NAMA PAKET</v>
          </cell>
          <cell r="O368" t="str">
            <v>: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>:</v>
          </cell>
        </row>
        <row r="370">
          <cell r="A370">
            <v>3</v>
          </cell>
          <cell r="C370" t="str">
            <v>Kondisi Jalan   :  sedang / baik</v>
          </cell>
          <cell r="L370" t="str">
            <v>ITEM PEMBAYARAN NO.</v>
          </cell>
          <cell r="O370" t="str">
            <v>:  4.2 (4)</v>
          </cell>
          <cell r="R370" t="str">
            <v>PERKIRAAN VOL. PEK.</v>
          </cell>
          <cell r="T370" t="str">
            <v>:</v>
          </cell>
          <cell r="U370">
            <v>0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SEMEN Utk. Pond. Semen Tanah</v>
          </cell>
          <cell r="R371" t="str">
            <v>TOTAL HARGA (Rp.)</v>
          </cell>
          <cell r="T371" t="str">
            <v>:</v>
          </cell>
          <cell r="U371">
            <v>0</v>
          </cell>
        </row>
        <row r="372">
          <cell r="A372">
            <v>5</v>
          </cell>
          <cell r="C372" t="str">
            <v>Jam kerja efektif per-hari</v>
          </cell>
          <cell r="G372" t="str">
            <v>Tk</v>
          </cell>
          <cell r="H372">
            <v>7</v>
          </cell>
          <cell r="I372" t="str">
            <v>Jam</v>
          </cell>
          <cell r="L372" t="str">
            <v>SATUAN PEMBAYARAN</v>
          </cell>
          <cell r="O372" t="str">
            <v>:  TON</v>
          </cell>
          <cell r="R372" t="str">
            <v>% THD. BIAYA PROYEK</v>
          </cell>
          <cell r="T372" t="str">
            <v>:</v>
          </cell>
          <cell r="U372" t="e">
            <v>#DIV/0!</v>
          </cell>
        </row>
        <row r="373">
          <cell r="A373">
            <v>6</v>
          </cell>
          <cell r="C373" t="str">
            <v>Semen diangkut dari Base Camp ke lapangan</v>
          </cell>
        </row>
        <row r="374">
          <cell r="C374" t="str">
            <v>dengan menggunakan Dump Truck</v>
          </cell>
        </row>
        <row r="375">
          <cell r="A375">
            <v>7</v>
          </cell>
          <cell r="C375" t="str">
            <v>Satu hari dapat diselesaikan hamparan Soil Cement</v>
          </cell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C376" t="str">
            <v>sepanjang</v>
          </cell>
          <cell r="G376" t="str">
            <v>Ls</v>
          </cell>
          <cell r="H376">
            <v>400</v>
          </cell>
          <cell r="I376" t="str">
            <v>M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8</v>
          </cell>
          <cell r="C377" t="str">
            <v>Faktor kehilangan bahan</v>
          </cell>
          <cell r="G377" t="str">
            <v>Fh</v>
          </cell>
          <cell r="H377">
            <v>1.05</v>
          </cell>
          <cell r="I377" t="str">
            <v>-</v>
          </cell>
          <cell r="R377" t="str">
            <v>(Rp.)</v>
          </cell>
          <cell r="S377" t="str">
            <v>(Rp.)</v>
          </cell>
        </row>
        <row r="378">
          <cell r="A378">
            <v>9</v>
          </cell>
          <cell r="C378" t="str">
            <v>Tebal hamparan</v>
          </cell>
          <cell r="G378" t="str">
            <v>t</v>
          </cell>
          <cell r="H378">
            <v>0.15</v>
          </cell>
          <cell r="I378" t="str">
            <v>M</v>
          </cell>
        </row>
        <row r="380">
          <cell r="A380" t="str">
            <v>II.</v>
          </cell>
          <cell r="C380" t="str">
            <v>URUTAN KERJA</v>
          </cell>
          <cell r="L380" t="str">
            <v>A.</v>
          </cell>
          <cell r="N380" t="str">
            <v>TENAGA</v>
          </cell>
        </row>
        <row r="381">
          <cell r="A381">
            <v>1</v>
          </cell>
          <cell r="C381" t="str">
            <v>Dump Truck mengangkut semen dari Base Camp</v>
          </cell>
        </row>
        <row r="382">
          <cell r="C382" t="str">
            <v>ke lokasi Pekerjaan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2.4305555555555554</v>
          </cell>
          <cell r="R382">
            <v>2857.14</v>
          </cell>
          <cell r="U382">
            <v>6944.4374999999991</v>
          </cell>
        </row>
        <row r="383">
          <cell r="A383">
            <v>2</v>
          </cell>
          <cell r="C383" t="str">
            <v>Semen diatur/disusun di tempat hamparan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0.16203703703703703</v>
          </cell>
          <cell r="R383">
            <v>3214.29</v>
          </cell>
          <cell r="U383">
            <v>520.83402777777781</v>
          </cell>
        </row>
        <row r="384">
          <cell r="C384" t="str">
            <v>soil/tanah oleh tenaga manusia</v>
          </cell>
        </row>
        <row r="386">
          <cell r="A386" t="str">
            <v>III.</v>
          </cell>
          <cell r="C386" t="str">
            <v>PEMAKAIAN BAHAN, ALAT DAN TENAGA</v>
          </cell>
          <cell r="Q386" t="str">
            <v xml:space="preserve">JUMLAH HARGA TENAGA   </v>
          </cell>
          <cell r="U386">
            <v>7465.271527777777</v>
          </cell>
        </row>
        <row r="387">
          <cell r="A387" t="str">
            <v xml:space="preserve">   1.</v>
          </cell>
          <cell r="C387" t="str">
            <v>BAHAN</v>
          </cell>
        </row>
        <row r="388">
          <cell r="C388" t="str">
            <v>Semen yang diperlukan / ton   = (1 x Fh) x 1000</v>
          </cell>
          <cell r="G388" t="str">
            <v>(M12)</v>
          </cell>
          <cell r="H388">
            <v>1050</v>
          </cell>
          <cell r="I388" t="str">
            <v>Kg</v>
          </cell>
          <cell r="L388" t="str">
            <v>B.</v>
          </cell>
          <cell r="N388" t="str">
            <v>BAHAN</v>
          </cell>
        </row>
        <row r="389">
          <cell r="L389" t="str">
            <v>1.</v>
          </cell>
          <cell r="N389" t="str">
            <v>Semen</v>
          </cell>
          <cell r="O389" t="str">
            <v>(M12)</v>
          </cell>
          <cell r="P389" t="str">
            <v>Kg</v>
          </cell>
          <cell r="Q389">
            <v>1050</v>
          </cell>
          <cell r="R389">
            <v>550.92499999999995</v>
          </cell>
          <cell r="U389">
            <v>578471.25</v>
          </cell>
        </row>
        <row r="390">
          <cell r="A390" t="str">
            <v xml:space="preserve">   2.</v>
          </cell>
          <cell r="C390" t="str">
            <v>ALAT</v>
          </cell>
        </row>
        <row r="391">
          <cell r="A391" t="str">
            <v>2.a.</v>
          </cell>
          <cell r="C391" t="str">
            <v>DUMP TRUCK</v>
          </cell>
          <cell r="G391" t="str">
            <v>(E08)</v>
          </cell>
        </row>
        <row r="392">
          <cell r="C392" t="str">
            <v>Kapasitas bak</v>
          </cell>
          <cell r="G392" t="str">
            <v>V</v>
          </cell>
          <cell r="H392">
            <v>10</v>
          </cell>
          <cell r="I392" t="str">
            <v>Ton</v>
          </cell>
        </row>
        <row r="393">
          <cell r="C393" t="str">
            <v>Faktor efisiensi alat</v>
          </cell>
          <cell r="G393" t="str">
            <v>Fa</v>
          </cell>
          <cell r="H393">
            <v>0.83</v>
          </cell>
          <cell r="I393" t="str">
            <v>-</v>
          </cell>
        </row>
        <row r="394">
          <cell r="C394" t="str">
            <v>Kecepatan rata-rata bermuatan</v>
          </cell>
          <cell r="G394" t="str">
            <v>v1</v>
          </cell>
          <cell r="H394">
            <v>45</v>
          </cell>
          <cell r="I394" t="str">
            <v>Km / Jam</v>
          </cell>
        </row>
        <row r="395">
          <cell r="C395" t="str">
            <v>Kecepatan rata-rata kosong</v>
          </cell>
          <cell r="G395" t="str">
            <v>v2</v>
          </cell>
          <cell r="H395">
            <v>60</v>
          </cell>
          <cell r="I395" t="str">
            <v>Km / Jam</v>
          </cell>
        </row>
        <row r="396">
          <cell r="C396" t="str">
            <v>Waktu siklus</v>
          </cell>
          <cell r="G396" t="str">
            <v>Ts1</v>
          </cell>
          <cell r="Q396" t="str">
            <v xml:space="preserve">JUMLAH HARGA BAHAN   </v>
          </cell>
          <cell r="U396">
            <v>578471.25</v>
          </cell>
        </row>
        <row r="397">
          <cell r="C397" t="str">
            <v>- Waktu tempuh isi            = (L : v1) x 60</v>
          </cell>
          <cell r="G397" t="str">
            <v>T1</v>
          </cell>
          <cell r="H397">
            <v>11.633333333333333</v>
          </cell>
          <cell r="I397" t="str">
            <v>menit</v>
          </cell>
        </row>
        <row r="398">
          <cell r="C398" t="str">
            <v>- Waktu tempuh kosong   = (L : v2) x 60</v>
          </cell>
          <cell r="G398" t="str">
            <v>T2</v>
          </cell>
          <cell r="H398">
            <v>8.7249999999999996</v>
          </cell>
          <cell r="I398" t="str">
            <v>menit</v>
          </cell>
          <cell r="L398" t="str">
            <v>C.</v>
          </cell>
          <cell r="N398" t="str">
            <v>PERALATAN</v>
          </cell>
        </row>
        <row r="399">
          <cell r="C399" t="str">
            <v>- Waktu mengisi</v>
          </cell>
          <cell r="G399" t="str">
            <v>T3</v>
          </cell>
          <cell r="H399">
            <v>40</v>
          </cell>
          <cell r="I399" t="str">
            <v>menit</v>
          </cell>
          <cell r="L399" t="str">
            <v>1.</v>
          </cell>
          <cell r="N399" t="str">
            <v>Dump Truck</v>
          </cell>
          <cell r="O399" t="str">
            <v>(E08)</v>
          </cell>
          <cell r="P399" t="str">
            <v>Jam</v>
          </cell>
          <cell r="Q399">
            <v>0.21159889558232936</v>
          </cell>
          <cell r="R399">
            <v>153645.58193291764</v>
          </cell>
          <cell r="U399">
            <v>32511.23544810967</v>
          </cell>
        </row>
        <row r="400">
          <cell r="C400" t="str">
            <v>- Waktu bongkar</v>
          </cell>
          <cell r="G400" t="str">
            <v>T4</v>
          </cell>
          <cell r="H400">
            <v>30</v>
          </cell>
          <cell r="I400" t="str">
            <v>menit</v>
          </cell>
        </row>
        <row r="401">
          <cell r="C401" t="str">
            <v>- Lain-lain</v>
          </cell>
          <cell r="G401" t="str">
            <v>T5</v>
          </cell>
          <cell r="H401">
            <v>10</v>
          </cell>
          <cell r="I401" t="str">
            <v>menit</v>
          </cell>
        </row>
        <row r="402">
          <cell r="G402" t="str">
            <v>Ts1</v>
          </cell>
          <cell r="H402">
            <v>100.35833333333333</v>
          </cell>
          <cell r="I402" t="str">
            <v>menit</v>
          </cell>
        </row>
        <row r="404">
          <cell r="C404" t="str">
            <v>Kap. Prod. / jam =</v>
          </cell>
          <cell r="D404" t="str">
            <v>V x Fa x 60</v>
          </cell>
          <cell r="G404" t="str">
            <v>Q1</v>
          </cell>
          <cell r="H404">
            <v>4.7259225869206762</v>
          </cell>
          <cell r="I404" t="str">
            <v>Ton</v>
          </cell>
        </row>
        <row r="405">
          <cell r="D405" t="str">
            <v xml:space="preserve">   Fh x Ts1</v>
          </cell>
        </row>
        <row r="407">
          <cell r="C407" t="str">
            <v>Koefisien Alat/Ton</v>
          </cell>
          <cell r="D407" t="str">
            <v xml:space="preserve">  =    1 / Q1</v>
          </cell>
          <cell r="G407" t="str">
            <v>(E08)</v>
          </cell>
          <cell r="H407">
            <v>0.21159889558232936</v>
          </cell>
          <cell r="I407" t="str">
            <v>Jam</v>
          </cell>
        </row>
        <row r="408">
          <cell r="Q408" t="str">
            <v xml:space="preserve">JUMLAH HARGA PERALATAN   </v>
          </cell>
          <cell r="U408">
            <v>32511.23544810967</v>
          </cell>
        </row>
        <row r="409">
          <cell r="A409" t="str">
            <v xml:space="preserve">   3.</v>
          </cell>
          <cell r="C409" t="str">
            <v>TENAGA</v>
          </cell>
        </row>
        <row r="410">
          <cell r="C410" t="str">
            <v>Lebar Hamparan Soil Cement</v>
          </cell>
          <cell r="G410" t="str">
            <v>b</v>
          </cell>
          <cell r="H410">
            <v>6</v>
          </cell>
          <cell r="I410" t="str">
            <v>M</v>
          </cell>
          <cell r="L410" t="str">
            <v>D.</v>
          </cell>
          <cell r="N410" t="str">
            <v>JUMLAH HARGA TENAGA, BAHAN DAN PERALATAN  ( A + B + C )</v>
          </cell>
          <cell r="U410">
            <v>618447.75697588746</v>
          </cell>
        </row>
        <row r="411">
          <cell r="C411" t="str">
            <v>Kadar semen  (3 - 12) %</v>
          </cell>
          <cell r="G411" t="str">
            <v>s</v>
          </cell>
          <cell r="H411">
            <v>7.5</v>
          </cell>
          <cell r="I411" t="str">
            <v>%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61844.775697588746</v>
          </cell>
        </row>
        <row r="412">
          <cell r="C412" t="str">
            <v>Berat jenis tanah</v>
          </cell>
          <cell r="G412" t="str">
            <v>Bj</v>
          </cell>
          <cell r="H412">
            <v>1.6</v>
          </cell>
          <cell r="I412" t="str">
            <v>ton / M3</v>
          </cell>
          <cell r="L412" t="str">
            <v>F.</v>
          </cell>
          <cell r="N412" t="str">
            <v>HARGA SATUAN PEKERJAAN  ( D + E )</v>
          </cell>
          <cell r="U412">
            <v>680292.53267347626</v>
          </cell>
        </row>
        <row r="413">
          <cell r="C413" t="str">
            <v>Setiap hari dengan produksi = {(s : 100) x t x b x Ls} x Bj</v>
          </cell>
          <cell r="G413" t="str">
            <v>Qt</v>
          </cell>
          <cell r="H413">
            <v>43.2</v>
          </cell>
          <cell r="I413" t="str">
            <v>Ton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N414" t="str">
            <v>berat untuk bahan-bahan.</v>
          </cell>
        </row>
        <row r="415">
          <cell r="C415" t="str">
            <v>Kebutuhan tenaga :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D416" t="str">
            <v>- Pekerja</v>
          </cell>
          <cell r="G416" t="str">
            <v>P</v>
          </cell>
          <cell r="H416">
            <v>15</v>
          </cell>
          <cell r="I416" t="str">
            <v>orang</v>
          </cell>
          <cell r="N416" t="str">
            <v>mata pembayaran.</v>
          </cell>
        </row>
        <row r="417">
          <cell r="D417" t="str">
            <v>- Mandor</v>
          </cell>
          <cell r="G417" t="str">
            <v>M</v>
          </cell>
          <cell r="H417">
            <v>1</v>
          </cell>
          <cell r="I417" t="str">
            <v>orang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halaman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4.2 (4)</v>
          </cell>
          <cell r="J420" t="str">
            <v>Analisa EI-424</v>
          </cell>
        </row>
        <row r="421">
          <cell r="A421" t="str">
            <v>JENIS PEKERJAAN</v>
          </cell>
          <cell r="D421" t="str">
            <v>:  SEMEN Utk. Pond. Semen Tanah</v>
          </cell>
        </row>
        <row r="422">
          <cell r="A422" t="str">
            <v>SATUAN PEMBAYARAN</v>
          </cell>
          <cell r="D422" t="str">
            <v>:  TON</v>
          </cell>
          <cell r="J422" t="str">
            <v xml:space="preserve">         URAIAN ANALISA HARGA SATUAN</v>
          </cell>
        </row>
        <row r="423">
          <cell r="J423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8">
          <cell r="C428" t="str">
            <v>Koefisien tenaga / Ton  :</v>
          </cell>
        </row>
        <row r="429">
          <cell r="D429" t="str">
            <v>- Pekerja</v>
          </cell>
          <cell r="E429" t="str">
            <v>= (Tk x P) : Qt</v>
          </cell>
          <cell r="G429" t="str">
            <v>(L01)</v>
          </cell>
          <cell r="H429">
            <v>2.4305555555555554</v>
          </cell>
          <cell r="I429" t="str">
            <v>Jam</v>
          </cell>
        </row>
        <row r="430">
          <cell r="D430" t="str">
            <v>- Mandor</v>
          </cell>
          <cell r="E430" t="str">
            <v>= (Tk x M) : Qt</v>
          </cell>
          <cell r="G430" t="str">
            <v>(L03)</v>
          </cell>
          <cell r="H430">
            <v>0.16203703703703703</v>
          </cell>
          <cell r="I430" t="str">
            <v>Jam</v>
          </cell>
        </row>
        <row r="433">
          <cell r="A433" t="str">
            <v>4.</v>
          </cell>
          <cell r="C433" t="str">
            <v>HARGA DASAR SATUAN UPAH, BAHAN DAN ALAT</v>
          </cell>
        </row>
        <row r="434">
          <cell r="C434" t="str">
            <v>Lihat lampiran.</v>
          </cell>
        </row>
        <row r="437">
          <cell r="A437" t="str">
            <v>5.</v>
          </cell>
          <cell r="C437" t="str">
            <v>ANALISA HARGA SATUAN PEKERJAAN</v>
          </cell>
        </row>
        <row r="438">
          <cell r="C438" t="str">
            <v>Lihat perhitungan dalam FORMULIR STANDAR UNTUK</v>
          </cell>
        </row>
        <row r="439">
          <cell r="C439" t="str">
            <v>PEREKEMAN ANALISA MASING-MASING HARGA</v>
          </cell>
        </row>
        <row r="440">
          <cell r="C440" t="str">
            <v>SATUAN.</v>
          </cell>
        </row>
        <row r="441">
          <cell r="C441" t="str">
            <v>Didapat Harga Satuan Pekerjaan :</v>
          </cell>
        </row>
        <row r="443">
          <cell r="C443" t="str">
            <v xml:space="preserve">Rp.  </v>
          </cell>
          <cell r="D443">
            <v>680292.53267347626</v>
          </cell>
          <cell r="E443" t="str">
            <v xml:space="preserve"> / Ton</v>
          </cell>
        </row>
        <row r="446">
          <cell r="A446" t="str">
            <v>6.</v>
          </cell>
          <cell r="C446" t="str">
            <v>WAKTU PELAKSANAAN YANG DIPERLUKAN</v>
          </cell>
        </row>
        <row r="447">
          <cell r="C447" t="str">
            <v>Waktu pelaksanaan</v>
          </cell>
          <cell r="D447" t="str">
            <v>:  . . . . . . .  bulan</v>
          </cell>
        </row>
        <row r="449">
          <cell r="A449" t="str">
            <v>7.</v>
          </cell>
          <cell r="C449" t="str">
            <v>VOLUME PEKERJAAN YANG DIPERLUKAN</v>
          </cell>
        </row>
        <row r="450">
          <cell r="C450" t="str">
            <v>Volume pekerjaan  :</v>
          </cell>
          <cell r="D450">
            <v>0</v>
          </cell>
          <cell r="E450" t="str">
            <v>Ton</v>
          </cell>
        </row>
        <row r="479">
          <cell r="A479" t="str">
            <v>ITEM PEMBAYARAN NO.</v>
          </cell>
          <cell r="D479" t="str">
            <v>:  4.2 (3)</v>
          </cell>
          <cell r="J479" t="str">
            <v>Analisa EI-423</v>
          </cell>
          <cell r="T479" t="str">
            <v>Analisa EI-423</v>
          </cell>
        </row>
        <row r="480">
          <cell r="A480" t="str">
            <v>JENIS PEKERJAAN</v>
          </cell>
          <cell r="D480" t="str">
            <v>:  Lapis Pondasi Semen Tanah</v>
          </cell>
        </row>
        <row r="481">
          <cell r="A481" t="str">
            <v>SATUAN PEMBAYARAN</v>
          </cell>
          <cell r="D481" t="str">
            <v>:  M3</v>
          </cell>
          <cell r="J481" t="str">
            <v xml:space="preserve">         URAIAN ANALISA HARGA SATUAN</v>
          </cell>
          <cell r="L481" t="str">
            <v>FORMULIR STANDAR UNTUK</v>
          </cell>
        </row>
        <row r="482">
          <cell r="L482" t="str">
            <v>PEREKAMAN ANALISA MASING-MASING HARGA SATUAN</v>
          </cell>
        </row>
        <row r="483">
          <cell r="L483" t="str">
            <v/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6">
          <cell r="L486" t="str">
            <v>PROYEK</v>
          </cell>
          <cell r="O486" t="str">
            <v>:</v>
          </cell>
        </row>
        <row r="487">
          <cell r="A487" t="str">
            <v>I.</v>
          </cell>
          <cell r="C487" t="str">
            <v>ASUMSI</v>
          </cell>
          <cell r="L487" t="str">
            <v>No. PAKET KONTRAK</v>
          </cell>
          <cell r="O487" t="str">
            <v>:</v>
          </cell>
        </row>
        <row r="488">
          <cell r="A488">
            <v>1</v>
          </cell>
          <cell r="C488" t="str">
            <v>Pekerjaan dilakukan secara mekanik</v>
          </cell>
          <cell r="L488" t="str">
            <v>NAMA PAKET</v>
          </cell>
          <cell r="O488" t="str">
            <v>:</v>
          </cell>
        </row>
        <row r="489">
          <cell r="A489">
            <v>2</v>
          </cell>
          <cell r="C489" t="str">
            <v>Lokasi pekerjaan : sepanjang jalan</v>
          </cell>
          <cell r="L489" t="str">
            <v>PROP / KAB / KODYA</v>
          </cell>
          <cell r="O489" t="str">
            <v>:</v>
          </cell>
        </row>
        <row r="490">
          <cell r="A490">
            <v>3</v>
          </cell>
          <cell r="C490" t="str">
            <v>Kondisi Jalan   :  sedang / baik</v>
          </cell>
          <cell r="L490" t="str">
            <v>ITEM PEMBAYARAN NO.</v>
          </cell>
          <cell r="O490" t="str">
            <v>:  4.2 (3)</v>
          </cell>
          <cell r="R490" t="str">
            <v>PERKIRAAN VOL. PEK.</v>
          </cell>
          <cell r="T490" t="str">
            <v>:</v>
          </cell>
          <cell r="U490">
            <v>0</v>
          </cell>
        </row>
        <row r="491">
          <cell r="A491">
            <v>4</v>
          </cell>
          <cell r="C491" t="str">
            <v>Jarak rata-rata sumber material ke lokasi pekerjaan</v>
          </cell>
          <cell r="G491" t="str">
            <v>L</v>
          </cell>
          <cell r="H491">
            <v>8.7249999999999996</v>
          </cell>
          <cell r="I491" t="str">
            <v>Km</v>
          </cell>
          <cell r="L491" t="str">
            <v>JENIS PEKERJAAN</v>
          </cell>
          <cell r="O491" t="str">
            <v>:  Lapis Pondasi Semen Tanah</v>
          </cell>
          <cell r="R491" t="str">
            <v>TOTAL HARGA (Rp.)</v>
          </cell>
          <cell r="T491" t="str">
            <v>:</v>
          </cell>
          <cell r="U491">
            <v>0</v>
          </cell>
        </row>
        <row r="492">
          <cell r="A492">
            <v>5</v>
          </cell>
          <cell r="C492" t="str">
            <v>Jam kerja efektif per-hari</v>
          </cell>
          <cell r="G492" t="str">
            <v>Tk</v>
          </cell>
          <cell r="H492">
            <v>7</v>
          </cell>
          <cell r="I492" t="str">
            <v>Jam</v>
          </cell>
          <cell r="L492" t="str">
            <v>SATUAN PEMBAYARAN</v>
          </cell>
          <cell r="O492" t="str">
            <v>:  M3</v>
          </cell>
          <cell r="R492" t="str">
            <v>% THD. BIAYA PROYEK</v>
          </cell>
          <cell r="T492" t="str">
            <v>:</v>
          </cell>
          <cell r="U492" t="e">
            <v>#DIV/0!</v>
          </cell>
        </row>
        <row r="493">
          <cell r="A493">
            <v>6</v>
          </cell>
          <cell r="C493" t="str">
            <v>Harga pembayaran tidak termasuk semen ( semen</v>
          </cell>
        </row>
        <row r="494">
          <cell r="C494" t="str">
            <v>dibayar dalam item tersendiri)</v>
          </cell>
        </row>
        <row r="495">
          <cell r="A495">
            <v>7</v>
          </cell>
          <cell r="C495" t="str">
            <v>Satu hari dapat diselesaikan hamparan Soil Cement</v>
          </cell>
          <cell r="Q495" t="str">
            <v>PERKIRAAN</v>
          </cell>
          <cell r="R495" t="str">
            <v>HARGA</v>
          </cell>
          <cell r="S495" t="str">
            <v>JUMLAH</v>
          </cell>
        </row>
        <row r="496">
          <cell r="C496" t="str">
            <v>sepanjang</v>
          </cell>
          <cell r="G496" t="str">
            <v>Ls</v>
          </cell>
          <cell r="H496">
            <v>400</v>
          </cell>
          <cell r="I496" t="str">
            <v>M</v>
          </cell>
          <cell r="L496" t="str">
            <v>NO.</v>
          </cell>
          <cell r="N496" t="str">
            <v>KOMPONEN</v>
          </cell>
          <cell r="P496" t="str">
            <v>SATUAN</v>
          </cell>
          <cell r="Q496" t="str">
            <v>KUANTITAS</v>
          </cell>
          <cell r="R496" t="str">
            <v>SATUAN</v>
          </cell>
          <cell r="S496" t="str">
            <v>HARGA</v>
          </cell>
        </row>
        <row r="497">
          <cell r="A497">
            <v>8</v>
          </cell>
          <cell r="C497" t="str">
            <v>Faktor kembang material (padat - lepas)</v>
          </cell>
          <cell r="G497" t="str">
            <v>Fk</v>
          </cell>
          <cell r="H497">
            <v>1.2</v>
          </cell>
          <cell r="I497" t="str">
            <v>-</v>
          </cell>
          <cell r="R497" t="str">
            <v>(Rp.)</v>
          </cell>
          <cell r="S497" t="str">
            <v>(Rp.)</v>
          </cell>
        </row>
        <row r="498">
          <cell r="A498">
            <v>9</v>
          </cell>
          <cell r="C498" t="str">
            <v>Tebal hamparan padat</v>
          </cell>
          <cell r="G498" t="str">
            <v>t</v>
          </cell>
          <cell r="H498">
            <v>0.15</v>
          </cell>
          <cell r="I498" t="str">
            <v>M</v>
          </cell>
        </row>
        <row r="500">
          <cell r="A500" t="str">
            <v>II.</v>
          </cell>
          <cell r="C500" t="str">
            <v>URUTAN KERJA</v>
          </cell>
          <cell r="L500" t="str">
            <v>A.</v>
          </cell>
          <cell r="N500" t="str">
            <v>TENAGA</v>
          </cell>
        </row>
        <row r="501">
          <cell r="A501">
            <v>1</v>
          </cell>
          <cell r="C501" t="str">
            <v>Whell Loader memuat material ke dalam Dump Truck</v>
          </cell>
        </row>
        <row r="502">
          <cell r="C502" t="str">
            <v>di lokasi sumber bahan</v>
          </cell>
          <cell r="L502" t="str">
            <v>1.</v>
          </cell>
          <cell r="N502" t="str">
            <v>Pekerja</v>
          </cell>
          <cell r="O502" t="str">
            <v>(L01)</v>
          </cell>
          <cell r="P502" t="str">
            <v>Jam</v>
          </cell>
          <cell r="Q502">
            <v>0.12494422132976349</v>
          </cell>
          <cell r="R502">
            <v>2857.14</v>
          </cell>
          <cell r="U502">
            <v>356.98313253012043</v>
          </cell>
        </row>
        <row r="503">
          <cell r="A503">
            <v>2</v>
          </cell>
          <cell r="C503" t="str">
            <v>Dump Truck mengangkut material ke lokasi pekerjaan</v>
          </cell>
          <cell r="L503" t="str">
            <v>2.</v>
          </cell>
          <cell r="N503" t="str">
            <v>Mandor</v>
          </cell>
          <cell r="O503" t="str">
            <v>(L03)</v>
          </cell>
          <cell r="P503" t="str">
            <v>Jam</v>
          </cell>
          <cell r="Q503">
            <v>1.7849174475680501E-2</v>
          </cell>
          <cell r="R503">
            <v>3214.29</v>
          </cell>
          <cell r="U503">
            <v>57.372423025435076</v>
          </cell>
        </row>
        <row r="504">
          <cell r="A504">
            <v>3</v>
          </cell>
          <cell r="C504" t="str">
            <v>Motor Grader menghampar material di lokasi pekerjaan</v>
          </cell>
        </row>
        <row r="505">
          <cell r="A505">
            <v>4</v>
          </cell>
          <cell r="C505" t="str">
            <v>Semen dan material tanah diaduk ditempat dengan</v>
          </cell>
        </row>
        <row r="506">
          <cell r="C506" t="str">
            <v>menggunakan Vulvi Mixer</v>
          </cell>
          <cell r="Q506" t="str">
            <v xml:space="preserve">JUMLAH HARGA TENAGA   </v>
          </cell>
          <cell r="U506">
            <v>414.3555555555555</v>
          </cell>
        </row>
        <row r="507">
          <cell r="A507">
            <v>5</v>
          </cell>
          <cell r="C507" t="str">
            <v>Sebelum pemadatan material dibasahi dengan</v>
          </cell>
        </row>
        <row r="508">
          <cell r="C508" t="str">
            <v>menggunakan Water Tank Truck</v>
          </cell>
          <cell r="L508" t="str">
            <v>B.</v>
          </cell>
          <cell r="N508" t="str">
            <v>BAHAN</v>
          </cell>
        </row>
        <row r="509">
          <cell r="A509">
            <v>6</v>
          </cell>
          <cell r="C509" t="str">
            <v>Pemadatan dilakukan dengan menggunakan</v>
          </cell>
          <cell r="L509" t="str">
            <v>1.</v>
          </cell>
          <cell r="N509" t="str">
            <v>Tanah Timbunan  (M08)</v>
          </cell>
          <cell r="P509" t="str">
            <v>M3</v>
          </cell>
          <cell r="Q509">
            <v>1.2</v>
          </cell>
          <cell r="R509">
            <v>20000</v>
          </cell>
          <cell r="U509">
            <v>24000</v>
          </cell>
        </row>
        <row r="510">
          <cell r="C510" t="str">
            <v>Vibrator Roller dan Pneumatic Tire Roller</v>
          </cell>
        </row>
        <row r="511">
          <cell r="A511">
            <v>7</v>
          </cell>
          <cell r="C511" t="str">
            <v>Selama pelaksanaan pekerjaan sekelompok pekerja</v>
          </cell>
        </row>
        <row r="512">
          <cell r="C512" t="str">
            <v>akan merapikan tepi hamparan dan level permukaan</v>
          </cell>
        </row>
        <row r="513">
          <cell r="C513" t="str">
            <v>dengan menggunakan alat bantu</v>
          </cell>
        </row>
        <row r="515">
          <cell r="A515" t="str">
            <v>III.</v>
          </cell>
          <cell r="C515" t="str">
            <v>PEMAKAIAN BAHAN, ALAT DAN TENAGA</v>
          </cell>
        </row>
        <row r="516">
          <cell r="Q516" t="str">
            <v xml:space="preserve">JUMLAH HARGA BAHAN   </v>
          </cell>
          <cell r="U516">
            <v>24000</v>
          </cell>
        </row>
        <row r="517">
          <cell r="A517" t="str">
            <v>1.</v>
          </cell>
          <cell r="C517" t="str">
            <v>BAHAN</v>
          </cell>
        </row>
        <row r="518">
          <cell r="C518" t="str">
            <v>Setiap M3 Soil Cement padat diperlukan = 1 x Fk</v>
          </cell>
          <cell r="G518" t="str">
            <v>(M08)</v>
          </cell>
          <cell r="H518">
            <v>1.2</v>
          </cell>
          <cell r="I518" t="str">
            <v>M3</v>
          </cell>
          <cell r="L518" t="str">
            <v>C.</v>
          </cell>
          <cell r="N518" t="str">
            <v>PERALATAN</v>
          </cell>
        </row>
        <row r="519">
          <cell r="L519" t="str">
            <v>1.</v>
          </cell>
          <cell r="N519" t="str">
            <v>Wheel Loader</v>
          </cell>
          <cell r="O519" t="str">
            <v>(E15)</v>
          </cell>
          <cell r="P519" t="str">
            <v>Jam</v>
          </cell>
          <cell r="Q519">
            <v>1.7849174475680497E-2</v>
          </cell>
          <cell r="R519">
            <v>163808.13869490434</v>
          </cell>
          <cell r="U519">
            <v>2923.8400481018175</v>
          </cell>
        </row>
        <row r="520">
          <cell r="A520" t="str">
            <v>2.</v>
          </cell>
          <cell r="C520" t="str">
            <v>ALAT</v>
          </cell>
          <cell r="L520" t="str">
            <v>2.</v>
          </cell>
          <cell r="N520" t="str">
            <v>Dump Truck</v>
          </cell>
          <cell r="O520" t="str">
            <v>(E08)</v>
          </cell>
          <cell r="P520" t="str">
            <v>Jam</v>
          </cell>
          <cell r="Q520">
            <v>0.16651888679214849</v>
          </cell>
          <cell r="R520">
            <v>153645.58193291764</v>
          </cell>
          <cell r="U520">
            <v>25584.89126400129</v>
          </cell>
        </row>
        <row r="521">
          <cell r="A521" t="str">
            <v>2.a.</v>
          </cell>
          <cell r="C521" t="str">
            <v>WHEL LOADER</v>
          </cell>
          <cell r="G521" t="str">
            <v>(E15)</v>
          </cell>
          <cell r="L521" t="str">
            <v>3.</v>
          </cell>
          <cell r="N521" t="str">
            <v>Motor Grader</v>
          </cell>
          <cell r="O521" t="str">
            <v>(E13)</v>
          </cell>
          <cell r="P521" t="str">
            <v>Jam</v>
          </cell>
          <cell r="Q521">
            <v>8.3668005354752342E-3</v>
          </cell>
          <cell r="R521">
            <v>201666.62574070093</v>
          </cell>
          <cell r="U521">
            <v>1687.3044322347801</v>
          </cell>
        </row>
        <row r="522">
          <cell r="C522" t="str">
            <v>Kapasitas bucket</v>
          </cell>
          <cell r="G522" t="str">
            <v>V</v>
          </cell>
          <cell r="H522">
            <v>1.5</v>
          </cell>
          <cell r="I522" t="str">
            <v>M3</v>
          </cell>
          <cell r="L522" t="str">
            <v>4.</v>
          </cell>
          <cell r="N522" t="str">
            <v>Tandem Roller</v>
          </cell>
          <cell r="O522" t="str">
            <v>(E17)</v>
          </cell>
          <cell r="P522" t="str">
            <v>Jam</v>
          </cell>
          <cell r="Q522">
            <v>1.7849174475680501E-2</v>
          </cell>
          <cell r="R522">
            <v>293927.19306224468</v>
          </cell>
          <cell r="U522">
            <v>5246.3577521150328</v>
          </cell>
        </row>
        <row r="523">
          <cell r="C523" t="str">
            <v>Faktor bucket</v>
          </cell>
          <cell r="G523" t="str">
            <v>Fb</v>
          </cell>
          <cell r="H523">
            <v>0.9</v>
          </cell>
          <cell r="I523" t="str">
            <v>-</v>
          </cell>
          <cell r="J523" t="str">
            <v>Pemuatan ringan</v>
          </cell>
          <cell r="L523" t="str">
            <v>5.</v>
          </cell>
          <cell r="N523" t="str">
            <v>P. Tyre Roller</v>
          </cell>
          <cell r="O523" t="str">
            <v>(E18)</v>
          </cell>
          <cell r="P523" t="str">
            <v>Jam</v>
          </cell>
          <cell r="Q523">
            <v>8.5676037483266403E-3</v>
          </cell>
          <cell r="R523">
            <v>113384.24751021285</v>
          </cell>
          <cell r="U523">
            <v>971.43130396969514</v>
          </cell>
        </row>
        <row r="524">
          <cell r="C524" t="str">
            <v>Faktor efisiensi alat</v>
          </cell>
          <cell r="G524" t="str">
            <v>Fa</v>
          </cell>
          <cell r="H524">
            <v>0.83</v>
          </cell>
          <cell r="I524" t="str">
            <v>-</v>
          </cell>
          <cell r="L524" t="str">
            <v>6.</v>
          </cell>
          <cell r="N524" t="str">
            <v>Water Tanker</v>
          </cell>
          <cell r="O524" t="str">
            <v>(E23)</v>
          </cell>
          <cell r="P524" t="str">
            <v>Jam</v>
          </cell>
          <cell r="Q524">
            <v>7.0281124497991983E-3</v>
          </cell>
          <cell r="R524">
            <v>67020.510980434308</v>
          </cell>
          <cell r="U524">
            <v>471.02768761349421</v>
          </cell>
        </row>
        <row r="525">
          <cell r="C525" t="str">
            <v>Waktu siklus :</v>
          </cell>
          <cell r="G525" t="str">
            <v>Ts1</v>
          </cell>
          <cell r="L525" t="str">
            <v>7.</v>
          </cell>
          <cell r="N525" t="str">
            <v>Fulvi Mixer</v>
          </cell>
          <cell r="O525" t="str">
            <v>(E27)</v>
          </cell>
          <cell r="P525" t="str">
            <v>Jam</v>
          </cell>
          <cell r="Q525">
            <v>1.9277108433734941E-2</v>
          </cell>
          <cell r="R525">
            <v>559029.00777943374</v>
          </cell>
          <cell r="U525">
            <v>10776.462800567399</v>
          </cell>
        </row>
        <row r="526">
          <cell r="C526" t="str">
            <v>- Muat</v>
          </cell>
          <cell r="G526" t="str">
            <v>T1</v>
          </cell>
          <cell r="H526">
            <v>0.5</v>
          </cell>
          <cell r="I526" t="str">
            <v>menit</v>
          </cell>
          <cell r="L526" t="str">
            <v>8.</v>
          </cell>
          <cell r="N526" t="str">
            <v>Alat Bantu</v>
          </cell>
          <cell r="P526" t="str">
            <v>Ls</v>
          </cell>
          <cell r="Q526">
            <v>1</v>
          </cell>
          <cell r="R526">
            <v>90</v>
          </cell>
          <cell r="U526">
            <v>90</v>
          </cell>
        </row>
        <row r="527">
          <cell r="C527" t="str">
            <v>- Lain-lain</v>
          </cell>
          <cell r="G527" t="str">
            <v>T2</v>
          </cell>
          <cell r="H527">
            <v>0.5</v>
          </cell>
          <cell r="I527" t="str">
            <v>menit</v>
          </cell>
        </row>
        <row r="528">
          <cell r="G528" t="str">
            <v>Ts1</v>
          </cell>
          <cell r="H528">
            <v>1</v>
          </cell>
          <cell r="I528" t="str">
            <v>menit</v>
          </cell>
          <cell r="Q528" t="str">
            <v xml:space="preserve">JUMLAH HARGA PERALATAN   </v>
          </cell>
          <cell r="U528">
            <v>47751.31528860351</v>
          </cell>
        </row>
        <row r="530">
          <cell r="C530" t="str">
            <v>Kap. Prod. / Jam  =</v>
          </cell>
          <cell r="D530" t="str">
            <v>V x Fb x Fa x 60</v>
          </cell>
          <cell r="G530" t="str">
            <v>Q1</v>
          </cell>
          <cell r="H530">
            <v>56.025000000000006</v>
          </cell>
          <cell r="I530" t="str">
            <v>M3</v>
          </cell>
          <cell r="L530" t="str">
            <v>D.</v>
          </cell>
          <cell r="N530" t="str">
            <v>JUMLAH HARGA TENAGA, BAHAN DAN PERALATAN  ( A + B + C )</v>
          </cell>
          <cell r="U530">
            <v>72165.67084415906</v>
          </cell>
        </row>
        <row r="531">
          <cell r="D531" t="str">
            <v>Fk x Ts1</v>
          </cell>
          <cell r="L531" t="str">
            <v>E.</v>
          </cell>
          <cell r="N531" t="str">
            <v>OVERHEAD &amp; PROFIT</v>
          </cell>
          <cell r="P531">
            <v>10</v>
          </cell>
          <cell r="Q531" t="str">
            <v>%  x  D</v>
          </cell>
          <cell r="U531">
            <v>7216.5670844159067</v>
          </cell>
        </row>
        <row r="532">
          <cell r="L532" t="str">
            <v>F.</v>
          </cell>
          <cell r="N532" t="str">
            <v>HARGA SATUAN PEKERJAAN  ( D + E )</v>
          </cell>
          <cell r="U532">
            <v>79382.237928574963</v>
          </cell>
        </row>
        <row r="533">
          <cell r="C533" t="str">
            <v>Koefisien Alat / M3</v>
          </cell>
          <cell r="D533" t="str">
            <v xml:space="preserve"> = 1 / Q1</v>
          </cell>
          <cell r="G533" t="str">
            <v>(E15)</v>
          </cell>
          <cell r="H533">
            <v>1.7849174475680497E-2</v>
          </cell>
          <cell r="I533" t="str">
            <v>Jam</v>
          </cell>
          <cell r="L533" t="str">
            <v>Note: 1</v>
          </cell>
          <cell r="N533" t="str">
            <v>SATUAN dapat berdasarkan atas jam operasi untuk Tenaga Kerja dan Peralatan, volume dan/atau ukuran</v>
          </cell>
        </row>
        <row r="534">
          <cell r="N534" t="str">
            <v>berat untuk bahan-bahan.</v>
          </cell>
        </row>
        <row r="535">
          <cell r="L535">
            <v>2</v>
          </cell>
          <cell r="N535" t="str">
            <v>Kuantitas satuan adalah kuantitas setiap komponen untuk menyelesaikan satu satuan pekerjaan dari nomor</v>
          </cell>
        </row>
        <row r="536">
          <cell r="N536" t="str">
            <v>mata pembayaran.</v>
          </cell>
        </row>
        <row r="537">
          <cell r="L537">
            <v>3</v>
          </cell>
          <cell r="N537" t="str">
            <v>Biaya satuan untuk peralatan sudah termasuk bahan bakar, bahan habis dipakai dan operator.</v>
          </cell>
        </row>
        <row r="538">
          <cell r="L538">
            <v>4</v>
          </cell>
          <cell r="N538" t="str">
            <v>Biaya satuan sudah termasuk pengeluaran untuk seluruh pajak yang berkaitan (tetapi tidak termasuk PPN</v>
          </cell>
        </row>
        <row r="539">
          <cell r="J539" t="str">
            <v>Berlanjut ke halaman berikut</v>
          </cell>
          <cell r="N539" t="str">
            <v>yang dibayar dari kontrak) dan biaya-biaya lainnya.</v>
          </cell>
        </row>
        <row r="540">
          <cell r="A540" t="str">
            <v>ITEM PEMBAYARAN NO.</v>
          </cell>
          <cell r="D540" t="str">
            <v>:  4.2 (3)</v>
          </cell>
          <cell r="J540" t="str">
            <v>Analisa EI-423</v>
          </cell>
        </row>
        <row r="541">
          <cell r="A541" t="str">
            <v>JENIS PEKERJAAN</v>
          </cell>
          <cell r="D541" t="str">
            <v>:  Lapis Pondasi Semen Tanah</v>
          </cell>
        </row>
        <row r="542">
          <cell r="A542" t="str">
            <v>SATUAN PEMBAYARAN</v>
          </cell>
          <cell r="D542" t="str">
            <v>:  M3</v>
          </cell>
          <cell r="J542" t="str">
            <v xml:space="preserve">         URAIAN ANALISA HARGA SATUAN</v>
          </cell>
        </row>
        <row r="543">
          <cell r="J543" t="str">
            <v>Lanjutan</v>
          </cell>
        </row>
        <row r="545">
          <cell r="A545" t="str">
            <v>No.</v>
          </cell>
          <cell r="C545" t="str">
            <v>U R A I A N</v>
          </cell>
          <cell r="G545" t="str">
            <v>KODE</v>
          </cell>
          <cell r="H545" t="str">
            <v>KOEF.</v>
          </cell>
          <cell r="I545" t="str">
            <v>SATUAN</v>
          </cell>
          <cell r="J545" t="str">
            <v>KETERANGAN</v>
          </cell>
        </row>
        <row r="548">
          <cell r="A548" t="str">
            <v>2.b.</v>
          </cell>
          <cell r="C548" t="str">
            <v>DUMP TRUCK</v>
          </cell>
          <cell r="G548" t="str">
            <v>(E08)</v>
          </cell>
        </row>
        <row r="549">
          <cell r="C549" t="str">
            <v>Kapasitas bak</v>
          </cell>
          <cell r="G549" t="str">
            <v>V</v>
          </cell>
          <cell r="H549">
            <v>4</v>
          </cell>
          <cell r="I549" t="str">
            <v>M3</v>
          </cell>
        </row>
        <row r="550">
          <cell r="C550" t="str">
            <v>Faktor efisiensi alat</v>
          </cell>
          <cell r="G550" t="str">
            <v>Fa</v>
          </cell>
          <cell r="H550">
            <v>0.83</v>
          </cell>
          <cell r="I550" t="str">
            <v>-</v>
          </cell>
        </row>
        <row r="551">
          <cell r="C551" t="str">
            <v>Kecepatan rata-rata bermuatan</v>
          </cell>
          <cell r="G551" t="str">
            <v>v1</v>
          </cell>
          <cell r="H551">
            <v>45</v>
          </cell>
          <cell r="I551" t="str">
            <v>Km / Jam</v>
          </cell>
        </row>
        <row r="552">
          <cell r="C552" t="str">
            <v>Kecepatan rata-rata kosong</v>
          </cell>
          <cell r="G552" t="str">
            <v>v2</v>
          </cell>
          <cell r="H552">
            <v>60</v>
          </cell>
          <cell r="I552" t="str">
            <v>Km / Jam</v>
          </cell>
        </row>
        <row r="553">
          <cell r="C553" t="str">
            <v>Waktu Siklus  :  - Waktu memuat = V : Q1 x 60</v>
          </cell>
          <cell r="G553" t="str">
            <v>T1</v>
          </cell>
          <cell r="H553">
            <v>4.283801874163319</v>
          </cell>
          <cell r="I553" t="str">
            <v>menit</v>
          </cell>
        </row>
        <row r="554">
          <cell r="C554" t="str">
            <v>- Waktu tempuh isi          = (L : v1) x 60</v>
          </cell>
          <cell r="G554" t="str">
            <v>T2</v>
          </cell>
          <cell r="H554">
            <v>11.633333333333333</v>
          </cell>
          <cell r="I554" t="str">
            <v>menit</v>
          </cell>
        </row>
        <row r="555">
          <cell r="C555" t="str">
            <v>- Waktu tempuh kosong   = (L : v2) x 60</v>
          </cell>
          <cell r="G555" t="str">
            <v>T3</v>
          </cell>
          <cell r="H555">
            <v>8.7249999999999996</v>
          </cell>
          <cell r="I555" t="str">
            <v>menit</v>
          </cell>
        </row>
        <row r="556">
          <cell r="C556" t="str">
            <v>- Lain-lain</v>
          </cell>
          <cell r="G556" t="str">
            <v>T4</v>
          </cell>
          <cell r="H556">
            <v>3</v>
          </cell>
          <cell r="I556" t="str">
            <v>menit</v>
          </cell>
        </row>
        <row r="557">
          <cell r="G557" t="str">
            <v>Ts2</v>
          </cell>
          <cell r="H557">
            <v>27.642135207496651</v>
          </cell>
          <cell r="I557" t="str">
            <v>menit</v>
          </cell>
        </row>
        <row r="559">
          <cell r="C559" t="str">
            <v>Kapasitas Prod. / jam =</v>
          </cell>
          <cell r="E559" t="str">
            <v>V x Fa x 60</v>
          </cell>
          <cell r="G559" t="str">
            <v>Q2</v>
          </cell>
          <cell r="H559">
            <v>6.0053247968695338</v>
          </cell>
          <cell r="I559" t="str">
            <v>M3</v>
          </cell>
        </row>
        <row r="560">
          <cell r="E560" t="str">
            <v xml:space="preserve">   Fk x Ts2</v>
          </cell>
        </row>
        <row r="562">
          <cell r="C562" t="str">
            <v>Koefisien Alat / M3</v>
          </cell>
          <cell r="D562" t="str">
            <v xml:space="preserve"> =    1 / Q2</v>
          </cell>
          <cell r="G562" t="str">
            <v>(E08)</v>
          </cell>
          <cell r="H562">
            <v>0.16651888679214849</v>
          </cell>
          <cell r="I562" t="str">
            <v>Jam</v>
          </cell>
        </row>
        <row r="564">
          <cell r="A564" t="str">
            <v>2.c.</v>
          </cell>
          <cell r="C564" t="str">
            <v>MOTOR GRADER</v>
          </cell>
          <cell r="G564" t="str">
            <v>(E13)</v>
          </cell>
        </row>
        <row r="565">
          <cell r="C565" t="str">
            <v>Panjang hamparan</v>
          </cell>
          <cell r="G565" t="str">
            <v>Lh</v>
          </cell>
          <cell r="H565">
            <v>100</v>
          </cell>
          <cell r="I565" t="str">
            <v>M</v>
          </cell>
        </row>
        <row r="566">
          <cell r="C566" t="str">
            <v>Lebar efektif kerja blade</v>
          </cell>
          <cell r="G566" t="str">
            <v>b</v>
          </cell>
          <cell r="H566">
            <v>2.4</v>
          </cell>
          <cell r="I566" t="str">
            <v>M</v>
          </cell>
        </row>
        <row r="567">
          <cell r="C567" t="str">
            <v>Faktor efisiensi alat</v>
          </cell>
          <cell r="G567" t="str">
            <v>Fa</v>
          </cell>
          <cell r="H567">
            <v>0.83</v>
          </cell>
          <cell r="I567" t="str">
            <v>-</v>
          </cell>
        </row>
        <row r="568">
          <cell r="C568" t="str">
            <v>Kecepatan rata-rata alat</v>
          </cell>
          <cell r="G568" t="str">
            <v>v</v>
          </cell>
          <cell r="H568">
            <v>4</v>
          </cell>
          <cell r="I568" t="str">
            <v>Km / Jam</v>
          </cell>
        </row>
        <row r="569">
          <cell r="C569" t="str">
            <v>Jumlah lintasan</v>
          </cell>
          <cell r="G569" t="str">
            <v>n</v>
          </cell>
          <cell r="H569">
            <v>6</v>
          </cell>
          <cell r="I569" t="str">
            <v>lintasan</v>
          </cell>
          <cell r="J569" t="str">
            <v>3 x pp</v>
          </cell>
        </row>
        <row r="570">
          <cell r="C570" t="str">
            <v>Waktu siklus</v>
          </cell>
          <cell r="G570" t="str">
            <v>Ts3</v>
          </cell>
        </row>
        <row r="571">
          <cell r="C571" t="str">
            <v>- Perataan 1 lintasan  = Lh : (v x 1000) x 60</v>
          </cell>
          <cell r="G571" t="str">
            <v>T1</v>
          </cell>
          <cell r="H571">
            <v>1.5</v>
          </cell>
          <cell r="I571" t="str">
            <v>menit</v>
          </cell>
        </row>
        <row r="572">
          <cell r="C572" t="str">
            <v>- Lain-lain</v>
          </cell>
          <cell r="G572" t="str">
            <v>T2</v>
          </cell>
          <cell r="H572">
            <v>1</v>
          </cell>
          <cell r="I572" t="str">
            <v>menit</v>
          </cell>
        </row>
        <row r="573">
          <cell r="G573" t="str">
            <v>Ts3</v>
          </cell>
          <cell r="H573">
            <v>2.5</v>
          </cell>
          <cell r="I573" t="str">
            <v>menit</v>
          </cell>
        </row>
        <row r="575">
          <cell r="C575" t="str">
            <v>Kap. Prod. / Jam  =</v>
          </cell>
          <cell r="D575" t="str">
            <v>Lh x b x t x Fa x 60</v>
          </cell>
          <cell r="G575" t="str">
            <v>Q3</v>
          </cell>
          <cell r="H575">
            <v>119.52</v>
          </cell>
          <cell r="I575" t="str">
            <v>M3</v>
          </cell>
        </row>
        <row r="576">
          <cell r="D576" t="str">
            <v>n x Ts3</v>
          </cell>
        </row>
        <row r="578">
          <cell r="C578" t="str">
            <v>Koefisien Alat / M3</v>
          </cell>
          <cell r="D578" t="str">
            <v xml:space="preserve"> =  1 / Q3</v>
          </cell>
          <cell r="G578" t="str">
            <v>(E13)</v>
          </cell>
          <cell r="H578">
            <v>8.3668005354752342E-3</v>
          </cell>
          <cell r="I578" t="str">
            <v>jam</v>
          </cell>
        </row>
        <row r="580">
          <cell r="A580" t="str">
            <v>2.d.</v>
          </cell>
          <cell r="C580" t="str">
            <v>TANDEM ROLLER</v>
          </cell>
          <cell r="G580" t="str">
            <v>(E19)</v>
          </cell>
        </row>
        <row r="581">
          <cell r="C581" t="str">
            <v>Kecepatan rata-rata alat</v>
          </cell>
          <cell r="G581" t="str">
            <v>v</v>
          </cell>
          <cell r="H581">
            <v>3</v>
          </cell>
          <cell r="I581" t="str">
            <v>Km / Jam</v>
          </cell>
        </row>
        <row r="582">
          <cell r="C582" t="str">
            <v>Lebar efektif pemadatan</v>
          </cell>
          <cell r="G582" t="str">
            <v>b</v>
          </cell>
          <cell r="H582">
            <v>1.2</v>
          </cell>
          <cell r="I582" t="str">
            <v>M</v>
          </cell>
        </row>
        <row r="583">
          <cell r="C583" t="str">
            <v>Jumlah lintasan</v>
          </cell>
          <cell r="G583" t="str">
            <v>n</v>
          </cell>
          <cell r="H583">
            <v>8</v>
          </cell>
          <cell r="I583" t="str">
            <v>lintasan</v>
          </cell>
          <cell r="J583" t="str">
            <v>4 x pp</v>
          </cell>
        </row>
        <row r="584">
          <cell r="C584" t="str">
            <v>Faktor efisiensi alat</v>
          </cell>
          <cell r="G584" t="str">
            <v>Fa</v>
          </cell>
          <cell r="H584">
            <v>0.83</v>
          </cell>
          <cell r="I584" t="str">
            <v>-</v>
          </cell>
        </row>
        <row r="586">
          <cell r="C586" t="str">
            <v xml:space="preserve">Kap. Prod. / Jam = </v>
          </cell>
          <cell r="D586" t="str">
            <v>(v x 1000) x b x t x Fa</v>
          </cell>
          <cell r="G586" t="str">
            <v>Q4</v>
          </cell>
          <cell r="H586">
            <v>56.024999999999999</v>
          </cell>
          <cell r="I586" t="str">
            <v>M3</v>
          </cell>
        </row>
        <row r="587">
          <cell r="D587" t="str">
            <v>n</v>
          </cell>
        </row>
        <row r="589">
          <cell r="C589" t="str">
            <v>Koefisien Alat / M3</v>
          </cell>
          <cell r="D589" t="str">
            <v xml:space="preserve"> = 1/ Q4</v>
          </cell>
          <cell r="G589" t="str">
            <v>(E19)</v>
          </cell>
          <cell r="H589">
            <v>1.7849174475680501E-2</v>
          </cell>
          <cell r="I589" t="str">
            <v>Jam</v>
          </cell>
        </row>
        <row r="591">
          <cell r="A591" t="str">
            <v>2.e.</v>
          </cell>
          <cell r="C591" t="str">
            <v>PNEUMATIC TIRE ROLLER</v>
          </cell>
          <cell r="G591" t="str">
            <v>(E18)</v>
          </cell>
        </row>
        <row r="592">
          <cell r="C592" t="str">
            <v>Kecepatan rata-rata alat</v>
          </cell>
          <cell r="G592" t="str">
            <v>v</v>
          </cell>
          <cell r="H592">
            <v>5</v>
          </cell>
          <cell r="I592" t="str">
            <v>Km / Jam</v>
          </cell>
        </row>
        <row r="593">
          <cell r="C593" t="str">
            <v>Lebar efektif pemadatan</v>
          </cell>
          <cell r="G593" t="str">
            <v>b</v>
          </cell>
          <cell r="H593">
            <v>1.5</v>
          </cell>
          <cell r="I593" t="str">
            <v>M</v>
          </cell>
        </row>
        <row r="594">
          <cell r="C594" t="str">
            <v>Jumlah lintasan</v>
          </cell>
          <cell r="G594" t="str">
            <v>n</v>
          </cell>
          <cell r="H594">
            <v>8</v>
          </cell>
          <cell r="I594" t="str">
            <v>lintasan</v>
          </cell>
          <cell r="J594" t="str">
            <v>4 x pp</v>
          </cell>
        </row>
        <row r="595">
          <cell r="C595" t="str">
            <v>Faktor efisiensi alat</v>
          </cell>
          <cell r="G595" t="str">
            <v>Fa</v>
          </cell>
          <cell r="H595">
            <v>0.83</v>
          </cell>
          <cell r="I595" t="str">
            <v>-</v>
          </cell>
        </row>
        <row r="598">
          <cell r="J598" t="str">
            <v>Berlanjut ke halaman berikut</v>
          </cell>
        </row>
        <row r="599">
          <cell r="A599" t="str">
            <v>ITEM PEMBAYARAN NO.</v>
          </cell>
          <cell r="D599" t="str">
            <v>:  4.2 (3)</v>
          </cell>
          <cell r="J599" t="str">
            <v>Analisa EI-423</v>
          </cell>
        </row>
        <row r="600">
          <cell r="A600" t="str">
            <v>JENIS PEKERJAAN</v>
          </cell>
          <cell r="D600" t="str">
            <v>:  Lapis Pondasi Semen Tanah</v>
          </cell>
        </row>
        <row r="601">
          <cell r="A601" t="str">
            <v>SATUAN PEMBAYARAN</v>
          </cell>
          <cell r="D601" t="str">
            <v>:  M3</v>
          </cell>
          <cell r="J601" t="str">
            <v xml:space="preserve">         URAIAN ANALISA HARGA SATUAN</v>
          </cell>
        </row>
        <row r="602">
          <cell r="J602" t="str">
            <v>Lanjutan</v>
          </cell>
        </row>
        <row r="604">
          <cell r="A604" t="str">
            <v>No.</v>
          </cell>
          <cell r="C604" t="str">
            <v>U R A I A N</v>
          </cell>
          <cell r="G604" t="str">
            <v>KODE</v>
          </cell>
          <cell r="H604" t="str">
            <v>KOEF.</v>
          </cell>
          <cell r="I604" t="str">
            <v>SATUAN</v>
          </cell>
          <cell r="J604" t="str">
            <v>KETERANGAN</v>
          </cell>
        </row>
        <row r="607">
          <cell r="C607" t="str">
            <v xml:space="preserve">Kap. Prod. / Jam = </v>
          </cell>
          <cell r="D607" t="str">
            <v>(v x 1000) x b x t x Fa</v>
          </cell>
          <cell r="G607" t="str">
            <v>Q5</v>
          </cell>
          <cell r="H607">
            <v>116.71875</v>
          </cell>
          <cell r="I607" t="str">
            <v>M3</v>
          </cell>
        </row>
        <row r="608">
          <cell r="D608" t="str">
            <v>n</v>
          </cell>
        </row>
        <row r="610">
          <cell r="C610" t="str">
            <v>Koefisien Alat / M3</v>
          </cell>
          <cell r="D610" t="str">
            <v xml:space="preserve"> = 1 / Q5</v>
          </cell>
          <cell r="G610" t="str">
            <v>(E18)</v>
          </cell>
          <cell r="H610">
            <v>8.5676037483266403E-3</v>
          </cell>
          <cell r="I610" t="str">
            <v>Jam</v>
          </cell>
        </row>
        <row r="612">
          <cell r="A612" t="str">
            <v>2.e.</v>
          </cell>
          <cell r="C612" t="str">
            <v>WATER TANK TRUCK</v>
          </cell>
          <cell r="G612" t="str">
            <v>(E23)</v>
          </cell>
        </row>
        <row r="613">
          <cell r="C613" t="str">
            <v>Volume Tangki air</v>
          </cell>
          <cell r="G613" t="str">
            <v>V</v>
          </cell>
          <cell r="H613">
            <v>4</v>
          </cell>
          <cell r="I613" t="str">
            <v>M3</v>
          </cell>
        </row>
        <row r="614">
          <cell r="C614" t="str">
            <v>Kebutuhan air / M3 material padat</v>
          </cell>
          <cell r="G614" t="str">
            <v>Wc</v>
          </cell>
          <cell r="H614">
            <v>7.0000000000000007E-2</v>
          </cell>
          <cell r="I614" t="str">
            <v>M3</v>
          </cell>
        </row>
        <row r="615">
          <cell r="C615" t="str">
            <v>Pengisian tanhgki / jam</v>
          </cell>
          <cell r="G615" t="str">
            <v>n</v>
          </cell>
          <cell r="H615">
            <v>3</v>
          </cell>
          <cell r="I615" t="str">
            <v>kali</v>
          </cell>
        </row>
        <row r="616">
          <cell r="C616" t="str">
            <v>Faktor efisiensi alat</v>
          </cell>
          <cell r="G616" t="str">
            <v>Fa</v>
          </cell>
          <cell r="H616">
            <v>0.83</v>
          </cell>
          <cell r="I616" t="str">
            <v>-</v>
          </cell>
        </row>
        <row r="618">
          <cell r="C618" t="str">
            <v>Kap. Prod. / Jam  =</v>
          </cell>
          <cell r="D618" t="str">
            <v>V x n x Fa</v>
          </cell>
          <cell r="G618" t="str">
            <v>Q6</v>
          </cell>
          <cell r="H618">
            <v>142.28571428571425</v>
          </cell>
          <cell r="I618" t="str">
            <v>M3</v>
          </cell>
        </row>
        <row r="619">
          <cell r="D619" t="str">
            <v>Wc</v>
          </cell>
        </row>
        <row r="621">
          <cell r="C621" t="str">
            <v>Koefisien Alat / M3</v>
          </cell>
          <cell r="D621" t="str">
            <v xml:space="preserve">  = 1 / Q6</v>
          </cell>
          <cell r="G621" t="str">
            <v>(E23)</v>
          </cell>
          <cell r="H621">
            <v>7.0281124497991983E-3</v>
          </cell>
          <cell r="I621" t="str">
            <v>Jam</v>
          </cell>
        </row>
        <row r="623">
          <cell r="A623" t="str">
            <v>2.f.</v>
          </cell>
          <cell r="C623" t="str">
            <v>FULVI MIXER</v>
          </cell>
          <cell r="G623" t="str">
            <v>(E27)</v>
          </cell>
        </row>
        <row r="624">
          <cell r="C624" t="str">
            <v>Kecepatan rata-rata alat</v>
          </cell>
          <cell r="G624" t="str">
            <v>v</v>
          </cell>
          <cell r="H624">
            <v>2.5</v>
          </cell>
          <cell r="I624" t="str">
            <v>Km / Jam</v>
          </cell>
        </row>
        <row r="625">
          <cell r="C625" t="str">
            <v>Lebar efektif pemadatan</v>
          </cell>
          <cell r="G625" t="str">
            <v>b</v>
          </cell>
          <cell r="H625">
            <v>1</v>
          </cell>
          <cell r="I625" t="str">
            <v>M</v>
          </cell>
        </row>
        <row r="626">
          <cell r="C626" t="str">
            <v>Jumlah lintasan</v>
          </cell>
          <cell r="G626" t="str">
            <v>n</v>
          </cell>
          <cell r="H626">
            <v>6</v>
          </cell>
          <cell r="I626" t="str">
            <v>lintasan</v>
          </cell>
          <cell r="J626" t="str">
            <v>3 x pp</v>
          </cell>
        </row>
        <row r="627">
          <cell r="C627" t="str">
            <v>Faktor efisiensi alat</v>
          </cell>
          <cell r="G627" t="str">
            <v>Fa</v>
          </cell>
          <cell r="H627">
            <v>0.83</v>
          </cell>
          <cell r="I627" t="str">
            <v>-</v>
          </cell>
        </row>
        <row r="629">
          <cell r="C629" t="str">
            <v xml:space="preserve">Kap. Prod. / Jam = </v>
          </cell>
          <cell r="D629" t="str">
            <v>(v x 1000) x b x t x Fa</v>
          </cell>
          <cell r="G629" t="str">
            <v>Q7</v>
          </cell>
          <cell r="H629">
            <v>51.875</v>
          </cell>
          <cell r="I629" t="str">
            <v>M3</v>
          </cell>
        </row>
        <row r="630">
          <cell r="D630" t="str">
            <v>n</v>
          </cell>
        </row>
        <row r="632">
          <cell r="C632" t="str">
            <v>Koefisien Alat / M3</v>
          </cell>
          <cell r="D632" t="str">
            <v xml:space="preserve">  = 1 / Q7</v>
          </cell>
          <cell r="G632" t="str">
            <v>(E27)</v>
          </cell>
          <cell r="H632">
            <v>1.9277108433734941E-2</v>
          </cell>
          <cell r="I632" t="str">
            <v>Jam</v>
          </cell>
        </row>
        <row r="634">
          <cell r="A634" t="str">
            <v>2.g.</v>
          </cell>
          <cell r="C634" t="str">
            <v>ALAT BANTU</v>
          </cell>
        </row>
        <row r="635">
          <cell r="C635" t="str">
            <v>Diperlukan :</v>
          </cell>
          <cell r="J635" t="str">
            <v>Lump Sump</v>
          </cell>
        </row>
        <row r="636">
          <cell r="C636" t="str">
            <v>- Kereta dorong  = 2 buah</v>
          </cell>
        </row>
        <row r="637">
          <cell r="C637" t="str">
            <v>- Sekop             = 3 buah</v>
          </cell>
        </row>
        <row r="639">
          <cell r="A639" t="str">
            <v>3.</v>
          </cell>
          <cell r="C639" t="str">
            <v>TENAGA</v>
          </cell>
        </row>
        <row r="640">
          <cell r="C640" t="str">
            <v>Produksi menetukan : VIBRATOR ROLLER</v>
          </cell>
          <cell r="G640" t="str">
            <v>Q4</v>
          </cell>
          <cell r="H640">
            <v>56.024999999999999</v>
          </cell>
          <cell r="I640" t="str">
            <v>M3/Jam</v>
          </cell>
        </row>
        <row r="641">
          <cell r="C641" t="str">
            <v>Produksi Soil Cement / hari  = Tk x Q4</v>
          </cell>
          <cell r="G641" t="str">
            <v>Qt</v>
          </cell>
          <cell r="H641">
            <v>392.17500000000001</v>
          </cell>
          <cell r="I641" t="str">
            <v>M3</v>
          </cell>
        </row>
        <row r="642">
          <cell r="C642" t="str">
            <v>Kebutuhan tenaga  :</v>
          </cell>
        </row>
        <row r="643">
          <cell r="D643" t="str">
            <v>- Pekerja</v>
          </cell>
          <cell r="G643" t="str">
            <v>P</v>
          </cell>
          <cell r="H643">
            <v>7</v>
          </cell>
          <cell r="I643" t="str">
            <v>orang</v>
          </cell>
        </row>
        <row r="644">
          <cell r="D644" t="str">
            <v>- Mandor</v>
          </cell>
          <cell r="G644" t="str">
            <v>M</v>
          </cell>
          <cell r="H644">
            <v>1</v>
          </cell>
          <cell r="I644" t="str">
            <v>orang</v>
          </cell>
        </row>
        <row r="646">
          <cell r="C646" t="str">
            <v>Koefisien tenaga / M3  :</v>
          </cell>
        </row>
        <row r="647">
          <cell r="D647" t="str">
            <v>- Pekerja</v>
          </cell>
          <cell r="E647" t="str">
            <v xml:space="preserve">  = (Tk x P) : Qt</v>
          </cell>
          <cell r="G647" t="str">
            <v>(L01)</v>
          </cell>
          <cell r="H647">
            <v>0.12494422132976349</v>
          </cell>
          <cell r="I647" t="str">
            <v>Jam</v>
          </cell>
        </row>
        <row r="648">
          <cell r="D648" t="str">
            <v>- Mandor</v>
          </cell>
          <cell r="E648" t="str">
            <v xml:space="preserve">  = (Tk x M) : Qt</v>
          </cell>
          <cell r="G648" t="str">
            <v>(L03)</v>
          </cell>
          <cell r="H648">
            <v>1.7849174475680501E-2</v>
          </cell>
          <cell r="I648" t="str">
            <v>Jam</v>
          </cell>
        </row>
        <row r="657">
          <cell r="J657" t="str">
            <v>Berlanjut ke halaman berikut</v>
          </cell>
        </row>
        <row r="658">
          <cell r="A658" t="str">
            <v>ITEM PEMBAYARAN NO.</v>
          </cell>
          <cell r="D658" t="str">
            <v>:  4.2 (3)</v>
          </cell>
          <cell r="J658" t="str">
            <v>Analisa EI-423</v>
          </cell>
        </row>
        <row r="659">
          <cell r="A659" t="str">
            <v>JENIS PEKERJAAN</v>
          </cell>
          <cell r="D659" t="str">
            <v>:  Lapis Pondasi Semen Tanah</v>
          </cell>
        </row>
        <row r="660">
          <cell r="A660" t="str">
            <v>SATUAN PEMBAYARAN</v>
          </cell>
          <cell r="D660" t="str">
            <v>:  M3</v>
          </cell>
          <cell r="J660" t="str">
            <v xml:space="preserve">         URAIAN ANALISA HARGA SATUAN</v>
          </cell>
        </row>
        <row r="661">
          <cell r="J661" t="str">
            <v>Lanjutan</v>
          </cell>
        </row>
        <row r="663">
          <cell r="A663" t="str">
            <v>No.</v>
          </cell>
          <cell r="C663" t="str">
            <v>U R A I A N</v>
          </cell>
          <cell r="G663" t="str">
            <v>KODE</v>
          </cell>
          <cell r="H663" t="str">
            <v>KOEF.</v>
          </cell>
          <cell r="I663" t="str">
            <v>SATUAN</v>
          </cell>
          <cell r="J663" t="str">
            <v>KETERANGAN</v>
          </cell>
        </row>
        <row r="666">
          <cell r="A666" t="str">
            <v>4.</v>
          </cell>
          <cell r="C666" t="str">
            <v>HARGA DASAR SATUAN UPAH, BAHAN DAN ALAT</v>
          </cell>
        </row>
        <row r="667">
          <cell r="C667" t="str">
            <v>Lihat lampiran.</v>
          </cell>
        </row>
        <row r="670">
          <cell r="A670" t="str">
            <v>5.</v>
          </cell>
          <cell r="C670" t="str">
            <v>ANALISA HARGA SATUAN PEKERJAAN</v>
          </cell>
        </row>
        <row r="671">
          <cell r="C671" t="str">
            <v>Lihat perhitungan dalam FORMULIR STANDAR UNTUK</v>
          </cell>
        </row>
        <row r="672">
          <cell r="C672" t="str">
            <v>PEREKEMAN ANALISA MASING-MASING HARGA</v>
          </cell>
        </row>
        <row r="673">
          <cell r="C673" t="str">
            <v>SATUAN.</v>
          </cell>
        </row>
        <row r="674">
          <cell r="C674" t="str">
            <v>Didapat Harga Satuan Pekerjaan :</v>
          </cell>
        </row>
        <row r="676">
          <cell r="C676" t="str">
            <v xml:space="preserve">Rp.  </v>
          </cell>
          <cell r="D676">
            <v>79382.237928574963</v>
          </cell>
          <cell r="E676" t="str">
            <v xml:space="preserve"> / M3</v>
          </cell>
        </row>
        <row r="679">
          <cell r="A679" t="str">
            <v>6.</v>
          </cell>
          <cell r="C679" t="str">
            <v>WAKTU PELAKSANAAN YANG DIPERLUKAN</v>
          </cell>
        </row>
        <row r="680">
          <cell r="C680" t="str">
            <v>Waktu pelaksanaan</v>
          </cell>
          <cell r="D680" t="str">
            <v>:  . . . . . . .  bulan</v>
          </cell>
        </row>
        <row r="682">
          <cell r="A682" t="str">
            <v>7.</v>
          </cell>
          <cell r="C682" t="str">
            <v>VOLUME PEKERJAAN YANG DIPERLUKAN</v>
          </cell>
        </row>
        <row r="683">
          <cell r="C683" t="str">
            <v>Volume pekerjaan  :</v>
          </cell>
          <cell r="D683">
            <v>0</v>
          </cell>
          <cell r="E683" t="str">
            <v>M3</v>
          </cell>
        </row>
        <row r="897">
          <cell r="A897" t="str">
            <v>ITEM PEMBAYARAN NO.</v>
          </cell>
          <cell r="D897" t="str">
            <v>:  4.2 (6)</v>
          </cell>
          <cell r="J897" t="str">
            <v>Analisa EI-426</v>
          </cell>
          <cell r="T897" t="str">
            <v>Analisa EI-426</v>
          </cell>
        </row>
        <row r="898">
          <cell r="A898" t="str">
            <v>JENIS PEKERJAAN</v>
          </cell>
          <cell r="D898" t="str">
            <v>:  Aspal Utk. Pekerjaan Pelaburan</v>
          </cell>
        </row>
        <row r="899">
          <cell r="A899" t="str">
            <v>SATUAN PEMBAYARAN</v>
          </cell>
          <cell r="D899" t="str">
            <v>:  LITER</v>
          </cell>
          <cell r="J899" t="str">
            <v xml:space="preserve">         URAIAN ANALISA HARGA SATUAN</v>
          </cell>
          <cell r="L899" t="str">
            <v>FORMULIR STANDAR UNTUK</v>
          </cell>
        </row>
        <row r="900">
          <cell r="L900" t="str">
            <v>PEREKAMAN ANALISA MASING-MASING HARGA SATUAN</v>
          </cell>
        </row>
        <row r="901">
          <cell r="L901" t="str">
            <v/>
          </cell>
        </row>
        <row r="902">
          <cell r="A902" t="str">
            <v>No.</v>
          </cell>
          <cell r="C902" t="str">
            <v>U R A I A N</v>
          </cell>
          <cell r="G902" t="str">
            <v>KODE</v>
          </cell>
          <cell r="H902" t="str">
            <v>KOEF.</v>
          </cell>
          <cell r="I902" t="str">
            <v>SATUAN</v>
          </cell>
          <cell r="J902" t="str">
            <v>KETERANGAN</v>
          </cell>
        </row>
        <row r="904">
          <cell r="L904" t="str">
            <v>PROYEK</v>
          </cell>
          <cell r="O904" t="str">
            <v>:</v>
          </cell>
        </row>
        <row r="905">
          <cell r="A905" t="str">
            <v>I.</v>
          </cell>
          <cell r="C905" t="str">
            <v>ASUMSI</v>
          </cell>
          <cell r="L905" t="str">
            <v>No. PAKET KONTRAK</v>
          </cell>
          <cell r="O905" t="str">
            <v>:</v>
          </cell>
        </row>
        <row r="906">
          <cell r="A906">
            <v>1</v>
          </cell>
          <cell r="C906" t="str">
            <v>Menggunakan alat berat (cara mekanik)</v>
          </cell>
          <cell r="L906" t="str">
            <v>NAMA PAKET</v>
          </cell>
          <cell r="O906" t="str">
            <v>:</v>
          </cell>
        </row>
        <row r="907">
          <cell r="A907">
            <v>2</v>
          </cell>
          <cell r="C907" t="str">
            <v>Lokasi pekerjaan : sepanjang jalan</v>
          </cell>
          <cell r="L907" t="str">
            <v>PROP / KAB / KODYA</v>
          </cell>
          <cell r="O907" t="str">
            <v>:</v>
          </cell>
        </row>
        <row r="908">
          <cell r="A908">
            <v>3</v>
          </cell>
          <cell r="C908" t="str">
            <v>Jarak rata-rata Base Camp ke lokasi pekerjaan</v>
          </cell>
          <cell r="G908" t="str">
            <v>L</v>
          </cell>
          <cell r="H908">
            <v>8.7249999999999996</v>
          </cell>
          <cell r="I908" t="str">
            <v>KM</v>
          </cell>
          <cell r="L908" t="str">
            <v>ITEM PEMBAYARAN NO.</v>
          </cell>
          <cell r="O908" t="str">
            <v>:  4.2 (6)</v>
          </cell>
          <cell r="R908" t="str">
            <v>PERKIRAAN VOL. PEK.</v>
          </cell>
          <cell r="T908" t="str">
            <v>:</v>
          </cell>
          <cell r="U908">
            <v>0</v>
          </cell>
        </row>
        <row r="909">
          <cell r="A909">
            <v>4</v>
          </cell>
          <cell r="C909" t="str">
            <v>Jam kerja efektif per-hari</v>
          </cell>
          <cell r="G909" t="str">
            <v>Tk</v>
          </cell>
          <cell r="H909">
            <v>7</v>
          </cell>
          <cell r="I909" t="str">
            <v>Jam</v>
          </cell>
          <cell r="L909" t="str">
            <v>JENIS PEKERJAAN</v>
          </cell>
          <cell r="O909" t="str">
            <v>:  Aspal Utk. Pekerjaan Pelaburan</v>
          </cell>
          <cell r="R909" t="str">
            <v>TOTAL HARGA (Rp.)</v>
          </cell>
          <cell r="T909" t="str">
            <v>:</v>
          </cell>
          <cell r="U909">
            <v>0</v>
          </cell>
        </row>
        <row r="910">
          <cell r="A910">
            <v>5</v>
          </cell>
          <cell r="C910" t="str">
            <v>Faktor kehilangan bahan</v>
          </cell>
          <cell r="G910" t="str">
            <v>Fh</v>
          </cell>
          <cell r="H910">
            <v>1.1000000000000001</v>
          </cell>
          <cell r="I910" t="str">
            <v>-</v>
          </cell>
          <cell r="L910" t="str">
            <v>SATUAN PEMBAYARAN</v>
          </cell>
          <cell r="O910" t="str">
            <v>:  LITER</v>
          </cell>
          <cell r="R910" t="str">
            <v>% THD. BIAYA PROYEK</v>
          </cell>
          <cell r="T910" t="str">
            <v>:</v>
          </cell>
          <cell r="U910" t="e">
            <v>#DIV/0!</v>
          </cell>
        </row>
        <row r="911">
          <cell r="A911">
            <v>6</v>
          </cell>
          <cell r="C911" t="str">
            <v>Komposisi campuran  :</v>
          </cell>
        </row>
        <row r="912">
          <cell r="A912" t="str">
            <v/>
          </cell>
          <cell r="C912" t="str">
            <v>- Aspal AC - 10 atau AC - 20</v>
          </cell>
          <cell r="G912" t="str">
            <v>As</v>
          </cell>
          <cell r="H912">
            <v>95.238095238095227</v>
          </cell>
          <cell r="I912" t="str">
            <v>%</v>
          </cell>
          <cell r="J912" t="str">
            <v>100 bagian</v>
          </cell>
        </row>
        <row r="913">
          <cell r="A913" t="str">
            <v/>
          </cell>
          <cell r="C913" t="str">
            <v>- Minyak Tanah / Pencair</v>
          </cell>
          <cell r="G913" t="str">
            <v>K</v>
          </cell>
          <cell r="H913">
            <v>4.7619047619047734</v>
          </cell>
          <cell r="I913" t="str">
            <v>%</v>
          </cell>
          <cell r="J913" t="str">
            <v>5 bagian</v>
          </cell>
          <cell r="Q913" t="str">
            <v>PERKIRAAN</v>
          </cell>
          <cell r="R913" t="str">
            <v>HARGA</v>
          </cell>
          <cell r="S913" t="str">
            <v>JUMLAH</v>
          </cell>
        </row>
        <row r="914">
          <cell r="A914">
            <v>7</v>
          </cell>
          <cell r="C914" t="str">
            <v>Berat jenis bahan  :</v>
          </cell>
          <cell r="L914" t="str">
            <v>NO.</v>
          </cell>
          <cell r="N914" t="str">
            <v>KOMPONEN</v>
          </cell>
          <cell r="P914" t="str">
            <v>SATUAN</v>
          </cell>
          <cell r="Q914" t="str">
            <v>KUANTITAS</v>
          </cell>
          <cell r="R914" t="str">
            <v>SATUAN</v>
          </cell>
          <cell r="S914" t="str">
            <v>HARGA</v>
          </cell>
        </row>
        <row r="915">
          <cell r="C915" t="str">
            <v>- Aspal AC - 10 atau AC - 20</v>
          </cell>
          <cell r="G915" t="str">
            <v>D1</v>
          </cell>
          <cell r="H915">
            <v>1.05</v>
          </cell>
          <cell r="I915" t="str">
            <v>Kg / Ltr</v>
          </cell>
          <cell r="R915" t="str">
            <v>(Rp.)</v>
          </cell>
          <cell r="S915" t="str">
            <v>(Rp.)</v>
          </cell>
        </row>
        <row r="916">
          <cell r="C916" t="str">
            <v>- Minyak Tanah / Pencair</v>
          </cell>
          <cell r="G916" t="str">
            <v>D2</v>
          </cell>
          <cell r="H916">
            <v>0.8</v>
          </cell>
          <cell r="I916" t="str">
            <v>Kg / Ltr</v>
          </cell>
        </row>
        <row r="917">
          <cell r="A917">
            <v>8</v>
          </cell>
          <cell r="C917" t="str">
            <v>Bahan dasar (aspal &amp; minyak pencair) semuanya</v>
          </cell>
        </row>
        <row r="918">
          <cell r="C918" t="str">
            <v>diterima dilokasi pekerjaan</v>
          </cell>
          <cell r="L918" t="str">
            <v>A.</v>
          </cell>
          <cell r="N918" t="str">
            <v>TENAGA</v>
          </cell>
        </row>
        <row r="919">
          <cell r="A919" t="str">
            <v/>
          </cell>
          <cell r="C919" t="str">
            <v/>
          </cell>
        </row>
        <row r="920">
          <cell r="A920" t="str">
            <v>II.</v>
          </cell>
          <cell r="C920" t="str">
            <v>URUTAN KERJA</v>
          </cell>
          <cell r="L920" t="str">
            <v>1.</v>
          </cell>
          <cell r="N920" t="str">
            <v>Pekerja</v>
          </cell>
          <cell r="O920" t="str">
            <v>(L01)</v>
          </cell>
          <cell r="P920" t="str">
            <v>Jam</v>
          </cell>
          <cell r="Q920">
            <v>2.8348688873139617E-2</v>
          </cell>
          <cell r="R920">
            <v>2857.14</v>
          </cell>
          <cell r="U920">
            <v>80.996172927002121</v>
          </cell>
        </row>
        <row r="921">
          <cell r="A921">
            <v>1</v>
          </cell>
          <cell r="C921" t="str">
            <v>Aspal dan minyak tanah dicampur dan dipanaskan</v>
          </cell>
          <cell r="L921" t="str">
            <v>2.</v>
          </cell>
          <cell r="N921" t="str">
            <v>Mandor</v>
          </cell>
          <cell r="O921" t="str">
            <v>(L03)</v>
          </cell>
          <cell r="P921" t="str">
            <v>Jam</v>
          </cell>
          <cell r="Q921">
            <v>2.8348688873139618E-3</v>
          </cell>
          <cell r="R921">
            <v>3214.29</v>
          </cell>
          <cell r="U921">
            <v>9.1120907158043938</v>
          </cell>
        </row>
        <row r="922">
          <cell r="C922" t="str">
            <v>sehingga menjadi campuran aspal cair</v>
          </cell>
        </row>
        <row r="923">
          <cell r="A923">
            <v>2</v>
          </cell>
          <cell r="C923" t="str">
            <v>Permukaan yang akan dilapis dibersihkan dari debu</v>
          </cell>
        </row>
        <row r="924">
          <cell r="C924" t="str">
            <v>dan kotoran dengan Air Compresor</v>
          </cell>
          <cell r="Q924" t="str">
            <v xml:space="preserve">JUMLAH HARGA TENAGA   </v>
          </cell>
          <cell r="U924">
            <v>90.10826364280652</v>
          </cell>
        </row>
        <row r="925">
          <cell r="A925">
            <v>3</v>
          </cell>
          <cell r="C925" t="str">
            <v>Campuran aspal cair disemprotkan dengan Asphalt</v>
          </cell>
        </row>
        <row r="926">
          <cell r="C926" t="str">
            <v>Sprayer ke atas permukaan yang akan dilapis</v>
          </cell>
          <cell r="L926" t="str">
            <v>B.</v>
          </cell>
          <cell r="N926" t="str">
            <v>BAHAN</v>
          </cell>
        </row>
        <row r="927">
          <cell r="A927">
            <v>4</v>
          </cell>
          <cell r="C927" t="str">
            <v>Angkutan Aspal dan Minyak Tanah menggunakan</v>
          </cell>
          <cell r="Q927" t="str">
            <v/>
          </cell>
        </row>
        <row r="928">
          <cell r="C928" t="str">
            <v>Dump Truck</v>
          </cell>
          <cell r="L928" t="str">
            <v>1.</v>
          </cell>
          <cell r="N928" t="str">
            <v>Aspal</v>
          </cell>
          <cell r="O928" t="str">
            <v>(M10)</v>
          </cell>
          <cell r="P928" t="str">
            <v>Kg</v>
          </cell>
          <cell r="Q928">
            <v>1.1000000000000001</v>
          </cell>
          <cell r="R928">
            <v>2086.6280000000002</v>
          </cell>
          <cell r="U928">
            <v>2295.2908000000002</v>
          </cell>
        </row>
        <row r="929">
          <cell r="L929" t="str">
            <v>2.</v>
          </cell>
          <cell r="N929" t="str">
            <v>Minyak Tanah</v>
          </cell>
          <cell r="O929" t="str">
            <v>(M11)</v>
          </cell>
          <cell r="P929" t="str">
            <v>Liter</v>
          </cell>
          <cell r="Q929">
            <v>5.2380952380952514E-2</v>
          </cell>
          <cell r="R929">
            <v>1650</v>
          </cell>
          <cell r="U929">
            <v>86.428571428571644</v>
          </cell>
        </row>
        <row r="930">
          <cell r="A930" t="str">
            <v>III.</v>
          </cell>
          <cell r="C930" t="str">
            <v>PEMAKAIAN BAHAN, ALAT DAN TENAGA</v>
          </cell>
        </row>
        <row r="932">
          <cell r="A932" t="str">
            <v xml:space="preserve">   1.</v>
          </cell>
          <cell r="C932" t="str">
            <v>BAHAN</v>
          </cell>
        </row>
        <row r="933">
          <cell r="C933" t="str">
            <v>Untuk mendapatkan 1 liter Lapis resap Pengikat</v>
          </cell>
        </row>
        <row r="934">
          <cell r="C934" t="str">
            <v>diperlukan :</v>
          </cell>
          <cell r="D934" t="str">
            <v>(1 liter x Fh)</v>
          </cell>
          <cell r="G934" t="str">
            <v>Pc</v>
          </cell>
          <cell r="H934">
            <v>1.1000000000000001</v>
          </cell>
          <cell r="I934" t="str">
            <v>liter</v>
          </cell>
          <cell r="J934" t="str">
            <v>Campuran</v>
          </cell>
          <cell r="Q934" t="str">
            <v xml:space="preserve">JUMLAH HARGA BAHAN   </v>
          </cell>
          <cell r="U934">
            <v>2381.7193714285718</v>
          </cell>
        </row>
        <row r="936">
          <cell r="C936" t="str">
            <v>Aspal</v>
          </cell>
          <cell r="D936" t="str">
            <v>= As x Pc x D1 : 100</v>
          </cell>
          <cell r="G936" t="str">
            <v>(M10)</v>
          </cell>
          <cell r="H936">
            <v>1.1000000000000001</v>
          </cell>
          <cell r="I936" t="str">
            <v>Kg</v>
          </cell>
          <cell r="L936" t="str">
            <v>C.</v>
          </cell>
          <cell r="N936" t="str">
            <v>PERALATAN</v>
          </cell>
        </row>
        <row r="937">
          <cell r="C937" t="str">
            <v>Minyak Tanah</v>
          </cell>
          <cell r="D937" t="str">
            <v>= K x Pc : 100</v>
          </cell>
          <cell r="G937" t="str">
            <v>(M11)</v>
          </cell>
          <cell r="H937">
            <v>5.2380952380952514E-2</v>
          </cell>
          <cell r="I937" t="str">
            <v>liter</v>
          </cell>
        </row>
        <row r="938">
          <cell r="L938" t="str">
            <v>1.</v>
          </cell>
          <cell r="N938" t="str">
            <v>Asphalt Sprayer  (E03)</v>
          </cell>
          <cell r="P938" t="str">
            <v>Jam</v>
          </cell>
          <cell r="Q938">
            <v>2.8348688873139618E-3</v>
          </cell>
          <cell r="R938">
            <v>30575.535383788432</v>
          </cell>
          <cell r="U938">
            <v>86.677633972468982</v>
          </cell>
        </row>
        <row r="939">
          <cell r="A939" t="str">
            <v>2.</v>
          </cell>
          <cell r="C939" t="str">
            <v>ALAT</v>
          </cell>
          <cell r="L939" t="str">
            <v>2.</v>
          </cell>
          <cell r="N939" t="str">
            <v>Air Compresor    (E05)</v>
          </cell>
          <cell r="P939" t="str">
            <v>Jam</v>
          </cell>
          <cell r="Q939">
            <v>1.7857142857142857E-3</v>
          </cell>
          <cell r="R939">
            <v>53840.365312835944</v>
          </cell>
          <cell r="U939">
            <v>96.143509487207041</v>
          </cell>
        </row>
        <row r="940">
          <cell r="A940" t="str">
            <v>2.a.</v>
          </cell>
          <cell r="C940" t="str">
            <v>APHALT SPRAYER</v>
          </cell>
          <cell r="G940" t="str">
            <v>(E03)</v>
          </cell>
          <cell r="L940" t="str">
            <v>3.</v>
          </cell>
          <cell r="N940" t="str">
            <v>Dump Truck</v>
          </cell>
          <cell r="O940" t="str">
            <v>(E08)</v>
          </cell>
          <cell r="P940" t="str">
            <v>Jam</v>
          </cell>
          <cell r="Q940">
            <v>2.8348688873139618E-3</v>
          </cell>
          <cell r="R940">
            <v>153645.58193291764</v>
          </cell>
          <cell r="U940">
            <v>435.56507989487642</v>
          </cell>
        </row>
        <row r="941">
          <cell r="C941" t="str">
            <v>Kapasitas alat</v>
          </cell>
          <cell r="G941" t="str">
            <v>V</v>
          </cell>
          <cell r="H941">
            <v>850</v>
          </cell>
          <cell r="I941" t="str">
            <v>liter</v>
          </cell>
        </row>
        <row r="942">
          <cell r="C942" t="str">
            <v>Faktor Efisiensi Alat</v>
          </cell>
          <cell r="G942" t="str">
            <v>Fa</v>
          </cell>
          <cell r="H942">
            <v>0.83</v>
          </cell>
          <cell r="I942" t="str">
            <v>-</v>
          </cell>
        </row>
        <row r="943">
          <cell r="C943" t="str">
            <v>Waktu Siklus (termasuk proses pemanasan)</v>
          </cell>
          <cell r="G943" t="str">
            <v>Ts</v>
          </cell>
          <cell r="H943">
            <v>2</v>
          </cell>
          <cell r="I943" t="str">
            <v>Jam</v>
          </cell>
        </row>
        <row r="945">
          <cell r="C945" t="str">
            <v>Kap.Prod. / jam =</v>
          </cell>
          <cell r="D945" t="str">
            <v>V x Fa</v>
          </cell>
          <cell r="G945" t="str">
            <v>Q1</v>
          </cell>
          <cell r="H945">
            <v>352.75</v>
          </cell>
          <cell r="I945" t="str">
            <v>liter</v>
          </cell>
        </row>
        <row r="946">
          <cell r="D946" t="str">
            <v>Ts</v>
          </cell>
          <cell r="Q946" t="str">
            <v xml:space="preserve">JUMLAH HARGA PERALATAN   </v>
          </cell>
          <cell r="U946">
            <v>618.38622335455238</v>
          </cell>
        </row>
        <row r="947">
          <cell r="C947" t="str">
            <v>Koefisien Alat / Ltr</v>
          </cell>
          <cell r="D947" t="str">
            <v xml:space="preserve"> = 1 : Q1</v>
          </cell>
          <cell r="G947" t="str">
            <v>(E03)</v>
          </cell>
          <cell r="H947">
            <v>2.8348688873139618E-3</v>
          </cell>
          <cell r="I947" t="str">
            <v>Jam</v>
          </cell>
        </row>
        <row r="948">
          <cell r="L948" t="str">
            <v>D.</v>
          </cell>
          <cell r="N948" t="str">
            <v>JUMLAH HARGA TENAGA, BAHAN DAN PERALATAN  ( A + B + C )</v>
          </cell>
          <cell r="U948">
            <v>3090.2138584259305</v>
          </cell>
        </row>
        <row r="949">
          <cell r="A949" t="str">
            <v>2.b.</v>
          </cell>
          <cell r="C949" t="str">
            <v>AIR COMPRESOR</v>
          </cell>
          <cell r="G949" t="str">
            <v>(E05)</v>
          </cell>
          <cell r="L949" t="str">
            <v>E.</v>
          </cell>
          <cell r="N949" t="str">
            <v>OVERHEAD &amp; PROFIT</v>
          </cell>
          <cell r="P949">
            <v>10</v>
          </cell>
          <cell r="Q949" t="str">
            <v>%  x  D</v>
          </cell>
          <cell r="U949">
            <v>309.02138584259308</v>
          </cell>
        </row>
        <row r="950">
          <cell r="C950" t="str">
            <v>Kapasitas Alat ------&gt;&gt;  diambil</v>
          </cell>
          <cell r="G950" t="str">
            <v>V</v>
          </cell>
          <cell r="H950">
            <v>700</v>
          </cell>
          <cell r="I950" t="str">
            <v>M2 / Jam</v>
          </cell>
          <cell r="L950" t="str">
            <v>F.</v>
          </cell>
          <cell r="N950" t="str">
            <v>HARGA SATUAN PEKERJAAN  ( D + E )</v>
          </cell>
          <cell r="U950">
            <v>3399.2352442685237</v>
          </cell>
        </row>
        <row r="951">
          <cell r="C951" t="str">
            <v>Aplikasi rata-rata</v>
          </cell>
          <cell r="G951" t="str">
            <v>Ap</v>
          </cell>
          <cell r="H951">
            <v>0.8</v>
          </cell>
          <cell r="I951" t="str">
            <v>liter / M2</v>
          </cell>
          <cell r="L951" t="str">
            <v>Note: 1</v>
          </cell>
          <cell r="N951" t="str">
            <v>SATUAN dapat berdasarkan atas jam operasi untuk Tenaga Kerja dan Peralatan, volume dan/atau ukuran</v>
          </cell>
        </row>
        <row r="952">
          <cell r="N952" t="str">
            <v>berat untuk bahan-bahan.</v>
          </cell>
        </row>
        <row r="953">
          <cell r="C953" t="str">
            <v xml:space="preserve">Kap. Prod. / jam = </v>
          </cell>
          <cell r="D953" t="str">
            <v>(V x Ap)</v>
          </cell>
          <cell r="G953" t="str">
            <v>Q2</v>
          </cell>
          <cell r="H953">
            <v>560</v>
          </cell>
          <cell r="I953" t="str">
            <v>liter</v>
          </cell>
          <cell r="L953">
            <v>2</v>
          </cell>
          <cell r="N953" t="str">
            <v>Kuantitas satuan adalah kuantitas setiap komponen untuk menyelesaikan satu satuan pekerjaan dari nomor</v>
          </cell>
        </row>
        <row r="954">
          <cell r="N954" t="str">
            <v>mata pembayaran.</v>
          </cell>
        </row>
        <row r="955">
          <cell r="C955" t="str">
            <v>Koefisien Alat / Ltr</v>
          </cell>
          <cell r="D955" t="str">
            <v xml:space="preserve"> = 1 : Q2</v>
          </cell>
          <cell r="G955" t="str">
            <v>(E05)</v>
          </cell>
          <cell r="H955">
            <v>1.7857142857142857E-3</v>
          </cell>
          <cell r="I955" t="str">
            <v>Jam</v>
          </cell>
          <cell r="L955">
            <v>3</v>
          </cell>
          <cell r="N955" t="str">
            <v>Biaya satuan untuk peralatan sudah termasuk bahan bakar, bahan habis dipakai dan operator.</v>
          </cell>
        </row>
        <row r="956">
          <cell r="L956">
            <v>4</v>
          </cell>
          <cell r="N956" t="str">
            <v>Biaya satuan sudah termasuk pengeluaran untuk seluruh pajak yang berkaitan (tetapi tidak termasuk PPN</v>
          </cell>
        </row>
        <row r="957">
          <cell r="J957" t="str">
            <v>Berlanjut ke halaman berikut</v>
          </cell>
          <cell r="N957" t="str">
            <v>yang dibayar dari kontrak) dan biaya-biaya lainnya.</v>
          </cell>
        </row>
        <row r="958">
          <cell r="A958" t="str">
            <v>ITEM PEMBAYARAN NO.</v>
          </cell>
          <cell r="D958" t="str">
            <v>:  4.2 (6)</v>
          </cell>
          <cell r="J958" t="str">
            <v>Analisa EI-426</v>
          </cell>
        </row>
        <row r="959">
          <cell r="A959" t="str">
            <v xml:space="preserve">JENIS PEKERJAAN                                  </v>
          </cell>
          <cell r="D959" t="str">
            <v>:  Aspal Utk. Pekerjaan Pelaburan</v>
          </cell>
        </row>
        <row r="960">
          <cell r="A960" t="str">
            <v>SATUAN PEMBAYARAN</v>
          </cell>
          <cell r="D960" t="str">
            <v>:  LITER</v>
          </cell>
          <cell r="J960" t="str">
            <v xml:space="preserve">         URAIAN ANALISA HARGA SATUAN</v>
          </cell>
        </row>
        <row r="961">
          <cell r="J961" t="str">
            <v>Lanjutan</v>
          </cell>
        </row>
        <row r="963">
          <cell r="A963" t="str">
            <v>No.</v>
          </cell>
          <cell r="C963" t="str">
            <v>U R A I A N</v>
          </cell>
          <cell r="G963" t="str">
            <v>KODE</v>
          </cell>
          <cell r="H963" t="str">
            <v>KOEF.</v>
          </cell>
          <cell r="I963" t="str">
            <v>SATUAN</v>
          </cell>
          <cell r="J963" t="str">
            <v>KETERANGAN</v>
          </cell>
        </row>
        <row r="966">
          <cell r="A966" t="str">
            <v>2.c.</v>
          </cell>
          <cell r="C966" t="str">
            <v>DUMP TRUCK (DT)</v>
          </cell>
          <cell r="G966" t="str">
            <v>(E08)</v>
          </cell>
        </row>
        <row r="967">
          <cell r="C967" t="str">
            <v>Sebagai alat pengangkut bahan dilokasi pekerjaan</v>
          </cell>
        </row>
        <row r="968">
          <cell r="C968" t="str">
            <v>Dump Truck melayani alat Asphalt Sprayer.</v>
          </cell>
        </row>
        <row r="969">
          <cell r="C969" t="str">
            <v>Kap.Prod. / jam = sama dengan Asphalt Sprayer</v>
          </cell>
          <cell r="G969" t="str">
            <v>Q3</v>
          </cell>
          <cell r="H969">
            <v>352.75</v>
          </cell>
          <cell r="I969" t="str">
            <v>liter</v>
          </cell>
        </row>
        <row r="971">
          <cell r="C971" t="str">
            <v>Koefisien Alat / Ltr</v>
          </cell>
          <cell r="D971" t="str">
            <v xml:space="preserve"> = 1 : Q3</v>
          </cell>
          <cell r="G971" t="str">
            <v>(E08)</v>
          </cell>
          <cell r="H971">
            <v>2.8348688873139618E-3</v>
          </cell>
          <cell r="I971" t="str">
            <v>Jam</v>
          </cell>
        </row>
        <row r="973">
          <cell r="A973" t="str">
            <v>3.</v>
          </cell>
          <cell r="C973" t="str">
            <v>TENAGA</v>
          </cell>
        </row>
        <row r="974">
          <cell r="C974" t="str">
            <v>Produksi menentukan : ASPHALT SPRAYER</v>
          </cell>
          <cell r="G974" t="str">
            <v>Q1</v>
          </cell>
          <cell r="H974">
            <v>352.75</v>
          </cell>
          <cell r="I974" t="str">
            <v>Ltr/Jam</v>
          </cell>
        </row>
        <row r="975">
          <cell r="C975" t="str">
            <v>Produksi / hari  =  Tk x Q1</v>
          </cell>
          <cell r="G975" t="str">
            <v>Qt</v>
          </cell>
          <cell r="H975">
            <v>2469.25</v>
          </cell>
          <cell r="I975" t="str">
            <v>Liter</v>
          </cell>
        </row>
        <row r="976">
          <cell r="C976" t="str">
            <v>Kebutuhan tenaga :</v>
          </cell>
        </row>
        <row r="977">
          <cell r="D977" t="str">
            <v>- Pekerja</v>
          </cell>
          <cell r="G977" t="str">
            <v>P</v>
          </cell>
          <cell r="H977">
            <v>10</v>
          </cell>
          <cell r="I977" t="str">
            <v>orang</v>
          </cell>
        </row>
        <row r="978">
          <cell r="D978" t="str">
            <v>- Mandor</v>
          </cell>
          <cell r="G978" t="str">
            <v>M</v>
          </cell>
          <cell r="H978">
            <v>1</v>
          </cell>
          <cell r="I978" t="str">
            <v>orang</v>
          </cell>
        </row>
        <row r="980">
          <cell r="C980" t="str">
            <v>Koefisien Tenaga / Ltr     :</v>
          </cell>
        </row>
        <row r="981">
          <cell r="D981" t="str">
            <v>- Pekerja</v>
          </cell>
          <cell r="E981" t="str">
            <v>= (Tk x P) / Qt</v>
          </cell>
          <cell r="G981" t="str">
            <v>(L01)</v>
          </cell>
          <cell r="H981">
            <v>2.8348688873139617E-2</v>
          </cell>
          <cell r="I981" t="str">
            <v>Jam</v>
          </cell>
        </row>
        <row r="982">
          <cell r="D982" t="str">
            <v>- Mandor</v>
          </cell>
          <cell r="E982" t="str">
            <v>= (Tk x M) / Qt</v>
          </cell>
          <cell r="G982" t="str">
            <v>(L03)</v>
          </cell>
          <cell r="H982">
            <v>2.8348688873139618E-3</v>
          </cell>
          <cell r="I982" t="str">
            <v>Jam</v>
          </cell>
        </row>
        <row r="984">
          <cell r="A984" t="str">
            <v>4.</v>
          </cell>
          <cell r="C984" t="str">
            <v>HARGA DASAR SATUAN UPAH, BAHAN DAN ALAT</v>
          </cell>
        </row>
        <row r="985">
          <cell r="C985" t="str">
            <v>Lihat lampiran.</v>
          </cell>
        </row>
        <row r="987">
          <cell r="A987" t="str">
            <v>5.</v>
          </cell>
          <cell r="C987" t="str">
            <v>ANALISA HARGA SATUAN PEKERJAAN</v>
          </cell>
        </row>
        <row r="988">
          <cell r="C988" t="str">
            <v>Lihat perhitungan dalam FORMULIR STANDAR UNTUK</v>
          </cell>
        </row>
        <row r="989">
          <cell r="C989" t="str">
            <v>PEREKEMAN ANALISA MASING-MASING HARGA</v>
          </cell>
        </row>
        <row r="990">
          <cell r="C990" t="str">
            <v>SATUAN.</v>
          </cell>
        </row>
        <row r="991">
          <cell r="C991" t="str">
            <v>Didapat Harga Satuan Pekerjaan :</v>
          </cell>
        </row>
        <row r="993">
          <cell r="C993" t="str">
            <v xml:space="preserve">Rp.  </v>
          </cell>
          <cell r="D993">
            <v>3399.2352442685237</v>
          </cell>
          <cell r="E993" t="str">
            <v xml:space="preserve"> / Liter</v>
          </cell>
        </row>
        <row r="996">
          <cell r="A996" t="str">
            <v>6.</v>
          </cell>
          <cell r="C996" t="str">
            <v>WAKTU PELAKSANAAN YANG DIPERLUKAN</v>
          </cell>
        </row>
        <row r="997">
          <cell r="C997" t="str">
            <v>Waktu pelaksanaan</v>
          </cell>
          <cell r="D997" t="str">
            <v>:  . . . . . . .  bulan</v>
          </cell>
        </row>
        <row r="999">
          <cell r="A999" t="str">
            <v>7.</v>
          </cell>
          <cell r="C999" t="str">
            <v>VOLUME PEKERJAAN YANG DIPERLUKAN</v>
          </cell>
        </row>
        <row r="1000">
          <cell r="C1000" t="str">
            <v>Volume pekerjaan  :</v>
          </cell>
          <cell r="D1000">
            <v>0</v>
          </cell>
          <cell r="E1000" t="str">
            <v>Liter</v>
          </cell>
        </row>
        <row r="1015">
          <cell r="C1015" t="str">
            <v/>
          </cell>
        </row>
        <row r="1017">
          <cell r="A1017" t="str">
            <v>ITEM PEMBAYARAN NO.</v>
          </cell>
          <cell r="D1017" t="str">
            <v>:  4.2 (7)</v>
          </cell>
          <cell r="J1017" t="str">
            <v>Analisa EI-427</v>
          </cell>
          <cell r="T1017" t="str">
            <v>Analisa EI-427</v>
          </cell>
        </row>
        <row r="1018">
          <cell r="A1018" t="str">
            <v>JENIS PEKERJAAN</v>
          </cell>
          <cell r="D1018" t="str">
            <v>:  Lapis Resap Pengikat</v>
          </cell>
        </row>
        <row r="1019">
          <cell r="A1019" t="str">
            <v>SATUAN PEMBAYARAN</v>
          </cell>
          <cell r="D1019" t="str">
            <v>:  LITER</v>
          </cell>
          <cell r="J1019" t="str">
            <v xml:space="preserve">         URAIAN ANALISA HARGA SATUAN</v>
          </cell>
          <cell r="L1019" t="str">
            <v>FORMULIR STANDAR UNTUK</v>
          </cell>
        </row>
        <row r="1020">
          <cell r="L1020" t="str">
            <v>PEREKAMAN ANALISA MASING-MASING HARGA SATUAN</v>
          </cell>
        </row>
        <row r="1021">
          <cell r="L1021" t="str">
            <v/>
          </cell>
        </row>
        <row r="1022">
          <cell r="A1022" t="str">
            <v>No.</v>
          </cell>
          <cell r="C1022" t="str">
            <v>U R A I A N</v>
          </cell>
          <cell r="G1022" t="str">
            <v>KODE</v>
          </cell>
          <cell r="H1022" t="str">
            <v>KOEF.</v>
          </cell>
          <cell r="I1022" t="str">
            <v>SATUAN</v>
          </cell>
          <cell r="J1022" t="str">
            <v>KETERANGAN</v>
          </cell>
        </row>
        <row r="1024">
          <cell r="L1024" t="str">
            <v>PROYEK</v>
          </cell>
          <cell r="O1024" t="str">
            <v>:</v>
          </cell>
        </row>
        <row r="1025">
          <cell r="A1025" t="str">
            <v>I.</v>
          </cell>
          <cell r="C1025" t="str">
            <v>ASUMSI</v>
          </cell>
          <cell r="L1025" t="str">
            <v>No. PAKET KONTRAK</v>
          </cell>
          <cell r="O1025" t="str">
            <v>:</v>
          </cell>
        </row>
        <row r="1026">
          <cell r="A1026">
            <v>1</v>
          </cell>
          <cell r="C1026" t="str">
            <v>Menggunakan alat berat (cara mekanik)</v>
          </cell>
          <cell r="L1026" t="str">
            <v>NAMA PAKET</v>
          </cell>
          <cell r="O1026" t="str">
            <v>:</v>
          </cell>
        </row>
        <row r="1027">
          <cell r="A1027">
            <v>2</v>
          </cell>
          <cell r="C1027" t="str">
            <v>Lokasi pekerjaan : sepanjang jalan</v>
          </cell>
          <cell r="L1027" t="str">
            <v>PROP / KAB / KODYA</v>
          </cell>
          <cell r="O1027" t="str">
            <v>:</v>
          </cell>
        </row>
        <row r="1028">
          <cell r="A1028">
            <v>3</v>
          </cell>
          <cell r="C1028" t="str">
            <v>Jarak rata-rata Base Camp ke lokasi pekerjaan</v>
          </cell>
          <cell r="G1028" t="str">
            <v>L</v>
          </cell>
          <cell r="H1028">
            <v>8.7249999999999996</v>
          </cell>
          <cell r="I1028" t="str">
            <v>KM</v>
          </cell>
          <cell r="L1028" t="str">
            <v>ITEM PEMBAYARAN NO.</v>
          </cell>
          <cell r="O1028" t="str">
            <v>:  4.2 (7)</v>
          </cell>
          <cell r="R1028" t="str">
            <v>PERKIRAAN VOL. PEK.</v>
          </cell>
          <cell r="T1028" t="str">
            <v>:</v>
          </cell>
          <cell r="U1028">
            <v>1</v>
          </cell>
        </row>
        <row r="1029">
          <cell r="A1029">
            <v>4</v>
          </cell>
          <cell r="C1029" t="str">
            <v>Jam kerja efektif per-hari</v>
          </cell>
          <cell r="G1029" t="str">
            <v>Tk</v>
          </cell>
          <cell r="H1029">
            <v>7</v>
          </cell>
          <cell r="I1029" t="str">
            <v>Jam</v>
          </cell>
          <cell r="L1029" t="str">
            <v>JENIS PEKERJAAN</v>
          </cell>
          <cell r="O1029" t="str">
            <v>:  Lapis Resap Pengikat</v>
          </cell>
          <cell r="R1029" t="str">
            <v>TOTAL HARGA (Rp.)</v>
          </cell>
          <cell r="T1029" t="str">
            <v>:</v>
          </cell>
          <cell r="U1029">
            <v>305360.27</v>
          </cell>
        </row>
        <row r="1030">
          <cell r="A1030">
            <v>5</v>
          </cell>
          <cell r="C1030" t="str">
            <v>Faktor kehilangan bahan</v>
          </cell>
          <cell r="G1030" t="str">
            <v>Fh</v>
          </cell>
          <cell r="H1030">
            <v>1.1000000000000001</v>
          </cell>
          <cell r="I1030" t="str">
            <v>-</v>
          </cell>
          <cell r="L1030" t="str">
            <v>SATUAN PEMBAYARAN</v>
          </cell>
          <cell r="O1030" t="str">
            <v>:  LITER</v>
          </cell>
          <cell r="R1030" t="str">
            <v>% THD. BIAYA PROYEK</v>
          </cell>
          <cell r="T1030" t="str">
            <v>:</v>
          </cell>
          <cell r="U1030" t="e">
            <v>#DIV/0!</v>
          </cell>
        </row>
        <row r="1031">
          <cell r="A1031">
            <v>6</v>
          </cell>
          <cell r="C1031" t="str">
            <v>Komposisi campuran :</v>
          </cell>
        </row>
        <row r="1032">
          <cell r="C1032" t="str">
            <v>- Aspal AC-10 atau AC-20</v>
          </cell>
          <cell r="G1032" t="str">
            <v>As</v>
          </cell>
          <cell r="H1032">
            <v>56</v>
          </cell>
          <cell r="I1032" t="str">
            <v>%</v>
          </cell>
          <cell r="J1032" t="str">
            <v xml:space="preserve"> 100 bagian</v>
          </cell>
        </row>
        <row r="1033">
          <cell r="C1033" t="str">
            <v>- Minyak Flux / Pencair</v>
          </cell>
          <cell r="G1033" t="str">
            <v>K</v>
          </cell>
          <cell r="H1033">
            <v>44</v>
          </cell>
          <cell r="I1033" t="str">
            <v>%</v>
          </cell>
          <cell r="J1033" t="str">
            <v xml:space="preserve"> 80   bagian</v>
          </cell>
          <cell r="Q1033" t="str">
            <v>PERKIRAAN</v>
          </cell>
          <cell r="R1033" t="str">
            <v>HARGA</v>
          </cell>
          <cell r="S1033" t="str">
            <v>JUMLAH</v>
          </cell>
        </row>
        <row r="1034">
          <cell r="A1034">
            <v>7</v>
          </cell>
          <cell r="C1034" t="str">
            <v>Berat jenis bahan :</v>
          </cell>
          <cell r="L1034" t="str">
            <v>NO.</v>
          </cell>
          <cell r="N1034" t="str">
            <v>KOMPONEN</v>
          </cell>
          <cell r="P1034" t="str">
            <v>SATUAN</v>
          </cell>
          <cell r="Q1034" t="str">
            <v>KUANTITAS</v>
          </cell>
          <cell r="R1034" t="str">
            <v>SATUAN</v>
          </cell>
          <cell r="S1034" t="str">
            <v>HARGA</v>
          </cell>
        </row>
        <row r="1035">
          <cell r="C1035" t="str">
            <v>- Aspal AC-10 atau AC-20</v>
          </cell>
          <cell r="G1035" t="str">
            <v>D1</v>
          </cell>
          <cell r="H1035">
            <v>1.03</v>
          </cell>
          <cell r="I1035" t="str">
            <v>Kg / liter</v>
          </cell>
          <cell r="R1035" t="str">
            <v>(Rp.)</v>
          </cell>
          <cell r="S1035" t="str">
            <v>(Rp.)</v>
          </cell>
        </row>
        <row r="1036">
          <cell r="C1036" t="str">
            <v>- Minyak Flux / Pencair</v>
          </cell>
          <cell r="G1036" t="str">
            <v>D2</v>
          </cell>
          <cell r="H1036">
            <v>0.8</v>
          </cell>
          <cell r="I1036" t="str">
            <v>Kg / liter</v>
          </cell>
        </row>
        <row r="1037">
          <cell r="A1037">
            <v>8</v>
          </cell>
          <cell r="C1037" t="str">
            <v>Bahan dasar (aspal &amp; minyak pencair) semuanya</v>
          </cell>
        </row>
        <row r="1038">
          <cell r="C1038" t="str">
            <v>diterima di lokasi pekerjaan</v>
          </cell>
          <cell r="L1038" t="str">
            <v>A.</v>
          </cell>
          <cell r="N1038" t="str">
            <v>TENAGA</v>
          </cell>
        </row>
        <row r="1040">
          <cell r="A1040" t="str">
            <v>II.</v>
          </cell>
          <cell r="C1040" t="str">
            <v>URUTAN KERJA</v>
          </cell>
          <cell r="L1040" t="str">
            <v>1.</v>
          </cell>
          <cell r="N1040" t="str">
            <v>Pekerja</v>
          </cell>
          <cell r="O1040" t="str">
            <v>(L01)</v>
          </cell>
          <cell r="P1040" t="str">
            <v>Jam</v>
          </cell>
          <cell r="Q1040">
            <v>2.8348688873139617E-2</v>
          </cell>
          <cell r="R1040">
            <v>2857.14</v>
          </cell>
          <cell r="U1040">
            <v>80.996172927002121</v>
          </cell>
        </row>
        <row r="1041">
          <cell r="A1041">
            <v>1</v>
          </cell>
          <cell r="C1041" t="str">
            <v>Aspal dan Minyak Flux dicampur dan dipanaskan</v>
          </cell>
          <cell r="L1041" t="str">
            <v>2.</v>
          </cell>
          <cell r="N1041" t="str">
            <v>Mandor</v>
          </cell>
          <cell r="O1041" t="str">
            <v>(L03)</v>
          </cell>
          <cell r="P1041" t="str">
            <v>Jam</v>
          </cell>
          <cell r="Q1041">
            <v>5.6697377746279237E-3</v>
          </cell>
          <cell r="R1041">
            <v>3214.29</v>
          </cell>
          <cell r="U1041">
            <v>18.224181431608788</v>
          </cell>
        </row>
        <row r="1042">
          <cell r="C1042" t="str">
            <v>sehingga menjadi campuran aspal cair</v>
          </cell>
        </row>
        <row r="1043">
          <cell r="A1043">
            <v>2</v>
          </cell>
          <cell r="C1043" t="str">
            <v>Permukaan yang akan dilapis dibersihkan dari debu</v>
          </cell>
        </row>
        <row r="1044">
          <cell r="C1044" t="str">
            <v>dan kotoran dengan Air Compressor</v>
          </cell>
          <cell r="Q1044" t="str">
            <v xml:space="preserve">JUMLAH HARGA TENAGA   </v>
          </cell>
          <cell r="U1044">
            <v>99.220354358610905</v>
          </cell>
        </row>
        <row r="1045">
          <cell r="A1045">
            <v>3</v>
          </cell>
          <cell r="C1045" t="str">
            <v>Campuran aspal cair disemprotkan dengan Asphalt</v>
          </cell>
        </row>
        <row r="1046">
          <cell r="C1046" t="str">
            <v>Sprayer ke atas permukaan yang akan dilapis.</v>
          </cell>
          <cell r="L1046" t="str">
            <v>B.</v>
          </cell>
          <cell r="N1046" t="str">
            <v>BAHAN</v>
          </cell>
        </row>
        <row r="1047">
          <cell r="A1047">
            <v>4</v>
          </cell>
          <cell r="C1047" t="str">
            <v>Angkutan Aspal &amp; Minyak Flux menggunakan Dump</v>
          </cell>
        </row>
        <row r="1048">
          <cell r="C1048" t="str">
            <v>Truck</v>
          </cell>
          <cell r="L1048" t="str">
            <v>1.</v>
          </cell>
          <cell r="N1048" t="str">
            <v>Aspal</v>
          </cell>
          <cell r="O1048" t="str">
            <v>(M10)</v>
          </cell>
          <cell r="P1048" t="str">
            <v>Kg</v>
          </cell>
          <cell r="Q1048">
            <v>0.63448000000000015</v>
          </cell>
          <cell r="R1048">
            <v>2086.6280000000002</v>
          </cell>
          <cell r="U1048">
            <v>1323.9237334400004</v>
          </cell>
        </row>
        <row r="1049">
          <cell r="L1049" t="str">
            <v>2.</v>
          </cell>
          <cell r="N1049" t="str">
            <v>Kerosene</v>
          </cell>
          <cell r="O1049" t="str">
            <v>(M11)</v>
          </cell>
          <cell r="P1049" t="str">
            <v>liter</v>
          </cell>
          <cell r="Q1049">
            <v>0.48400000000000004</v>
          </cell>
          <cell r="R1049">
            <v>1650</v>
          </cell>
          <cell r="U1049">
            <v>798.6</v>
          </cell>
        </row>
        <row r="1050">
          <cell r="A1050" t="str">
            <v>III.</v>
          </cell>
          <cell r="C1050" t="str">
            <v>PEMAKAIAN BAHAN, ALAT DAN TENAGA</v>
          </cell>
        </row>
        <row r="1052">
          <cell r="A1052" t="str">
            <v xml:space="preserve">   1.</v>
          </cell>
          <cell r="C1052" t="str">
            <v>BAHAN</v>
          </cell>
        </row>
        <row r="1053">
          <cell r="C1053" t="str">
            <v>Untuk mendapatkan 1 liter Lapis Resap Pengikat</v>
          </cell>
        </row>
        <row r="1054">
          <cell r="C1054" t="str">
            <v>diperlukan :</v>
          </cell>
          <cell r="D1054" t="str">
            <v>( 1 liter x Fh )</v>
          </cell>
          <cell r="G1054" t="str">
            <v>PC</v>
          </cell>
          <cell r="H1054">
            <v>1.1000000000000001</v>
          </cell>
          <cell r="I1054" t="str">
            <v>liter</v>
          </cell>
          <cell r="J1054" t="str">
            <v xml:space="preserve"> Campuran</v>
          </cell>
          <cell r="Q1054" t="str">
            <v xml:space="preserve">JUMLAH HARGA BAHAN   </v>
          </cell>
          <cell r="U1054">
            <v>2122.5237334400003</v>
          </cell>
        </row>
        <row r="1056">
          <cell r="A1056" t="str">
            <v xml:space="preserve">   1.a.</v>
          </cell>
          <cell r="C1056" t="str">
            <v>Aspal</v>
          </cell>
          <cell r="D1056" t="str">
            <v>=   As x PC x D1</v>
          </cell>
          <cell r="G1056" t="str">
            <v>(M10)</v>
          </cell>
          <cell r="H1056">
            <v>0.63448000000000015</v>
          </cell>
          <cell r="I1056" t="str">
            <v>Kg.</v>
          </cell>
          <cell r="L1056" t="str">
            <v>C.</v>
          </cell>
          <cell r="N1056" t="str">
            <v>PERALATAN</v>
          </cell>
        </row>
        <row r="1057">
          <cell r="A1057" t="str">
            <v xml:space="preserve">   1.b.</v>
          </cell>
          <cell r="C1057" t="str">
            <v>Minyak Flux</v>
          </cell>
          <cell r="D1057" t="str">
            <v>=   K x PC</v>
          </cell>
          <cell r="G1057" t="str">
            <v>(M11)</v>
          </cell>
          <cell r="H1057">
            <v>0.48400000000000004</v>
          </cell>
          <cell r="I1057" t="str">
            <v>liter</v>
          </cell>
        </row>
        <row r="1058">
          <cell r="L1058" t="str">
            <v>1.</v>
          </cell>
          <cell r="N1058" t="str">
            <v>Asphalt Sprayer  (E03)</v>
          </cell>
          <cell r="P1058" t="str">
            <v>Jam</v>
          </cell>
          <cell r="Q1058">
            <v>2.8348688873139618E-3</v>
          </cell>
          <cell r="R1058">
            <v>30575.535383788432</v>
          </cell>
          <cell r="U1058">
            <v>86.677633972468982</v>
          </cell>
        </row>
        <row r="1059">
          <cell r="A1059" t="str">
            <v xml:space="preserve">   2.</v>
          </cell>
          <cell r="C1059" t="str">
            <v>ALAT</v>
          </cell>
          <cell r="L1059" t="str">
            <v>2.</v>
          </cell>
          <cell r="N1059" t="str">
            <v>Air Compresor    (E05)</v>
          </cell>
          <cell r="P1059" t="str">
            <v>Jam</v>
          </cell>
          <cell r="Q1059">
            <v>2.0833333333333333E-3</v>
          </cell>
          <cell r="R1059">
            <v>53840.365312835944</v>
          </cell>
          <cell r="U1059">
            <v>112.16742773507488</v>
          </cell>
        </row>
        <row r="1060">
          <cell r="A1060" t="str">
            <v xml:space="preserve">   2.a.</v>
          </cell>
          <cell r="C1060" t="str">
            <v>ASPHALT SPRAYER</v>
          </cell>
          <cell r="G1060" t="str">
            <v>(E03)</v>
          </cell>
          <cell r="L1060" t="str">
            <v>3.</v>
          </cell>
          <cell r="N1060" t="str">
            <v>Dump Truck</v>
          </cell>
          <cell r="O1060" t="str">
            <v>(E08)</v>
          </cell>
          <cell r="P1060" t="str">
            <v>Jam</v>
          </cell>
          <cell r="Q1060">
            <v>2.8348688873139618E-3</v>
          </cell>
          <cell r="R1060">
            <v>153645.58193291764</v>
          </cell>
          <cell r="U1060">
            <v>435.56507989487642</v>
          </cell>
        </row>
        <row r="1061">
          <cell r="C1061" t="str">
            <v>Kapasitas alat</v>
          </cell>
          <cell r="G1061" t="str">
            <v>V</v>
          </cell>
          <cell r="H1061">
            <v>850</v>
          </cell>
          <cell r="I1061" t="str">
            <v>liter</v>
          </cell>
        </row>
        <row r="1062">
          <cell r="C1062" t="str">
            <v>Faktor efisiensi alat</v>
          </cell>
          <cell r="G1062" t="str">
            <v>Fa</v>
          </cell>
          <cell r="H1062">
            <v>0.83</v>
          </cell>
          <cell r="I1062" t="str">
            <v>-</v>
          </cell>
        </row>
        <row r="1063">
          <cell r="C1063" t="str">
            <v>Waktu Siklus (termasuk proses pemanasan)</v>
          </cell>
          <cell r="G1063" t="str">
            <v>Ts</v>
          </cell>
          <cell r="H1063">
            <v>2</v>
          </cell>
          <cell r="I1063" t="str">
            <v>Jam</v>
          </cell>
        </row>
        <row r="1065">
          <cell r="C1065" t="str">
            <v>Kap. Prod. / jam =</v>
          </cell>
          <cell r="D1065" t="str">
            <v>V x Fa</v>
          </cell>
          <cell r="G1065" t="str">
            <v>Q1</v>
          </cell>
          <cell r="H1065">
            <v>352.75</v>
          </cell>
          <cell r="I1065" t="str">
            <v>liter</v>
          </cell>
        </row>
        <row r="1066">
          <cell r="D1066" t="str">
            <v>Ts</v>
          </cell>
          <cell r="Q1066" t="str">
            <v xml:space="preserve">JUMLAH HARGA PERALATAN   </v>
          </cell>
          <cell r="U1066">
            <v>634.41014160242025</v>
          </cell>
        </row>
        <row r="1067">
          <cell r="C1067" t="str">
            <v>Koefisien Alat / Ltr</v>
          </cell>
          <cell r="D1067" t="str">
            <v xml:space="preserve"> =  1  :  Q1</v>
          </cell>
          <cell r="G1067" t="str">
            <v>(E03)</v>
          </cell>
          <cell r="H1067">
            <v>2.8348688873139618E-3</v>
          </cell>
          <cell r="I1067" t="str">
            <v>Jam</v>
          </cell>
        </row>
        <row r="1068">
          <cell r="L1068" t="str">
            <v>D.</v>
          </cell>
          <cell r="N1068" t="str">
            <v>JUMLAH HARGA TENAGA, BAHAN DAN PERALATAN  ( A + B + C )</v>
          </cell>
          <cell r="U1068">
            <v>2856.1542294010314</v>
          </cell>
        </row>
        <row r="1069">
          <cell r="A1069" t="str">
            <v xml:space="preserve">   2.b.</v>
          </cell>
          <cell r="C1069" t="str">
            <v>AIR COMPRESSOR</v>
          </cell>
          <cell r="G1069" t="str">
            <v>(E05)</v>
          </cell>
          <cell r="L1069" t="str">
            <v>E.</v>
          </cell>
          <cell r="N1069" t="str">
            <v>OVERHEAD &amp; PROFIT</v>
          </cell>
          <cell r="P1069">
            <v>10</v>
          </cell>
          <cell r="Q1069" t="str">
            <v>%  x  D</v>
          </cell>
          <cell r="U1069">
            <v>285.61542294010314</v>
          </cell>
        </row>
        <row r="1070">
          <cell r="C1070" t="str">
            <v xml:space="preserve">Kapasitas alat   -----&gt;&gt;   diambil </v>
          </cell>
          <cell r="G1070" t="str">
            <v>V</v>
          </cell>
          <cell r="H1070">
            <v>600</v>
          </cell>
          <cell r="I1070" t="str">
            <v>M2 / Jam</v>
          </cell>
          <cell r="L1070" t="str">
            <v>F.</v>
          </cell>
          <cell r="N1070" t="str">
            <v>HARGA SATUAN PEKERJAAN  ( D + E )</v>
          </cell>
          <cell r="U1070">
            <v>3141.7696523411346</v>
          </cell>
        </row>
        <row r="1071">
          <cell r="C1071" t="str">
            <v>Aplikasi Lapis Resap Pengikat rata-rata (Spesifikasi)</v>
          </cell>
          <cell r="G1071" t="str">
            <v>Ap</v>
          </cell>
          <cell r="H1071">
            <v>0.8</v>
          </cell>
          <cell r="I1071" t="str">
            <v>liter / M2</v>
          </cell>
          <cell r="L1071" t="str">
            <v>Note: 1</v>
          </cell>
          <cell r="N1071" t="str">
            <v>SATUAN dapat berdasarkan atas jam operasi untuk Tenaga Kerja dan Peralatan, volume dan/atau ukuran</v>
          </cell>
        </row>
        <row r="1072">
          <cell r="N1072" t="str">
            <v>berat untuk bahan-bahan.</v>
          </cell>
        </row>
        <row r="1073">
          <cell r="C1073" t="str">
            <v>Kap. Prod. / jam =</v>
          </cell>
          <cell r="D1073" t="str">
            <v>( V x Ap )</v>
          </cell>
          <cell r="G1073" t="str">
            <v>Q2</v>
          </cell>
          <cell r="H1073">
            <v>480</v>
          </cell>
          <cell r="I1073" t="str">
            <v>liter</v>
          </cell>
          <cell r="L1073">
            <v>2</v>
          </cell>
          <cell r="N1073" t="str">
            <v>Kuantitas satuan adalah kuantitas setiap komponen untuk menyelesaikan satu satuan pekerjaan dari nomor</v>
          </cell>
        </row>
        <row r="1074">
          <cell r="N1074" t="str">
            <v>mata pembayaran.</v>
          </cell>
        </row>
        <row r="1075">
          <cell r="C1075" t="str">
            <v>Koefisien Alat / Ltr</v>
          </cell>
          <cell r="D1075" t="str">
            <v xml:space="preserve"> =  1  :  Q2</v>
          </cell>
          <cell r="G1075" t="str">
            <v>(E05)</v>
          </cell>
          <cell r="H1075">
            <v>2.0833333333333333E-3</v>
          </cell>
          <cell r="I1075" t="str">
            <v>Jam</v>
          </cell>
          <cell r="L1075">
            <v>3</v>
          </cell>
          <cell r="N1075" t="str">
            <v>Biaya satuan untuk peralatan sudah termasuk bahan bakar, bahan habis dipakai dan operator.</v>
          </cell>
        </row>
        <row r="1076">
          <cell r="L1076">
            <v>4</v>
          </cell>
          <cell r="N1076" t="str">
            <v>Biaya satuan sudah termasuk pengeluaran untuk seluruh pajak yang berkaitan (tetapi tidak termasuk PPN</v>
          </cell>
        </row>
        <row r="1077">
          <cell r="J1077" t="str">
            <v>Berlanjut ke halaman berikut</v>
          </cell>
          <cell r="N1077" t="str">
            <v>yang dibayar dari kontrak) dan biaya-biaya lainnya.</v>
          </cell>
        </row>
        <row r="1078">
          <cell r="A1078" t="str">
            <v>ITEM PEMBAYARAN NO.</v>
          </cell>
          <cell r="D1078" t="str">
            <v>:  4.2 (7)</v>
          </cell>
          <cell r="J1078" t="str">
            <v>Analisa EI-427</v>
          </cell>
        </row>
        <row r="1079">
          <cell r="A1079" t="str">
            <v>JENIS PEKERJAAN</v>
          </cell>
          <cell r="D1079" t="str">
            <v>:  Lapis Resap Pengikat</v>
          </cell>
        </row>
        <row r="1080">
          <cell r="A1080" t="str">
            <v>SATUAN PEMBAYARAN</v>
          </cell>
          <cell r="D1080" t="str">
            <v>:  LITER</v>
          </cell>
          <cell r="J1080" t="str">
            <v xml:space="preserve">         URAIAN ANALISA HARGA SATUAN</v>
          </cell>
        </row>
        <row r="1081">
          <cell r="J1081" t="str">
            <v>Lanjutan</v>
          </cell>
        </row>
        <row r="1083">
          <cell r="A1083" t="str">
            <v>No.</v>
          </cell>
          <cell r="C1083" t="str">
            <v>U R A I A N</v>
          </cell>
          <cell r="G1083" t="str">
            <v>KODE</v>
          </cell>
          <cell r="H1083" t="str">
            <v>KOEF.</v>
          </cell>
          <cell r="I1083" t="str">
            <v>SATUAN</v>
          </cell>
          <cell r="J1083" t="str">
            <v>KETERANGAN</v>
          </cell>
        </row>
        <row r="1086">
          <cell r="A1086" t="str">
            <v xml:space="preserve">   2.c.</v>
          </cell>
          <cell r="C1086" t="str">
            <v>DUMP TRUCK</v>
          </cell>
          <cell r="G1086" t="str">
            <v>(E08)</v>
          </cell>
        </row>
        <row r="1087">
          <cell r="C1087" t="str">
            <v>Sebagai alat pengangkut bahan di lokasi pekerjaan,</v>
          </cell>
        </row>
        <row r="1088">
          <cell r="C1088" t="str">
            <v>Dump Truck melayani alat Asphalt Sprayer.</v>
          </cell>
        </row>
        <row r="1089">
          <cell r="C1089" t="str">
            <v>Kap. Prod. / jam =</v>
          </cell>
          <cell r="D1089" t="str">
            <v>sama dengan Asphalt Sprayer</v>
          </cell>
          <cell r="G1089" t="str">
            <v>Q3</v>
          </cell>
          <cell r="H1089">
            <v>352.75</v>
          </cell>
          <cell r="I1089" t="str">
            <v>liter</v>
          </cell>
        </row>
        <row r="1091">
          <cell r="C1091" t="str">
            <v>Koefisien Alat / Ltr</v>
          </cell>
          <cell r="D1091" t="str">
            <v xml:space="preserve"> =  1  :  Q3</v>
          </cell>
          <cell r="G1091" t="str">
            <v>(E08)</v>
          </cell>
          <cell r="H1091">
            <v>2.8348688873139618E-3</v>
          </cell>
          <cell r="I1091" t="str">
            <v>Jam</v>
          </cell>
        </row>
        <row r="1093">
          <cell r="A1093" t="str">
            <v xml:space="preserve">   3.</v>
          </cell>
          <cell r="C1093" t="str">
            <v>TENAGA</v>
          </cell>
        </row>
        <row r="1094">
          <cell r="C1094" t="str">
            <v>Produksi menentukan : ASPHALT SPRAYER</v>
          </cell>
          <cell r="G1094" t="str">
            <v>Q4</v>
          </cell>
          <cell r="H1094">
            <v>352.75</v>
          </cell>
          <cell r="I1094" t="str">
            <v>liter</v>
          </cell>
        </row>
        <row r="1095">
          <cell r="C1095" t="str">
            <v>Produksi Lapis Resap Pengikat / hari  =  Tk x Q4</v>
          </cell>
          <cell r="G1095" t="str">
            <v>Qt</v>
          </cell>
          <cell r="H1095">
            <v>2469.25</v>
          </cell>
          <cell r="I1095" t="str">
            <v>liter</v>
          </cell>
        </row>
        <row r="1096">
          <cell r="C1096" t="str">
            <v>Kebutuhan tenaga :</v>
          </cell>
        </row>
        <row r="1097">
          <cell r="D1097" t="str">
            <v>- Pekerja</v>
          </cell>
          <cell r="G1097" t="str">
            <v>P</v>
          </cell>
          <cell r="H1097">
            <v>10</v>
          </cell>
          <cell r="I1097" t="str">
            <v>orang</v>
          </cell>
        </row>
        <row r="1098">
          <cell r="D1098" t="str">
            <v>- Mandor</v>
          </cell>
          <cell r="G1098" t="str">
            <v>M</v>
          </cell>
          <cell r="H1098">
            <v>2</v>
          </cell>
          <cell r="I1098" t="str">
            <v>orang</v>
          </cell>
        </row>
        <row r="1100">
          <cell r="C1100" t="str">
            <v>Koefisien tenaga / liter   :</v>
          </cell>
        </row>
        <row r="1101">
          <cell r="D1101" t="str">
            <v>- Pekerja</v>
          </cell>
          <cell r="E1101" t="str">
            <v>= (Tk x P) : Qt</v>
          </cell>
          <cell r="G1101" t="str">
            <v>(L01)</v>
          </cell>
          <cell r="H1101">
            <v>2.8348688873139617E-2</v>
          </cell>
          <cell r="I1101" t="str">
            <v>Jam</v>
          </cell>
        </row>
        <row r="1102">
          <cell r="D1102" t="str">
            <v>- Mandor</v>
          </cell>
          <cell r="E1102" t="str">
            <v>= (Tk x M) : Qt</v>
          </cell>
          <cell r="G1102" t="str">
            <v>(L03)</v>
          </cell>
          <cell r="H1102">
            <v>5.6697377746279237E-3</v>
          </cell>
          <cell r="I1102" t="str">
            <v>Jam</v>
          </cell>
        </row>
        <row r="1104">
          <cell r="A1104" t="str">
            <v>4.</v>
          </cell>
          <cell r="C1104" t="str">
            <v>HARGA DASAR SATUAN UPAH, BAHAN DAN ALAT</v>
          </cell>
        </row>
        <row r="1105">
          <cell r="C1105" t="str">
            <v>Lihat lampiran.</v>
          </cell>
        </row>
        <row r="1107">
          <cell r="A1107" t="str">
            <v>5.</v>
          </cell>
          <cell r="C1107" t="str">
            <v>ANALISA HARGA SATUAN PEKERJAAN</v>
          </cell>
        </row>
        <row r="1108">
          <cell r="C1108" t="str">
            <v>Lihat perhitungan dalam FORMULIR STANDAR UNTUK</v>
          </cell>
        </row>
        <row r="1109">
          <cell r="C1109" t="str">
            <v>PEREKEMAN ANALISA MASING-MASING HARGA</v>
          </cell>
        </row>
        <row r="1110">
          <cell r="C1110" t="str">
            <v>SATUAN.</v>
          </cell>
        </row>
        <row r="1111">
          <cell r="C1111" t="str">
            <v>Didapat Harga Satuan Pekerjaan :</v>
          </cell>
        </row>
        <row r="1113">
          <cell r="C1113" t="str">
            <v xml:space="preserve">Rp.  </v>
          </cell>
          <cell r="D1113">
            <v>3141.7696523411346</v>
          </cell>
          <cell r="E1113" t="str">
            <v xml:space="preserve"> / liter.</v>
          </cell>
        </row>
        <row r="1116">
          <cell r="A1116" t="str">
            <v>6.</v>
          </cell>
          <cell r="C1116" t="str">
            <v>WAKTU PELAKSANAAN YANG DIPERLUKAN</v>
          </cell>
        </row>
        <row r="1117">
          <cell r="C1117" t="str">
            <v>Waktu pelaksanaan</v>
          </cell>
          <cell r="D1117" t="str">
            <v>:  . . . . . . .  bulan</v>
          </cell>
        </row>
        <row r="1119">
          <cell r="A1119" t="str">
            <v>7.</v>
          </cell>
          <cell r="C1119" t="str">
            <v>VOLUME PEKERJAAN YANG DIPERLUKAN</v>
          </cell>
        </row>
        <row r="1120">
          <cell r="C1120" t="str">
            <v>Volume pekerjaan  :</v>
          </cell>
          <cell r="D1120">
            <v>1</v>
          </cell>
          <cell r="E1120" t="str">
            <v>Liter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>
        <row r="806">
          <cell r="W806">
            <v>69178.399999999994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>
        <row r="17">
          <cell r="D17" t="str">
            <v>Pekerja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BO26" t="str">
            <v xml:space="preserve"> Alat Baru</v>
          </cell>
        </row>
        <row r="27">
          <cell r="BO27">
            <v>1341125891</v>
          </cell>
        </row>
        <row r="46">
          <cell r="BO46" t="str">
            <v xml:space="preserve"> Alat Baru</v>
          </cell>
        </row>
        <row r="47">
          <cell r="BO47">
            <v>247812175</v>
          </cell>
        </row>
        <row r="66">
          <cell r="BO66" t="str">
            <v xml:space="preserve"> Alat Baru</v>
          </cell>
        </row>
        <row r="67">
          <cell r="BO67">
            <v>55862745</v>
          </cell>
        </row>
        <row r="86">
          <cell r="BO86" t="str">
            <v xml:space="preserve"> Alat Baru</v>
          </cell>
        </row>
        <row r="87">
          <cell r="BO87">
            <v>888028890</v>
          </cell>
        </row>
        <row r="106">
          <cell r="BO106" t="str">
            <v xml:space="preserve"> Alat Baru</v>
          </cell>
        </row>
        <row r="107">
          <cell r="BO107">
            <v>54602683</v>
          </cell>
        </row>
        <row r="126">
          <cell r="BO126" t="str">
            <v xml:space="preserve"> Alat Baru</v>
          </cell>
        </row>
        <row r="127">
          <cell r="BO127">
            <v>117605778</v>
          </cell>
        </row>
        <row r="146">
          <cell r="BO146" t="str">
            <v xml:space="preserve"> Alat Baru</v>
          </cell>
        </row>
        <row r="147">
          <cell r="BO147">
            <v>777038177</v>
          </cell>
        </row>
        <row r="166">
          <cell r="BO166" t="str">
            <v xml:space="preserve"> Alat Baru</v>
          </cell>
        </row>
        <row r="167">
          <cell r="BO167">
            <v>92404540</v>
          </cell>
        </row>
        <row r="186">
          <cell r="BO186" t="str">
            <v xml:space="preserve"> Alat Baru</v>
          </cell>
        </row>
        <row r="187">
          <cell r="BO187">
            <v>285614032</v>
          </cell>
        </row>
        <row r="206">
          <cell r="BO206" t="str">
            <v xml:space="preserve"> Alat Baru</v>
          </cell>
        </row>
        <row r="207">
          <cell r="BO207">
            <v>1404024763</v>
          </cell>
        </row>
        <row r="226">
          <cell r="BO226" t="str">
            <v xml:space="preserve"> Alat Baru</v>
          </cell>
        </row>
        <row r="227">
          <cell r="BO227">
            <v>105005159</v>
          </cell>
        </row>
        <row r="266">
          <cell r="BO266" t="str">
            <v xml:space="preserve"> Alat Baru</v>
          </cell>
        </row>
        <row r="267">
          <cell r="BO267">
            <v>1224220842</v>
          </cell>
        </row>
        <row r="286">
          <cell r="BO286" t="str">
            <v xml:space="preserve"> Alat Baru</v>
          </cell>
        </row>
        <row r="287">
          <cell r="BO287">
            <v>504024763</v>
          </cell>
        </row>
        <row r="306">
          <cell r="BO306" t="str">
            <v xml:space="preserve"> Alat Baru</v>
          </cell>
        </row>
        <row r="307">
          <cell r="BO307">
            <v>1099019604</v>
          </cell>
        </row>
        <row r="326">
          <cell r="BO326" t="str">
            <v xml:space="preserve"> Alat Baru</v>
          </cell>
        </row>
        <row r="327">
          <cell r="BO327">
            <v>155407635</v>
          </cell>
        </row>
        <row r="346">
          <cell r="BO346" t="str">
            <v xml:space="preserve"> Alat Baru</v>
          </cell>
        </row>
        <row r="347">
          <cell r="BO347">
            <v>155407635</v>
          </cell>
        </row>
        <row r="366">
          <cell r="BO366" t="str">
            <v xml:space="preserve"> Alat Baru</v>
          </cell>
        </row>
        <row r="367">
          <cell r="BO367">
            <v>176408667</v>
          </cell>
        </row>
        <row r="386">
          <cell r="BO386" t="str">
            <v xml:space="preserve"> Alat Baru</v>
          </cell>
        </row>
        <row r="387">
          <cell r="BO387">
            <v>1297409699</v>
          </cell>
        </row>
        <row r="406">
          <cell r="BO406" t="str">
            <v xml:space="preserve"> Alat Baru</v>
          </cell>
        </row>
        <row r="407">
          <cell r="BO407">
            <v>35854386</v>
          </cell>
        </row>
        <row r="426">
          <cell r="BO426" t="str">
            <v xml:space="preserve"> Alat Baru</v>
          </cell>
        </row>
        <row r="427">
          <cell r="BO427">
            <v>1310989671</v>
          </cell>
        </row>
        <row r="446">
          <cell r="BO446" t="str">
            <v xml:space="preserve"> Alat Baru</v>
          </cell>
        </row>
        <row r="447">
          <cell r="BO447">
            <v>20450464</v>
          </cell>
        </row>
        <row r="466">
          <cell r="BO466" t="str">
            <v xml:space="preserve"> Alat Baru</v>
          </cell>
        </row>
        <row r="467">
          <cell r="BO467">
            <v>105005159</v>
          </cell>
        </row>
        <row r="486">
          <cell r="BO486" t="str">
            <v xml:space="preserve"> Alat Baru</v>
          </cell>
        </row>
        <row r="487">
          <cell r="BO487">
            <v>71403508</v>
          </cell>
        </row>
        <row r="506">
          <cell r="BO506" t="str">
            <v xml:space="preserve"> Alat Baru</v>
          </cell>
        </row>
        <row r="507">
          <cell r="BO507">
            <v>6720330</v>
          </cell>
        </row>
        <row r="546">
          <cell r="BO546" t="str">
            <v xml:space="preserve"> Alat Baru</v>
          </cell>
        </row>
        <row r="547">
          <cell r="BO547">
            <v>46000000</v>
          </cell>
        </row>
        <row r="566">
          <cell r="BO566" t="str">
            <v xml:space="preserve"> Alat Baru</v>
          </cell>
        </row>
        <row r="567">
          <cell r="BO567">
            <v>112500000</v>
          </cell>
        </row>
        <row r="586">
          <cell r="BO586" t="str">
            <v xml:space="preserve"> Alat Baru</v>
          </cell>
        </row>
        <row r="587">
          <cell r="BO587">
            <v>166250000</v>
          </cell>
        </row>
        <row r="606">
          <cell r="BO606" t="str">
            <v xml:space="preserve"> Alat Baru</v>
          </cell>
        </row>
        <row r="607">
          <cell r="BO607">
            <v>70000000</v>
          </cell>
        </row>
        <row r="626">
          <cell r="BO626" t="str">
            <v xml:space="preserve"> Alat Baru</v>
          </cell>
        </row>
        <row r="627">
          <cell r="BO627">
            <v>350000000</v>
          </cell>
        </row>
        <row r="646">
          <cell r="BO646" t="str">
            <v xml:space="preserve"> Alat Baru</v>
          </cell>
        </row>
        <row r="647">
          <cell r="BO647">
            <v>17500000</v>
          </cell>
        </row>
        <row r="666">
          <cell r="BO666" t="str">
            <v xml:space="preserve"> Alat Baru</v>
          </cell>
        </row>
        <row r="667">
          <cell r="BO667">
            <v>2250000000</v>
          </cell>
        </row>
        <row r="697">
          <cell r="BO697" t="str">
            <v xml:space="preserve"> Alat Baru</v>
          </cell>
        </row>
        <row r="698">
          <cell r="BO698">
            <v>15000000</v>
          </cell>
        </row>
      </sheetData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>
        <row r="1575">
          <cell r="J1575" t="str">
            <v>PEK. PONDASI DAN TANAH</v>
          </cell>
        </row>
        <row r="1576">
          <cell r="J1576" t="str">
            <v>Galian Tanah</v>
          </cell>
          <cell r="S1576">
            <v>19960.289999999997</v>
          </cell>
        </row>
        <row r="1577">
          <cell r="J1577" t="str">
            <v>Pasir Urug Pondasi</v>
          </cell>
          <cell r="S1577">
            <v>105128.55</v>
          </cell>
        </row>
        <row r="1578">
          <cell r="J1578" t="str">
            <v>Pasir Urug Alas Pondasi</v>
          </cell>
          <cell r="S1578">
            <v>105128.55</v>
          </cell>
        </row>
        <row r="1579">
          <cell r="J1579" t="str">
            <v>Urugan Tanah</v>
          </cell>
          <cell r="S1579">
            <v>63332.55</v>
          </cell>
        </row>
        <row r="1580">
          <cell r="J1580" t="str">
            <v>Pas. Batu Kosong</v>
          </cell>
          <cell r="S1580">
            <v>149347.48500000002</v>
          </cell>
        </row>
        <row r="1581">
          <cell r="J1581" t="str">
            <v>Pas. Pondasi Batu Gunung 1 :  4</v>
          </cell>
          <cell r="S1581">
            <v>322685.83499999996</v>
          </cell>
        </row>
        <row r="1582">
          <cell r="J1582" t="str">
            <v>Pas. Pondasi Trasram (1pc : 2ps)</v>
          </cell>
          <cell r="S1582">
            <v>111137.21999999999</v>
          </cell>
        </row>
        <row r="1583">
          <cell r="J1583" t="str">
            <v>Urugan Kembali</v>
          </cell>
          <cell r="S1583">
            <v>5212.2150000000001</v>
          </cell>
        </row>
        <row r="1584">
          <cell r="J1584" t="str">
            <v>Lantai Kerja t = 7 cm</v>
          </cell>
          <cell r="S1584">
            <v>58888.368000000002</v>
          </cell>
        </row>
        <row r="1585">
          <cell r="J1585" t="str">
            <v>Pas. Pondasi Poer</v>
          </cell>
          <cell r="S1585">
            <v>2579856.1050285008</v>
          </cell>
        </row>
        <row r="1586">
          <cell r="J1586" t="str">
            <v>Membongkar Atap Existing</v>
          </cell>
          <cell r="S1586">
            <v>5500</v>
          </cell>
        </row>
        <row r="1587">
          <cell r="J1587" t="str">
            <v>Lantai Kerja Poer</v>
          </cell>
          <cell r="S1587">
            <v>58888.368000000002</v>
          </cell>
        </row>
        <row r="1588">
          <cell r="J1588" t="str">
            <v>Pondasi Beton Cor (1pc : 2ps : 3kr)</v>
          </cell>
        </row>
        <row r="1589">
          <cell r="J1589" t="str">
            <v>Pondasi Trasram (1pc : 2ps)</v>
          </cell>
          <cell r="S1589">
            <v>52943.318999999996</v>
          </cell>
        </row>
        <row r="1590">
          <cell r="J1590" t="str">
            <v>PEK. STRUKTUR BETON</v>
          </cell>
        </row>
        <row r="1591">
          <cell r="J1591" t="str">
            <v>Sloof  20/30</v>
          </cell>
          <cell r="S1591">
            <v>3273876.8711240003</v>
          </cell>
        </row>
        <row r="1592">
          <cell r="J1592" t="str">
            <v>Sloof  Praktis</v>
          </cell>
          <cell r="S1592">
            <v>2864480.0574400001</v>
          </cell>
        </row>
        <row r="1593">
          <cell r="J1593" t="str">
            <v>Kolom Utama 25/35</v>
          </cell>
          <cell r="S1593">
            <v>3715073.8863524003</v>
          </cell>
        </row>
        <row r="1594">
          <cell r="J1594" t="str">
            <v>Plat Level Kosen</v>
          </cell>
          <cell r="S1594">
            <v>2662612.8750000005</v>
          </cell>
        </row>
        <row r="1595">
          <cell r="J1595" t="str">
            <v>Ringbalk Praktis + Balok Latei</v>
          </cell>
          <cell r="S1595">
            <v>3315177.2382666664</v>
          </cell>
        </row>
        <row r="1596">
          <cell r="J1596" t="str">
            <v>Sloof Beton</v>
          </cell>
          <cell r="S1596">
            <v>2864480.0574400001</v>
          </cell>
        </row>
        <row r="1597">
          <cell r="J1597" t="str">
            <v>Ringbalk Beton</v>
          </cell>
          <cell r="S1597">
            <v>3315177.2382666664</v>
          </cell>
        </row>
        <row r="1598">
          <cell r="J1598" t="str">
            <v>Kolom Beton</v>
          </cell>
          <cell r="S1598">
            <v>3589311.8208666667</v>
          </cell>
        </row>
        <row r="1599">
          <cell r="J1599" t="str">
            <v>Sloof Praktis</v>
          </cell>
          <cell r="S1599">
            <v>2864480.0574400001</v>
          </cell>
        </row>
        <row r="1600">
          <cell r="J1600" t="str">
            <v>Kolom Utama</v>
          </cell>
          <cell r="S1600">
            <v>3715073.8863524003</v>
          </cell>
        </row>
        <row r="1601">
          <cell r="J1601" t="str">
            <v>Kolom Praktis</v>
          </cell>
          <cell r="S1601">
            <v>3589311.8208666667</v>
          </cell>
        </row>
        <row r="1602">
          <cell r="J1602" t="str">
            <v>Balok Lantai Induk</v>
          </cell>
          <cell r="S1602">
            <v>3170264.4519199999</v>
          </cell>
        </row>
        <row r="1603">
          <cell r="J1603" t="str">
            <v>Plat Lantai</v>
          </cell>
          <cell r="S1603">
            <v>2754283.9540000004</v>
          </cell>
        </row>
        <row r="1604">
          <cell r="J1604" t="str">
            <v>Lesplank Beton</v>
          </cell>
          <cell r="S1604">
            <v>3430848.9447999997</v>
          </cell>
        </row>
        <row r="1605">
          <cell r="J1605" t="str">
            <v>Tangga Beton</v>
          </cell>
          <cell r="S1605">
            <v>2561199.6269999999</v>
          </cell>
        </row>
        <row r="1607">
          <cell r="J1607" t="str">
            <v>PEK. PASANGAN &amp; PLESTERAN</v>
          </cell>
        </row>
        <row r="1608">
          <cell r="J1608" t="str">
            <v>Pas. Batu Trasram (1pc : 2ps)</v>
          </cell>
          <cell r="S1608">
            <v>19454.828400000002</v>
          </cell>
        </row>
        <row r="1609">
          <cell r="J1609" t="str">
            <v>Pas. Batu Biasa (1pc :  5ps)</v>
          </cell>
          <cell r="S1609">
            <v>45763.230599999995</v>
          </cell>
        </row>
        <row r="1610">
          <cell r="J1610" t="str">
            <v>Plesteran Trasram (1pc : 2ps)</v>
          </cell>
          <cell r="S1610">
            <v>19454.828400000002</v>
          </cell>
        </row>
        <row r="1611">
          <cell r="J1611" t="str">
            <v>Plesteran Biasa (1pc :  5ps)</v>
          </cell>
          <cell r="S1611">
            <v>16350.314399999997</v>
          </cell>
        </row>
        <row r="1612">
          <cell r="J1612" t="str">
            <v>Plesteran Beton (1pc : 3ps)</v>
          </cell>
          <cell r="S1612">
            <v>17912.0916</v>
          </cell>
        </row>
        <row r="1613">
          <cell r="J1613" t="str">
            <v>Acian Tembok &amp; Beton</v>
          </cell>
          <cell r="S1613">
            <v>9079.3643399999983</v>
          </cell>
        </row>
        <row r="1614">
          <cell r="J1614" t="str">
            <v xml:space="preserve">Acian </v>
          </cell>
          <cell r="S1614">
            <v>9079.3643399999983</v>
          </cell>
        </row>
        <row r="1615">
          <cell r="J1615" t="str">
            <v>Pek. Lobang-Lobang</v>
          </cell>
          <cell r="S1615">
            <v>21500</v>
          </cell>
        </row>
        <row r="1616">
          <cell r="J1616" t="str">
            <v>Plesteran Bawah Plat (1pc : 3ps)</v>
          </cell>
          <cell r="S1616">
            <v>17912.0916</v>
          </cell>
        </row>
        <row r="1617">
          <cell r="J1617" t="str">
            <v>Pek. Profil Topi</v>
          </cell>
          <cell r="S1617">
            <v>25000</v>
          </cell>
        </row>
        <row r="1618">
          <cell r="J1618" t="str">
            <v>Plesteran Trasram + Beton (1pc : 2ps)</v>
          </cell>
          <cell r="S1618">
            <v>17912.0916</v>
          </cell>
        </row>
        <row r="1619">
          <cell r="J1619" t="str">
            <v>Plat Meja Beton</v>
          </cell>
          <cell r="S1619">
            <v>2754283.9540000004</v>
          </cell>
        </row>
        <row r="1621">
          <cell r="J1621" t="str">
            <v>PEK. KOSEN, PINTU &amp; JENDELA</v>
          </cell>
        </row>
        <row r="1622">
          <cell r="J1622" t="str">
            <v>Kosen Kayu Kelas I</v>
          </cell>
          <cell r="S1622">
            <v>5715976.5</v>
          </cell>
        </row>
        <row r="1623">
          <cell r="J1623" t="str">
            <v>Pek. Daun Pintu Panil</v>
          </cell>
          <cell r="S1623">
            <v>338253.75</v>
          </cell>
        </row>
        <row r="1624">
          <cell r="J1624" t="str">
            <v>Pek. Jalusi Papan</v>
          </cell>
          <cell r="S1624">
            <v>353419.42499999999</v>
          </cell>
        </row>
        <row r="1625">
          <cell r="J1625" t="str">
            <v>Engsel Pintu Kupu-kupu Ex.Lokal</v>
          </cell>
          <cell r="S1625">
            <v>28927.228749999998</v>
          </cell>
        </row>
        <row r="1626">
          <cell r="J1626" t="str">
            <v>Pintu WC PVC Lengkap</v>
          </cell>
          <cell r="S1626" t="e">
            <v>#REF!</v>
          </cell>
        </row>
        <row r="1627">
          <cell r="J1627" t="str">
            <v>Engsel Pintu T Ex.Lokal</v>
          </cell>
          <cell r="S1627">
            <v>36327.228750000002</v>
          </cell>
        </row>
        <row r="1628">
          <cell r="J1628" t="str">
            <v>Jendela Kaca</v>
          </cell>
          <cell r="S1628">
            <v>286798.95</v>
          </cell>
        </row>
        <row r="1629">
          <cell r="J1629" t="str">
            <v>Pek. Kaca Mati Bening 5 mm</v>
          </cell>
          <cell r="S1629">
            <v>89139.228749999995</v>
          </cell>
        </row>
        <row r="1630">
          <cell r="J1630" t="str">
            <v>Engsel Pintu Biasa (Kuningan)</v>
          </cell>
          <cell r="S1630">
            <v>10744.953750000001</v>
          </cell>
        </row>
        <row r="1631">
          <cell r="J1631" t="str">
            <v>Engsel Pintu Kupu-kupu Ex.Lokal</v>
          </cell>
          <cell r="S1631">
            <v>28927.228749999998</v>
          </cell>
        </row>
        <row r="1632">
          <cell r="J1632" t="str">
            <v>Engsel Pintu T Ex.Lokal</v>
          </cell>
          <cell r="S1632">
            <v>36327.228750000002</v>
          </cell>
        </row>
        <row r="1633">
          <cell r="J1633" t="str">
            <v>Engsel Jendela</v>
          </cell>
          <cell r="S1633">
            <v>6730.4025000000011</v>
          </cell>
        </row>
        <row r="1634">
          <cell r="J1634" t="str">
            <v>Tarikan Jendela</v>
          </cell>
          <cell r="S1634">
            <v>5522.2537499999999</v>
          </cell>
        </row>
        <row r="1635">
          <cell r="J1635" t="str">
            <v xml:space="preserve">Grendel Pintu Utama / Pintu WC </v>
          </cell>
          <cell r="S1635">
            <v>11140.053749999999</v>
          </cell>
        </row>
        <row r="1636">
          <cell r="J1636" t="str">
            <v>Grendel Jendela</v>
          </cell>
          <cell r="S1636">
            <v>11036.553749999999</v>
          </cell>
        </row>
        <row r="1637">
          <cell r="J1637" t="str">
            <v>Hak Angin</v>
          </cell>
          <cell r="S1637">
            <v>7309.42875</v>
          </cell>
        </row>
        <row r="1638">
          <cell r="J1638" t="str">
            <v>Expanyolet Tempel / Dor Closer</v>
          </cell>
          <cell r="S1638">
            <v>73490.762499999997</v>
          </cell>
        </row>
        <row r="1639">
          <cell r="J1639" t="str">
            <v>Kunci Pintu 2 x Putar</v>
          </cell>
          <cell r="S1639">
            <v>87170.737500000003</v>
          </cell>
        </row>
        <row r="1640">
          <cell r="J1640" t="str">
            <v>Realing Tangga</v>
          </cell>
          <cell r="S1640">
            <v>536730.95713119989</v>
          </cell>
        </row>
        <row r="1641">
          <cell r="J1641" t="str">
            <v>Realing Balkon</v>
          </cell>
          <cell r="S1641">
            <v>566048.45713119989</v>
          </cell>
        </row>
        <row r="1642">
          <cell r="J1642" t="str">
            <v xml:space="preserve">Grendel Pintu Utama / Pintu WC </v>
          </cell>
          <cell r="S1642">
            <v>11140.053749999999</v>
          </cell>
        </row>
        <row r="1643">
          <cell r="J1643" t="str">
            <v>Kunci Pintu Overval</v>
          </cell>
          <cell r="S1643">
            <v>112210.7375</v>
          </cell>
        </row>
        <row r="1644">
          <cell r="J1644" t="str">
            <v>Palang Siku</v>
          </cell>
        </row>
        <row r="1645">
          <cell r="J1645" t="str">
            <v>Gembok</v>
          </cell>
          <cell r="S1645" t="e">
            <v>#REF!</v>
          </cell>
        </row>
        <row r="1646">
          <cell r="J1646" t="str">
            <v>Pintu Masuk</v>
          </cell>
        </row>
        <row r="1647">
          <cell r="J1647" t="str">
            <v>Pintu  Masuk</v>
          </cell>
          <cell r="S1647">
            <v>625000</v>
          </cell>
        </row>
        <row r="1648">
          <cell r="J1648" t="str">
            <v>Kosen Kayu Kls II Timpalaja</v>
          </cell>
          <cell r="S1648">
            <v>5715976.5</v>
          </cell>
        </row>
        <row r="1650">
          <cell r="J1650" t="str">
            <v>PEK. KONSTRUKSI ATAP ENTRANCE</v>
          </cell>
        </row>
        <row r="1651">
          <cell r="J1651" t="str">
            <v>Kuda-kuda Pipa Dia. 2" MB</v>
          </cell>
          <cell r="S1651">
            <v>94945.709249999985</v>
          </cell>
        </row>
        <row r="1652">
          <cell r="J1652" t="str">
            <v>Kuda-kuda Pipa Dia. 1,5" MB</v>
          </cell>
          <cell r="S1652">
            <v>67206.226500000004</v>
          </cell>
        </row>
        <row r="1653">
          <cell r="J1653" t="str">
            <v>Gording Dia. 1" MB</v>
          </cell>
          <cell r="S1653">
            <v>36297.922500000001</v>
          </cell>
        </row>
        <row r="1654">
          <cell r="J1654" t="str">
            <v>Atap Polycarbonat</v>
          </cell>
          <cell r="S1654">
            <v>89566.3125</v>
          </cell>
        </row>
        <row r="1656">
          <cell r="J1656" t="str">
            <v>PEK. PENGECATAN</v>
          </cell>
        </row>
        <row r="1657">
          <cell r="J1657" t="str">
            <v>Pengecetan Dinding</v>
          </cell>
          <cell r="S1657">
            <v>19038.401999999998</v>
          </cell>
        </row>
        <row r="1658">
          <cell r="J1658" t="str">
            <v>Pengecetan Plafond</v>
          </cell>
          <cell r="S1658">
            <v>19038.401999999998</v>
          </cell>
        </row>
        <row r="1659">
          <cell r="J1659" t="str">
            <v xml:space="preserve">Pengecetan Kayu / Kusen </v>
          </cell>
          <cell r="S1659">
            <v>24994.359</v>
          </cell>
        </row>
        <row r="1660">
          <cell r="J1660" t="str">
            <v>Pengecetan Balok dan Plat Beton</v>
          </cell>
          <cell r="S1660">
            <v>19038.401999999998</v>
          </cell>
        </row>
        <row r="1661">
          <cell r="J1661" t="str">
            <v>Cat Tembok</v>
          </cell>
          <cell r="S1661">
            <v>19038.401999999998</v>
          </cell>
        </row>
        <row r="1662">
          <cell r="J1662" t="str">
            <v>Cat Plafond</v>
          </cell>
          <cell r="S1662">
            <v>19038.401999999998</v>
          </cell>
        </row>
        <row r="1663">
          <cell r="J1663" t="str">
            <v>Cat Kayu</v>
          </cell>
          <cell r="S1663">
            <v>24994.359</v>
          </cell>
        </row>
        <row r="1664">
          <cell r="J1664" t="str">
            <v>Pengacatan Atap Seng</v>
          </cell>
          <cell r="S1664">
            <v>13931.19</v>
          </cell>
        </row>
        <row r="1665">
          <cell r="J1665" t="str">
            <v>Cat Konstruksi Besi</v>
          </cell>
          <cell r="S1665">
            <v>17704.440000000002</v>
          </cell>
        </row>
        <row r="1667">
          <cell r="J1667" t="str">
            <v>PEK. LANTAI</v>
          </cell>
        </row>
        <row r="1668">
          <cell r="J1668" t="str">
            <v>Lantai Keramik 30/30 cm</v>
          </cell>
          <cell r="S1668">
            <v>76139.979599999991</v>
          </cell>
        </row>
        <row r="1669">
          <cell r="J1669" t="str">
            <v>Lantai Keramik 20/20 cm</v>
          </cell>
          <cell r="S1669">
            <v>95695.809599999993</v>
          </cell>
        </row>
        <row r="1670">
          <cell r="J1670" t="str">
            <v>Lantai Rabat Beton  t = 7 cm (1pc : 3ps : 5kr)</v>
          </cell>
          <cell r="S1670">
            <v>58888.368000000002</v>
          </cell>
        </row>
        <row r="1671">
          <cell r="J1671" t="str">
            <v>Saluran Air Terbuka</v>
          </cell>
          <cell r="S1671">
            <v>62157.542643000001</v>
          </cell>
        </row>
        <row r="1672">
          <cell r="J1672" t="str">
            <v>Saluran Air Tertutup</v>
          </cell>
          <cell r="S1672">
            <v>254957.41942300004</v>
          </cell>
        </row>
        <row r="1673">
          <cell r="J1673" t="str">
            <v>Urugan Tanah</v>
          </cell>
          <cell r="S1673">
            <v>63332.55</v>
          </cell>
        </row>
        <row r="1674">
          <cell r="J1674" t="str">
            <v>Urugan Pasir</v>
          </cell>
          <cell r="S1674">
            <v>105128.55</v>
          </cell>
        </row>
        <row r="1675">
          <cell r="J1675" t="str">
            <v>Lantai Keramik 30/30 cm (Teras)</v>
          </cell>
          <cell r="S1675">
            <v>76139.979599999991</v>
          </cell>
        </row>
        <row r="1677">
          <cell r="J1677" t="str">
            <v>PEK. INSTALASI LISTRIK</v>
          </cell>
        </row>
        <row r="1678">
          <cell r="J1678" t="str">
            <v>Titik Mata Lampu</v>
          </cell>
          <cell r="S1678">
            <v>61280</v>
          </cell>
        </row>
        <row r="1679">
          <cell r="J1679" t="str">
            <v>Lampu TL 2 x 20 Watt</v>
          </cell>
          <cell r="S1679" t="e">
            <v>#REF!</v>
          </cell>
        </row>
        <row r="1680">
          <cell r="J1680" t="str">
            <v>Lampu Pijar 40 Watt</v>
          </cell>
          <cell r="S1680">
            <v>2902.5</v>
          </cell>
        </row>
        <row r="1681">
          <cell r="J1681" t="str">
            <v>Fitting</v>
          </cell>
          <cell r="S1681">
            <v>8000</v>
          </cell>
        </row>
        <row r="1682">
          <cell r="J1682" t="str">
            <v>Stop Kontak</v>
          </cell>
          <cell r="S1682">
            <v>104624.5</v>
          </cell>
        </row>
        <row r="1683">
          <cell r="J1683" t="str">
            <v>Saklar Tunggal</v>
          </cell>
          <cell r="S1683">
            <v>9288</v>
          </cell>
        </row>
        <row r="1684">
          <cell r="J1684" t="str">
            <v>Saklar Ganda</v>
          </cell>
          <cell r="S1684">
            <v>15093</v>
          </cell>
        </row>
        <row r="1686">
          <cell r="J1686" t="str">
            <v>PEK. STRUKTUR BETON</v>
          </cell>
        </row>
        <row r="1687">
          <cell r="J1687" t="str">
            <v>Balok Lantai/Induk 25/35</v>
          </cell>
          <cell r="S1687">
            <v>3170264.4519199999</v>
          </cell>
        </row>
        <row r="1688">
          <cell r="J1688" t="str">
            <v>Balok Lantai/Anak 20/35</v>
          </cell>
          <cell r="S1688">
            <v>3672718.3947480004</v>
          </cell>
        </row>
        <row r="1689">
          <cell r="J1689" t="str">
            <v>Listplank Beton</v>
          </cell>
          <cell r="S1689">
            <v>3430848.9447999997</v>
          </cell>
        </row>
        <row r="1690">
          <cell r="J1690" t="str">
            <v>Plat Lantai t = 12 cm</v>
          </cell>
          <cell r="S1690">
            <v>2754283.9540000004</v>
          </cell>
        </row>
        <row r="1691">
          <cell r="J1691" t="str">
            <v>Kolom Utama 25/35</v>
          </cell>
          <cell r="S1691">
            <v>3715073.8863524003</v>
          </cell>
        </row>
        <row r="1692">
          <cell r="J1692" t="str">
            <v>Kolom Praktis 12/15</v>
          </cell>
          <cell r="S1692">
            <v>3589311.8208666667</v>
          </cell>
        </row>
        <row r="1694">
          <cell r="J1694" t="str">
            <v>Plat Atap t = 12 cm</v>
          </cell>
          <cell r="S1694">
            <v>2754283.9540000004</v>
          </cell>
        </row>
        <row r="1695">
          <cell r="J1695" t="str">
            <v>Tangga Beton + Balok</v>
          </cell>
          <cell r="S1695">
            <v>2561199.6269999999</v>
          </cell>
        </row>
        <row r="1697">
          <cell r="J1697" t="str">
            <v>PEK. PLAFOND</v>
          </cell>
        </row>
        <row r="1698">
          <cell r="J1698" t="str">
            <v>Plafond Eternit</v>
          </cell>
          <cell r="S1698">
            <v>16386.547500000001</v>
          </cell>
        </row>
        <row r="1699">
          <cell r="J1699" t="str">
            <v>Rangka Plafond Kayu Kls. II</v>
          </cell>
          <cell r="S1699">
            <v>43234.875</v>
          </cell>
        </row>
        <row r="1700">
          <cell r="J1700" t="str">
            <v>Plafond Eternit</v>
          </cell>
          <cell r="S1700">
            <v>16386.547500000001</v>
          </cell>
        </row>
        <row r="1701">
          <cell r="J1701" t="str">
            <v>List Plafond</v>
          </cell>
          <cell r="S1701">
            <v>7624.665</v>
          </cell>
        </row>
        <row r="1702">
          <cell r="J1702" t="str">
            <v>Rangka Plafond Kayu Kls. II (50%)</v>
          </cell>
          <cell r="S1702">
            <v>16386.547500000001</v>
          </cell>
        </row>
        <row r="1703">
          <cell r="J1703" t="str">
            <v>Plafond Eternit (100%)</v>
          </cell>
          <cell r="S1703">
            <v>16386.547500000001</v>
          </cell>
        </row>
        <row r="1704">
          <cell r="J1704" t="str">
            <v>Plafond GRC</v>
          </cell>
          <cell r="S1704" t="e">
            <v>#REF!</v>
          </cell>
        </row>
        <row r="1706">
          <cell r="J1706" t="str">
            <v>PEK. KONSTRUKSI KAP &amp; ATAP</v>
          </cell>
        </row>
        <row r="1707">
          <cell r="J1707" t="str">
            <v>Kuda-kuda + Konsol Kayu Kls.I</v>
          </cell>
          <cell r="S1707">
            <v>5524203.5999999996</v>
          </cell>
        </row>
        <row r="1708">
          <cell r="J1708" t="str">
            <v>Gording Kayu Kls I</v>
          </cell>
          <cell r="S1708">
            <v>5090453.0999999996</v>
          </cell>
        </row>
        <row r="1709">
          <cell r="J1709" t="str">
            <v>Listplank Papan Kls. I</v>
          </cell>
          <cell r="S1709">
            <v>56017.89</v>
          </cell>
        </row>
        <row r="1710">
          <cell r="J1710" t="str">
            <v>Pek. Atap Baja (Ex. Indodek, Spandek)</v>
          </cell>
          <cell r="S1710">
            <v>122776.15375</v>
          </cell>
        </row>
        <row r="1711">
          <cell r="J1711" t="str">
            <v>Pek. Nok Atap Baja</v>
          </cell>
          <cell r="S1711">
            <v>110289.50000000001</v>
          </cell>
        </row>
        <row r="1712">
          <cell r="J1712" t="str">
            <v>Talang Jurai</v>
          </cell>
          <cell r="S1712">
            <v>77011.166250000009</v>
          </cell>
        </row>
        <row r="1713">
          <cell r="J1713" t="str">
            <v>Kuda-kuda + Konsol</v>
          </cell>
          <cell r="S1713">
            <v>5524203.5999999996</v>
          </cell>
        </row>
        <row r="1714">
          <cell r="J1714" t="str">
            <v>Gording Kayu Kls II + Skor Angin</v>
          </cell>
          <cell r="S1714">
            <v>5090453.0999999996</v>
          </cell>
        </row>
        <row r="1715">
          <cell r="J1715" t="str">
            <v>Listplank Spandek</v>
          </cell>
          <cell r="S1715">
            <v>118163.44875000001</v>
          </cell>
        </row>
        <row r="1716">
          <cell r="J1716" t="str">
            <v>Rangka Lisplank Kayu Kls.I</v>
          </cell>
          <cell r="S1716">
            <v>4931293.5</v>
          </cell>
        </row>
        <row r="1717">
          <cell r="J1717" t="str">
            <v>Kuda-kuda + Skor Angin + Konsol</v>
          </cell>
          <cell r="S1717">
            <v>5524203.5999999996</v>
          </cell>
        </row>
        <row r="1718">
          <cell r="J1718" t="str">
            <v>Rangka Timpalaja Kls II</v>
          </cell>
          <cell r="S1718">
            <v>5090453.0999999996</v>
          </cell>
        </row>
        <row r="1719">
          <cell r="J1719" t="str">
            <v xml:space="preserve">Pek. Atap Baja Timpalaja </v>
          </cell>
          <cell r="S1719">
            <v>122776.15375</v>
          </cell>
        </row>
        <row r="1720">
          <cell r="J1720" t="str">
            <v>Gording Kayu Kls II (100%)</v>
          </cell>
          <cell r="S1720">
            <v>5090453.0999999996</v>
          </cell>
        </row>
        <row r="1721">
          <cell r="J1721" t="str">
            <v>Listplank Papan Kls. I (100%)</v>
          </cell>
          <cell r="S1721">
            <v>56017.89</v>
          </cell>
        </row>
        <row r="1722">
          <cell r="J1722" t="str">
            <v>Tiang Pipa Dia 3"</v>
          </cell>
          <cell r="S1722">
            <v>107776.21049999999</v>
          </cell>
        </row>
        <row r="1723">
          <cell r="J1723" t="str">
            <v>Tiang Kuda-Kuda Dia 1 1/2"</v>
          </cell>
          <cell r="S1723">
            <v>54491.535000000003</v>
          </cell>
        </row>
        <row r="1724">
          <cell r="J1724" t="str">
            <v>Skor Angin Pipa Dia 1 1/2"</v>
          </cell>
          <cell r="S1724">
            <v>54491.535000000003</v>
          </cell>
        </row>
        <row r="1725">
          <cell r="J1725" t="str">
            <v>Kuda-Kuda Pipa 1 1/4"</v>
          </cell>
          <cell r="S1725">
            <v>55986.832125000008</v>
          </cell>
        </row>
        <row r="1726">
          <cell r="J1726" t="str">
            <v>Besi Beton Dia. 16 mm</v>
          </cell>
          <cell r="S1726">
            <v>18779.465250000001</v>
          </cell>
        </row>
        <row r="1727">
          <cell r="J1727" t="str">
            <v>Baut Angkur Dia. 16 mm</v>
          </cell>
        </row>
        <row r="1729">
          <cell r="J1729" t="str">
            <v>Gordin Pipa Dia 1"</v>
          </cell>
          <cell r="S1729">
            <v>36297.922500000001</v>
          </cell>
        </row>
        <row r="1730">
          <cell r="J1730" t="str">
            <v>Landasan Gording Dia 1 1/2"</v>
          </cell>
          <cell r="S1730">
            <v>54491.535000000003</v>
          </cell>
        </row>
        <row r="1732">
          <cell r="J1732" t="str">
            <v>PEK. PENGECATAN</v>
          </cell>
        </row>
        <row r="1733">
          <cell r="J1733" t="str">
            <v>Residu Rangka Plafond</v>
          </cell>
          <cell r="S1733">
            <v>8820.6749999999993</v>
          </cell>
        </row>
        <row r="1734">
          <cell r="J1734" t="str">
            <v>Water Profing Atap Plat (Coating) + Cat Finish</v>
          </cell>
          <cell r="S1734">
            <v>96416.405999999988</v>
          </cell>
        </row>
        <row r="1735">
          <cell r="J1735" t="str">
            <v>Pengacatan Atap Seng / Spandek</v>
          </cell>
          <cell r="S1735">
            <v>13931.19</v>
          </cell>
        </row>
        <row r="1736">
          <cell r="J1736" t="str">
            <v>Residu Rangka Plafond + Timpalaja</v>
          </cell>
          <cell r="S1736">
            <v>8820.6749999999993</v>
          </cell>
        </row>
        <row r="1737">
          <cell r="J1737" t="str">
            <v>Residu Rangka Kap (100%)</v>
          </cell>
          <cell r="S1737">
            <v>8820.6749999999993</v>
          </cell>
        </row>
        <row r="1738">
          <cell r="J1738" t="str">
            <v>PEK. LANTAI</v>
          </cell>
        </row>
        <row r="1739">
          <cell r="J1739" t="str">
            <v>Lantai Keramik 30/30 cm + Tangga</v>
          </cell>
          <cell r="S1739">
            <v>76139.979599999991</v>
          </cell>
        </row>
        <row r="1740">
          <cell r="J1740" t="str">
            <v>Lantai Keramik 20/20 cm (Kasar)</v>
          </cell>
          <cell r="S1740">
            <v>95695.809599999993</v>
          </cell>
        </row>
        <row r="1741">
          <cell r="J1741" t="str">
            <v>Dinding Keramik 20/25 cm (KM)</v>
          </cell>
          <cell r="S1741">
            <v>88992.516000000003</v>
          </cell>
        </row>
        <row r="1743">
          <cell r="J1743" t="str">
            <v>Urugan Sirtu t = 15 cm</v>
          </cell>
          <cell r="S1743">
            <v>111283.875</v>
          </cell>
        </row>
        <row r="1744">
          <cell r="J1744" t="str">
            <v>Urugan Tanah T. 10 cm</v>
          </cell>
          <cell r="S1744">
            <v>63332.55</v>
          </cell>
        </row>
        <row r="1745">
          <cell r="J1745" t="str">
            <v>Pek. Paving Block (K225) T.8cm + Pasir T.10 cm</v>
          </cell>
          <cell r="S1745">
            <v>91080.135000000009</v>
          </cell>
        </row>
        <row r="1746">
          <cell r="J1746" t="str">
            <v>Pek. Cansteen</v>
          </cell>
        </row>
        <row r="1747">
          <cell r="J1747" t="str">
            <v xml:space="preserve"> - Galian Tanah Cansteen</v>
          </cell>
          <cell r="S1747">
            <v>19960.289999999997</v>
          </cell>
        </row>
        <row r="1748">
          <cell r="J1748" t="str">
            <v xml:space="preserve"> - Pasir Urug Alas Cansteen</v>
          </cell>
          <cell r="S1748">
            <v>105128.55</v>
          </cell>
        </row>
        <row r="1749">
          <cell r="J1749" t="str">
            <v xml:space="preserve"> - Urugan Kembali</v>
          </cell>
          <cell r="S1749">
            <v>5212.2150000000001</v>
          </cell>
        </row>
        <row r="1750">
          <cell r="J1750" t="str">
            <v xml:space="preserve"> - Pas. Cansteen Beton 1:2:3</v>
          </cell>
          <cell r="S1750">
            <v>535171.58100000001</v>
          </cell>
        </row>
        <row r="1751">
          <cell r="J1751" t="str">
            <v xml:space="preserve"> - Plesteran (1pc : 3ps)</v>
          </cell>
          <cell r="S1751">
            <v>17912.0916</v>
          </cell>
        </row>
        <row r="1752">
          <cell r="J1752" t="str">
            <v xml:space="preserve"> - Cat Cansteen</v>
          </cell>
          <cell r="S1752">
            <v>13931.19</v>
          </cell>
        </row>
        <row r="1754">
          <cell r="J1754" t="str">
            <v>Baut Angkur Dia. 16 mm</v>
          </cell>
          <cell r="S1754">
            <v>11500</v>
          </cell>
        </row>
        <row r="1755">
          <cell r="J1755" t="str">
            <v>Plat Landasan/Simpul T.4mm</v>
          </cell>
          <cell r="S1755">
            <v>93500</v>
          </cell>
        </row>
        <row r="1762">
          <cell r="J1762" t="str">
            <v>Kloset Jongkok Ex. TOTO/KIA + Pasang</v>
          </cell>
          <cell r="S1762">
            <v>262513.17</v>
          </cell>
        </row>
        <row r="1763">
          <cell r="J1763" t="str">
            <v>Floor Drine</v>
          </cell>
          <cell r="S1763">
            <v>29741.474999999999</v>
          </cell>
        </row>
        <row r="1764">
          <cell r="J1764" t="str">
            <v>Pipa PVC Dia 3 + Perlengkapan + Pemasangan</v>
          </cell>
          <cell r="S1764">
            <v>50147.518500000006</v>
          </cell>
        </row>
        <row r="1765">
          <cell r="J1765" t="str">
            <v>Pipa PVC Dia 3/4" + Perlengkapan + Pemasangan</v>
          </cell>
          <cell r="S1765">
            <v>8737.3349999999991</v>
          </cell>
        </row>
        <row r="1766">
          <cell r="J1766" t="str">
            <v>Kran Air</v>
          </cell>
          <cell r="S1766">
            <v>18210.974999999999</v>
          </cell>
        </row>
        <row r="1767">
          <cell r="J1767" t="str">
            <v>Urinoir Ex. KIA/TOTO (Lengkap) + Pasang</v>
          </cell>
          <cell r="S1767">
            <v>875989.84000000008</v>
          </cell>
        </row>
        <row r="1768">
          <cell r="J1768" t="str">
            <v>Partisi Urinoir</v>
          </cell>
          <cell r="S1768" t="e">
            <v>#REF!</v>
          </cell>
        </row>
        <row r="1769">
          <cell r="J1769" t="str">
            <v>Washtafel Ex. KIA Lengkap</v>
          </cell>
          <cell r="S1769">
            <v>322324.04592000006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  <sheetName val="H.SD"/>
      <sheetName val="HARGA SATUAN"/>
      <sheetName val="Sheet1"/>
      <sheetName val="Rab"/>
      <sheetName val="ANAL.HRG.SAT"/>
      <sheetName val="HARGA.SAT"/>
      <sheetName val="REKAP DAN RAB"/>
      <sheetName val="Rekap"/>
      <sheetName val="H.Satuan"/>
    </sheetNames>
    <sheetDataSet>
      <sheetData sheetId="0">
        <row r="621">
          <cell r="J621">
            <v>62149.995416666665</v>
          </cell>
        </row>
        <row r="691">
          <cell r="J691">
            <v>62211.686583333343</v>
          </cell>
        </row>
        <row r="1181">
          <cell r="J1181">
            <v>125289.94749999999</v>
          </cell>
        </row>
        <row r="1739">
          <cell r="J1739">
            <v>45837.285416666673</v>
          </cell>
        </row>
        <row r="1879">
          <cell r="J1879">
            <v>11530.379192337301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</sheetNames>
    <sheetDataSet>
      <sheetData sheetId="0">
        <row r="621">
          <cell r="J621">
            <v>62149.995416666665</v>
          </cell>
        </row>
        <row r="3559">
          <cell r="J3559">
            <v>48872.398974074073</v>
          </cell>
        </row>
      </sheetData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>
        <row r="5">
          <cell r="B5" t="str">
            <v>Batu Pecah 1-2</v>
          </cell>
        </row>
        <row r="420">
          <cell r="B420" t="str">
            <v>Ijuk</v>
          </cell>
        </row>
        <row r="421">
          <cell r="B421" t="str">
            <v>Electroda 6 mm</v>
          </cell>
        </row>
        <row r="422">
          <cell r="B422" t="str">
            <v>Karung (Kasar)</v>
          </cell>
        </row>
        <row r="423">
          <cell r="B423" t="str">
            <v>Formtie/penjaga jarak bekisting/spacer</v>
          </cell>
        </row>
        <row r="424">
          <cell r="B424" t="str">
            <v>Minyak Bekisting</v>
          </cell>
        </row>
        <row r="425">
          <cell r="B425" t="str">
            <v>Pohon Palem Raja (Tinggi min 2,5 m)</v>
          </cell>
        </row>
        <row r="426">
          <cell r="B426" t="str">
            <v xml:space="preserve">Rumput Veking  </v>
          </cell>
        </row>
        <row r="427">
          <cell r="B427" t="str">
            <v xml:space="preserve">Rumput Gajah Pendek </v>
          </cell>
        </row>
        <row r="428">
          <cell r="B428" t="str">
            <v>Glodogan Tiang   (Tinggo min. 2,00 mtr)</v>
          </cell>
        </row>
        <row r="429">
          <cell r="B429" t="str">
            <v>Filizium</v>
          </cell>
        </row>
        <row r="430">
          <cell r="B430" t="str">
            <v>Sekop</v>
          </cell>
        </row>
        <row r="431">
          <cell r="B431" t="str">
            <v>Pacul</v>
          </cell>
        </row>
        <row r="432">
          <cell r="B432" t="str">
            <v>Pupuk Kandang</v>
          </cell>
        </row>
        <row r="433">
          <cell r="B433" t="str">
            <v>Pupuk Anorganik</v>
          </cell>
        </row>
        <row r="434">
          <cell r="B434" t="str">
            <v>Geotextil</v>
          </cell>
        </row>
        <row r="435">
          <cell r="B435" t="str">
            <v>Benang Polypropylane</v>
          </cell>
        </row>
        <row r="436">
          <cell r="B436" t="str">
            <v xml:space="preserve"> Minyak Diesel/Solar</v>
          </cell>
          <cell r="G436" t="str">
            <v>M.183</v>
          </cell>
        </row>
        <row r="437">
          <cell r="B437" t="str">
            <v xml:space="preserve"> Bensin Premium</v>
          </cell>
          <cell r="G437" t="str">
            <v>M.184</v>
          </cell>
        </row>
        <row r="438">
          <cell r="B438" t="str">
            <v xml:space="preserve"> Minyak Pelumas</v>
          </cell>
          <cell r="G438" t="str">
            <v>M.185</v>
          </cell>
        </row>
        <row r="439">
          <cell r="B439" t="str">
            <v>F i l l e r</v>
          </cell>
          <cell r="G439" t="str">
            <v>M05</v>
          </cell>
        </row>
        <row r="440">
          <cell r="B440" t="str">
            <v>Aspal Cement</v>
          </cell>
          <cell r="G440" t="str">
            <v>M10</v>
          </cell>
        </row>
        <row r="441">
          <cell r="B441" t="str">
            <v>Kerosen / Minyak Tanah</v>
          </cell>
          <cell r="G441" t="str">
            <v>M11</v>
          </cell>
        </row>
        <row r="442">
          <cell r="B442" t="str">
            <v>Plastik Filter</v>
          </cell>
          <cell r="G442" t="str">
            <v>M23</v>
          </cell>
        </row>
        <row r="443">
          <cell r="B443" t="str">
            <v>Bahan Agr.Base Kelas A</v>
          </cell>
          <cell r="G443" t="str">
            <v>M26</v>
          </cell>
        </row>
        <row r="444">
          <cell r="B444" t="str">
            <v>Bahan Agr.Base Kelas B</v>
          </cell>
          <cell r="G444" t="str">
            <v>M27</v>
          </cell>
        </row>
        <row r="445">
          <cell r="B445" t="str">
            <v>Bahan Agr.Base Kelas C</v>
          </cell>
          <cell r="G445" t="str">
            <v>M28</v>
          </cell>
        </row>
        <row r="446">
          <cell r="B446" t="str">
            <v>Bahan Agr.Base Kelas C2</v>
          </cell>
          <cell r="G446" t="str">
            <v>M29</v>
          </cell>
        </row>
        <row r="447">
          <cell r="B447" t="str">
            <v>Aspal Emulsi</v>
          </cell>
          <cell r="G447" t="str">
            <v>M31</v>
          </cell>
        </row>
        <row r="448">
          <cell r="B448" t="str">
            <v>Gebalan Rumput</v>
          </cell>
          <cell r="G448" t="str">
            <v>M32</v>
          </cell>
        </row>
        <row r="449">
          <cell r="B449" t="str">
            <v>Arbocell</v>
          </cell>
          <cell r="G449" t="str">
            <v>M45</v>
          </cell>
        </row>
        <row r="450">
          <cell r="B450" t="str">
            <v>Minyak Fluks</v>
          </cell>
          <cell r="G450" t="str">
            <v>M53</v>
          </cell>
        </row>
        <row r="451">
          <cell r="B451" t="str">
            <v>Bunker Oil</v>
          </cell>
          <cell r="G451" t="str">
            <v>M54</v>
          </cell>
        </row>
        <row r="452">
          <cell r="B452" t="str">
            <v>Asbuton Halus</v>
          </cell>
          <cell r="G452" t="str">
            <v>M55</v>
          </cell>
        </row>
        <row r="454">
          <cell r="B454" t="str">
            <v>TENAGA KERJA:</v>
          </cell>
        </row>
        <row r="455">
          <cell r="B455" t="str">
            <v>(Pekerjaan Bangunan Gedung)</v>
          </cell>
        </row>
        <row r="456">
          <cell r="B456" t="str">
            <v>Tukang Cat</v>
          </cell>
          <cell r="G456" t="str">
            <v>L.079</v>
          </cell>
        </row>
        <row r="457">
          <cell r="B457" t="str">
            <v>Tukang Pipa</v>
          </cell>
          <cell r="G457" t="str">
            <v>L.079</v>
          </cell>
        </row>
        <row r="458">
          <cell r="B458" t="str">
            <v>Tukang Besi</v>
          </cell>
          <cell r="G458" t="str">
            <v>L.079</v>
          </cell>
        </row>
        <row r="459">
          <cell r="B459" t="str">
            <v>Tukang Batu</v>
          </cell>
          <cell r="G459" t="str">
            <v>L.079</v>
          </cell>
        </row>
        <row r="460">
          <cell r="B460" t="str">
            <v>Tukang Kayu</v>
          </cell>
          <cell r="G460" t="str">
            <v>L.079</v>
          </cell>
        </row>
        <row r="461">
          <cell r="B461" t="str">
            <v>Tukang Listrik</v>
          </cell>
          <cell r="G461" t="str">
            <v>L.079</v>
          </cell>
        </row>
        <row r="462">
          <cell r="B462" t="str">
            <v>Tukang Taman</v>
          </cell>
          <cell r="G462" t="str">
            <v>L.079</v>
          </cell>
        </row>
        <row r="463">
          <cell r="B463" t="str">
            <v>Tukang Las</v>
          </cell>
          <cell r="G463" t="str">
            <v>L.079</v>
          </cell>
        </row>
        <row r="464">
          <cell r="B464" t="str">
            <v>Kepala Tukang Cat</v>
          </cell>
          <cell r="G464" t="str">
            <v>L.073</v>
          </cell>
        </row>
        <row r="465">
          <cell r="B465" t="str">
            <v>Kepala Tukang Pipa</v>
          </cell>
          <cell r="G465" t="str">
            <v>L.073</v>
          </cell>
        </row>
        <row r="466">
          <cell r="B466" t="str">
            <v>Kepala Tukang Besi</v>
          </cell>
          <cell r="G466" t="str">
            <v>L.073</v>
          </cell>
        </row>
        <row r="467">
          <cell r="B467" t="str">
            <v>Kepala Tukang Batu</v>
          </cell>
          <cell r="G467" t="str">
            <v>L.073</v>
          </cell>
        </row>
        <row r="468">
          <cell r="B468" t="str">
            <v>Kepala Tukang Kayu</v>
          </cell>
          <cell r="G468" t="str">
            <v>L.073</v>
          </cell>
        </row>
        <row r="469">
          <cell r="B469" t="str">
            <v>Kepala Tukang Listrik</v>
          </cell>
          <cell r="G469" t="str">
            <v>L.073</v>
          </cell>
        </row>
        <row r="470">
          <cell r="B470" t="str">
            <v>Kepala Tukang Taman</v>
          </cell>
          <cell r="G470" t="str">
            <v>L.073</v>
          </cell>
        </row>
        <row r="471">
          <cell r="B471" t="str">
            <v>Pekerja</v>
          </cell>
          <cell r="G471" t="str">
            <v>L.106</v>
          </cell>
        </row>
        <row r="472">
          <cell r="B472" t="str">
            <v>Mandor</v>
          </cell>
          <cell r="G472" t="str">
            <v>L.061</v>
          </cell>
        </row>
        <row r="473">
          <cell r="B473" t="str">
            <v>Alat Bantu</v>
          </cell>
          <cell r="G473" t="str">
            <v>M.170</v>
          </cell>
        </row>
        <row r="474">
          <cell r="B474" t="str">
            <v>(Pekerjaan Jalan)</v>
          </cell>
        </row>
        <row r="475">
          <cell r="B475" t="str">
            <v>Buruh tak terlatih</v>
          </cell>
          <cell r="G475" t="str">
            <v>L.101</v>
          </cell>
        </row>
        <row r="476">
          <cell r="B476" t="str">
            <v>Buruh terlatih</v>
          </cell>
          <cell r="G476" t="str">
            <v>L.106</v>
          </cell>
        </row>
        <row r="477">
          <cell r="B477" t="str">
            <v>Mekanik</v>
          </cell>
          <cell r="G477" t="str">
            <v>L.071</v>
          </cell>
        </row>
        <row r="478">
          <cell r="B478" t="str">
            <v>Mekanik Pembantu</v>
          </cell>
          <cell r="G478" t="str">
            <v>L.072</v>
          </cell>
        </row>
        <row r="479">
          <cell r="B479" t="str">
            <v>Operator</v>
          </cell>
          <cell r="G479" t="str">
            <v>L.081</v>
          </cell>
        </row>
        <row r="480">
          <cell r="B480" t="str">
            <v>Operator tak terlatih</v>
          </cell>
          <cell r="G480" t="str">
            <v>L.082</v>
          </cell>
        </row>
        <row r="481">
          <cell r="B481" t="str">
            <v>Pemb.Operator</v>
          </cell>
          <cell r="G481" t="str">
            <v>L.083</v>
          </cell>
        </row>
        <row r="482">
          <cell r="B482" t="str">
            <v>Supir</v>
          </cell>
          <cell r="G482" t="str">
            <v>L.091</v>
          </cell>
        </row>
        <row r="483">
          <cell r="B483" t="str">
            <v>Sopir Personil</v>
          </cell>
          <cell r="G483" t="str">
            <v>L.092</v>
          </cell>
        </row>
        <row r="484">
          <cell r="B484" t="str">
            <v>Pemb.Supir</v>
          </cell>
          <cell r="G484" t="str">
            <v>L.099</v>
          </cell>
        </row>
        <row r="486">
          <cell r="B486" t="str">
            <v>(Pekerjaan Pemancangan)</v>
          </cell>
        </row>
        <row r="487">
          <cell r="B487" t="str">
            <v>Pilling  Crew</v>
          </cell>
        </row>
        <row r="488">
          <cell r="B488" t="str">
            <v>Pilling  Master</v>
          </cell>
        </row>
        <row r="489">
          <cell r="B489" t="str">
            <v>Surveyor</v>
          </cell>
        </row>
        <row r="490">
          <cell r="B490" t="str">
            <v>Ass.  Surveyor</v>
          </cell>
        </row>
        <row r="491">
          <cell r="B491" t="str">
            <v>Recorder</v>
          </cell>
        </row>
      </sheetData>
      <sheetData sheetId="1" refreshError="1"/>
      <sheetData sheetId="2" refreshError="1"/>
      <sheetData sheetId="3">
        <row r="3">
          <cell r="B3" t="str">
            <v>BAHAN DASAR:</v>
          </cell>
        </row>
      </sheetData>
      <sheetData sheetId="4" refreshError="1"/>
      <sheetData sheetId="5">
        <row r="6">
          <cell r="C6" t="str">
            <v>Bulldozer 100HP</v>
          </cell>
        </row>
      </sheetData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">
          <cell r="B8" t="str">
            <v>PEKERJAAN PERSIAPAN</v>
          </cell>
        </row>
      </sheetData>
      <sheetData sheetId="26"/>
      <sheetData sheetId="27">
        <row r="20">
          <cell r="G20">
            <v>131450000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79">
          <cell r="K79">
            <v>30.080000000000002</v>
          </cell>
        </row>
      </sheetData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>
        <row r="841">
          <cell r="T841" t="str">
            <v>Analisa EI-322</v>
          </cell>
        </row>
        <row r="843">
          <cell r="L843" t="str">
            <v>FORMULIR STANDAR UNTUK</v>
          </cell>
        </row>
        <row r="844">
          <cell r="L844" t="str">
            <v>PEREKAMAN ANALISA MASING-MASING HARGA SATUAN</v>
          </cell>
        </row>
        <row r="845">
          <cell r="L845" t="str">
            <v/>
          </cell>
        </row>
        <row r="848">
          <cell r="L848" t="str">
            <v>PROYEK</v>
          </cell>
          <cell r="O848" t="str">
            <v>: Proyek Pembangunan Jalan Pantai Utara  Jawa Barat</v>
          </cell>
        </row>
        <row r="849">
          <cell r="L849" t="str">
            <v>No. PAKET KONTRAK</v>
          </cell>
          <cell r="O849" t="str">
            <v xml:space="preserve">: </v>
          </cell>
        </row>
        <row r="850">
          <cell r="L850" t="str">
            <v>NAMA PAKET</v>
          </cell>
          <cell r="O850" t="str">
            <v>:  Flyover  Pamanukan</v>
          </cell>
        </row>
        <row r="851">
          <cell r="L851" t="str">
            <v>PROP / KAB / KODYA</v>
          </cell>
          <cell r="O851" t="str">
            <v>: Jawa Barat</v>
          </cell>
        </row>
        <row r="852">
          <cell r="L852" t="str">
            <v>ITEM PEMBAYARAN NO.</v>
          </cell>
          <cell r="O852" t="str">
            <v>:  3.2 (2)</v>
          </cell>
          <cell r="R852" t="str">
            <v>PERKIRAAN VOL. PEK.</v>
          </cell>
          <cell r="T852" t="str">
            <v>:</v>
          </cell>
          <cell r="U852">
            <v>6571.2013500000003</v>
          </cell>
        </row>
        <row r="853">
          <cell r="L853" t="str">
            <v>JENIS PEKERJAAN</v>
          </cell>
          <cell r="O853" t="str">
            <v>:  Timbunan Pilihan</v>
          </cell>
          <cell r="R853" t="str">
            <v>TOTAL HARGA (Rp.)</v>
          </cell>
          <cell r="T853" t="str">
            <v>:</v>
          </cell>
          <cell r="U853">
            <v>359628773.19481355</v>
          </cell>
        </row>
        <row r="854">
          <cell r="L854" t="str">
            <v>SATUAN PEMBAYARAN</v>
          </cell>
          <cell r="O854" t="str">
            <v>:  M3</v>
          </cell>
          <cell r="R854" t="str">
            <v>% THD. BIAYA PROYEK</v>
          </cell>
          <cell r="T854" t="str">
            <v>:</v>
          </cell>
          <cell r="U854">
            <v>0.70465720727372594</v>
          </cell>
        </row>
        <row r="857">
          <cell r="Q857" t="str">
            <v>PERKIRAAN</v>
          </cell>
          <cell r="R857" t="str">
            <v>HARGA</v>
          </cell>
          <cell r="S857" t="str">
            <v>JUMLAH</v>
          </cell>
        </row>
        <row r="858">
          <cell r="L858" t="str">
            <v>NO.</v>
          </cell>
          <cell r="N858" t="str">
            <v>KOMPONEN</v>
          </cell>
          <cell r="P858" t="str">
            <v>SATUAN</v>
          </cell>
          <cell r="Q858" t="str">
            <v>KUANTITAS</v>
          </cell>
          <cell r="R858" t="str">
            <v>SATUAN</v>
          </cell>
          <cell r="S858" t="str">
            <v>HARGA</v>
          </cell>
        </row>
        <row r="859">
          <cell r="R859" t="str">
            <v>(Rp.)</v>
          </cell>
          <cell r="S859" t="str">
            <v>(Rp.)</v>
          </cell>
        </row>
        <row r="862">
          <cell r="L862" t="str">
            <v>A.</v>
          </cell>
          <cell r="N862" t="str">
            <v>TENAGA</v>
          </cell>
        </row>
        <row r="864">
          <cell r="L864" t="str">
            <v>1.</v>
          </cell>
          <cell r="N864" t="str">
            <v>Pekerja</v>
          </cell>
          <cell r="O864" t="str">
            <v>(L01)</v>
          </cell>
          <cell r="P864" t="str">
            <v>Jam</v>
          </cell>
          <cell r="Q864">
            <v>7.1396697902721989E-2</v>
          </cell>
          <cell r="R864">
            <v>2750</v>
          </cell>
          <cell r="U864">
            <v>196.34091923248548</v>
          </cell>
        </row>
        <row r="865">
          <cell r="L865" t="str">
            <v>2.</v>
          </cell>
          <cell r="N865" t="str">
            <v>Mandor</v>
          </cell>
          <cell r="O865" t="str">
            <v>(L03)</v>
          </cell>
          <cell r="P865" t="str">
            <v>Jam</v>
          </cell>
          <cell r="Q865">
            <v>1.7849174475680497E-2</v>
          </cell>
          <cell r="R865">
            <v>4000</v>
          </cell>
          <cell r="U865">
            <v>71.396697902721996</v>
          </cell>
        </row>
        <row r="868">
          <cell r="Q868" t="str">
            <v xml:space="preserve">JUMLAH HARGA TENAGA   </v>
          </cell>
          <cell r="U868">
            <v>267.73761713520747</v>
          </cell>
        </row>
        <row r="870">
          <cell r="L870" t="str">
            <v>B.</v>
          </cell>
          <cell r="N870" t="str">
            <v>BAHAN</v>
          </cell>
        </row>
        <row r="872">
          <cell r="L872" t="str">
            <v>1.</v>
          </cell>
          <cell r="N872" t="str">
            <v>Bahan pilihan   (M09)</v>
          </cell>
          <cell r="O872" t="str">
            <v>(M09)</v>
          </cell>
          <cell r="P872" t="str">
            <v>M3</v>
          </cell>
          <cell r="Q872">
            <v>1.2</v>
          </cell>
          <cell r="R872">
            <v>21000</v>
          </cell>
          <cell r="U872">
            <v>25200</v>
          </cell>
        </row>
        <row r="878">
          <cell r="Q878" t="str">
            <v xml:space="preserve">JUMLAH HARGA BAHAN   </v>
          </cell>
          <cell r="U878">
            <v>25200</v>
          </cell>
        </row>
        <row r="880">
          <cell r="L880" t="str">
            <v>C.</v>
          </cell>
          <cell r="N880" t="str">
            <v>PERALATAN</v>
          </cell>
        </row>
        <row r="881">
          <cell r="L881" t="str">
            <v>1.</v>
          </cell>
          <cell r="N881" t="str">
            <v>Wheel  Loader</v>
          </cell>
          <cell r="O881" t="str">
            <v>(E15)</v>
          </cell>
          <cell r="P881" t="str">
            <v>Jam</v>
          </cell>
          <cell r="Q881">
            <v>1.7849174475680497E-2</v>
          </cell>
          <cell r="R881">
            <v>181182.97084330328</v>
          </cell>
          <cell r="U881">
            <v>3233.9664586042527</v>
          </cell>
        </row>
        <row r="882">
          <cell r="L882" t="str">
            <v>2.</v>
          </cell>
          <cell r="N882" t="str">
            <v>Dump Truck</v>
          </cell>
          <cell r="O882" t="str">
            <v>(E08)</v>
          </cell>
          <cell r="P882" t="str">
            <v>Jam</v>
          </cell>
          <cell r="Q882">
            <v>0.16265060240963855</v>
          </cell>
          <cell r="R882">
            <v>90902.327191025077</v>
          </cell>
          <cell r="U882">
            <v>14785.318278058296</v>
          </cell>
        </row>
        <row r="883">
          <cell r="L883" t="str">
            <v>3.</v>
          </cell>
          <cell r="N883" t="str">
            <v>Motor Grader</v>
          </cell>
          <cell r="O883" t="str">
            <v>(E13)</v>
          </cell>
          <cell r="P883" t="str">
            <v>Jam</v>
          </cell>
          <cell r="Q883">
            <v>1.5618027666220438E-2</v>
          </cell>
          <cell r="R883">
            <v>249349.23784774702</v>
          </cell>
          <cell r="U883">
            <v>3894.3432952570934</v>
          </cell>
        </row>
        <row r="884">
          <cell r="L884" t="str">
            <v>3.</v>
          </cell>
          <cell r="N884" t="str">
            <v>Vibro Roller</v>
          </cell>
          <cell r="O884" t="str">
            <v>(E19)</v>
          </cell>
          <cell r="P884" t="str">
            <v>Jam</v>
          </cell>
          <cell r="Q884">
            <v>1.6064257028112448E-2</v>
          </cell>
          <cell r="R884">
            <v>105030.97519263501</v>
          </cell>
          <cell r="U884">
            <v>1687.2445814077912</v>
          </cell>
        </row>
        <row r="885">
          <cell r="L885" t="str">
            <v>4.</v>
          </cell>
          <cell r="N885" t="str">
            <v>Water Tanker</v>
          </cell>
          <cell r="O885" t="str">
            <v>(E23)</v>
          </cell>
          <cell r="P885" t="str">
            <v>Jam</v>
          </cell>
          <cell r="Q885">
            <v>7.0281124497991983E-3</v>
          </cell>
          <cell r="R885">
            <v>85958.879632794691</v>
          </cell>
          <cell r="U885">
            <v>604.12867211803507</v>
          </cell>
        </row>
        <row r="886">
          <cell r="L886" t="str">
            <v>5.</v>
          </cell>
          <cell r="N886" t="str">
            <v>Alat  Bantu</v>
          </cell>
          <cell r="P886" t="str">
            <v>Ls</v>
          </cell>
          <cell r="Q886">
            <v>1</v>
          </cell>
          <cell r="R886">
            <v>80</v>
          </cell>
          <cell r="U886">
            <v>80</v>
          </cell>
        </row>
        <row r="890">
          <cell r="Q890" t="str">
            <v xml:space="preserve">JUMLAH HARGA PERALATAN   </v>
          </cell>
          <cell r="U890">
            <v>24285.001285445473</v>
          </cell>
        </row>
        <row r="892">
          <cell r="L892" t="str">
            <v>D.</v>
          </cell>
          <cell r="N892" t="str">
            <v>JUMLAH HARGA TENAGA, BAHAN DAN PERALATAN  ( A + B + C )</v>
          </cell>
          <cell r="U892">
            <v>49752.738902580677</v>
          </cell>
        </row>
        <row r="893">
          <cell r="L893" t="str">
            <v>E.</v>
          </cell>
          <cell r="N893" t="str">
            <v>OVERHEAD &amp; PROFIT</v>
          </cell>
          <cell r="P893">
            <v>10</v>
          </cell>
          <cell r="Q893" t="str">
            <v>%  x  D</v>
          </cell>
          <cell r="U893">
            <v>4975.2738902580677</v>
          </cell>
        </row>
        <row r="894">
          <cell r="L894" t="str">
            <v>F.</v>
          </cell>
          <cell r="N894" t="str">
            <v>HARGA SATUAN PEKERJAAN  ( D + E )</v>
          </cell>
          <cell r="U894">
            <v>54728.012792838745</v>
          </cell>
        </row>
        <row r="895">
          <cell r="L895" t="str">
            <v>Note: 1</v>
          </cell>
          <cell r="N895" t="str">
            <v>SATUAN dapat berdasarkan atas jam operasi untuk Tenaga Kerja dan Peralatan, volume dan/atau ukuran</v>
          </cell>
        </row>
        <row r="896">
          <cell r="N896" t="str">
            <v>berat untuk bahan-bahan.</v>
          </cell>
        </row>
        <row r="897">
          <cell r="L897">
            <v>2</v>
          </cell>
          <cell r="N897" t="str">
            <v>Kuantitas satuan adalah kuantitas setiap komponen untuk menyelesaikan satu satuan pekerjaan dari nomor</v>
          </cell>
        </row>
        <row r="898">
          <cell r="N898" t="str">
            <v>mata pembayaran.</v>
          </cell>
        </row>
        <row r="899">
          <cell r="L899">
            <v>3</v>
          </cell>
          <cell r="N899" t="str">
            <v>Biaya satuan untuk peralatan sudah termasuk bahan bakar, bahan habis dipakai dan operator.</v>
          </cell>
        </row>
        <row r="900">
          <cell r="L900">
            <v>4</v>
          </cell>
          <cell r="N900" t="str">
            <v>Biaya satuan sudah termasuk pengeluaran untuk seluruh pajak yang berkaitan (tetapi tidak termasuk PPN</v>
          </cell>
        </row>
        <row r="901">
          <cell r="N901" t="str">
            <v>yang dibayar dari kontrak) dan biaya-biaya lainnya.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>
        <row r="1">
          <cell r="A1" t="str">
            <v>DAFTAR ANALISA</v>
          </cell>
        </row>
        <row r="3">
          <cell r="A3" t="str">
            <v>Kode</v>
          </cell>
          <cell r="B3" t="str">
            <v>Jenis Pekerjaan</v>
          </cell>
          <cell r="C3" t="str">
            <v>Satuan</v>
          </cell>
          <cell r="D3" t="str">
            <v>Volume</v>
          </cell>
          <cell r="E3" t="str">
            <v>Harga Satuan</v>
          </cell>
          <cell r="F3" t="str">
            <v>Jumlah Harga</v>
          </cell>
        </row>
        <row r="4">
          <cell r="A4" t="str">
            <v>Analisa</v>
          </cell>
          <cell r="E4" t="str">
            <v>Rp</v>
          </cell>
          <cell r="F4" t="str">
            <v>Rp</v>
          </cell>
        </row>
        <row r="6">
          <cell r="A6" t="str">
            <v>A.1</v>
          </cell>
          <cell r="B6" t="str">
            <v>1 M3 GALIAN TANAH PONDASI</v>
          </cell>
        </row>
        <row r="7">
          <cell r="B7" t="str">
            <v>Pekerja</v>
          </cell>
          <cell r="C7" t="str">
            <v>hr</v>
          </cell>
          <cell r="D7">
            <v>0.8</v>
          </cell>
          <cell r="E7">
            <v>15000</v>
          </cell>
          <cell r="F7">
            <v>12000</v>
          </cell>
        </row>
        <row r="8">
          <cell r="B8" t="str">
            <v>Mandor</v>
          </cell>
          <cell r="C8" t="str">
            <v>hr</v>
          </cell>
          <cell r="D8">
            <v>2.7E-2</v>
          </cell>
          <cell r="E8">
            <v>30000</v>
          </cell>
          <cell r="F8">
            <v>810</v>
          </cell>
        </row>
        <row r="9">
          <cell r="F9">
            <v>12810</v>
          </cell>
        </row>
        <row r="10">
          <cell r="A10" t="str">
            <v>1/4(A.1)</v>
          </cell>
          <cell r="B10" t="str">
            <v>1 M3 URUGAN TANAH KEMBALI</v>
          </cell>
        </row>
        <row r="11">
          <cell r="B11" t="str">
            <v>Analisa Galian Tanah</v>
          </cell>
          <cell r="D11">
            <v>0.25</v>
          </cell>
          <cell r="E11">
            <v>12810</v>
          </cell>
          <cell r="F11">
            <v>3202.5</v>
          </cell>
        </row>
        <row r="12">
          <cell r="A12" t="str">
            <v>A.12</v>
          </cell>
          <cell r="B12" t="str">
            <v>1 M3 TIMBUNAN TANAH</v>
          </cell>
        </row>
        <row r="13">
          <cell r="B13" t="str">
            <v>Tanah Urug</v>
          </cell>
          <cell r="C13" t="str">
            <v>m3</v>
          </cell>
          <cell r="D13">
            <v>1.2</v>
          </cell>
          <cell r="E13">
            <v>36000</v>
          </cell>
          <cell r="F13">
            <v>43200</v>
          </cell>
        </row>
        <row r="14">
          <cell r="B14" t="str">
            <v>Pekerja</v>
          </cell>
          <cell r="C14" t="str">
            <v>hr</v>
          </cell>
          <cell r="D14">
            <v>0.3</v>
          </cell>
          <cell r="E14">
            <v>15000</v>
          </cell>
          <cell r="F14">
            <v>4500</v>
          </cell>
        </row>
        <row r="15">
          <cell r="B15" t="str">
            <v>Mandor</v>
          </cell>
          <cell r="C15" t="str">
            <v>hr</v>
          </cell>
          <cell r="D15">
            <v>0.01</v>
          </cell>
          <cell r="E15">
            <v>30000</v>
          </cell>
          <cell r="F15">
            <v>300</v>
          </cell>
        </row>
        <row r="16">
          <cell r="F16">
            <v>48000</v>
          </cell>
        </row>
        <row r="17">
          <cell r="A17" t="str">
            <v>A.12</v>
          </cell>
          <cell r="B17" t="str">
            <v>1 M3 URUGAN PASIR</v>
          </cell>
        </row>
        <row r="18">
          <cell r="B18" t="str">
            <v>Pasir Urug</v>
          </cell>
          <cell r="C18" t="str">
            <v>m3</v>
          </cell>
          <cell r="D18">
            <v>1.2</v>
          </cell>
          <cell r="E18">
            <v>38500</v>
          </cell>
          <cell r="F18">
            <v>46200</v>
          </cell>
        </row>
        <row r="19">
          <cell r="B19" t="str">
            <v>Pekerja</v>
          </cell>
          <cell r="C19" t="str">
            <v>hr</v>
          </cell>
          <cell r="D19">
            <v>0.3</v>
          </cell>
          <cell r="E19">
            <v>15000</v>
          </cell>
          <cell r="F19">
            <v>4500</v>
          </cell>
        </row>
        <row r="20">
          <cell r="B20" t="str">
            <v>Mandor</v>
          </cell>
          <cell r="C20" t="str">
            <v>hr</v>
          </cell>
          <cell r="D20">
            <v>0.01</v>
          </cell>
          <cell r="E20">
            <v>30000</v>
          </cell>
          <cell r="F20">
            <v>300</v>
          </cell>
        </row>
        <row r="21">
          <cell r="F21">
            <v>51000</v>
          </cell>
        </row>
        <row r="22">
          <cell r="A22" t="str">
            <v>A.12</v>
          </cell>
          <cell r="B22" t="str">
            <v>1 M3 URUGAN KERIKIL</v>
          </cell>
        </row>
        <row r="23">
          <cell r="B23" t="str">
            <v>Kerikil</v>
          </cell>
          <cell r="C23" t="str">
            <v>m3</v>
          </cell>
          <cell r="D23">
            <v>1.2</v>
          </cell>
          <cell r="E23">
            <v>47850</v>
          </cell>
          <cell r="F23">
            <v>57420</v>
          </cell>
        </row>
        <row r="24">
          <cell r="B24" t="str">
            <v>Pekerja</v>
          </cell>
          <cell r="C24" t="str">
            <v>hr</v>
          </cell>
          <cell r="D24">
            <v>0.3</v>
          </cell>
          <cell r="E24">
            <v>15000</v>
          </cell>
          <cell r="F24">
            <v>4500</v>
          </cell>
        </row>
        <row r="25">
          <cell r="B25" t="str">
            <v>Mandor</v>
          </cell>
          <cell r="C25" t="str">
            <v>hr</v>
          </cell>
          <cell r="D25">
            <v>0.01</v>
          </cell>
          <cell r="E25">
            <v>30000</v>
          </cell>
          <cell r="F25">
            <v>300</v>
          </cell>
        </row>
        <row r="26">
          <cell r="F26">
            <v>62220</v>
          </cell>
        </row>
        <row r="27">
          <cell r="A27" t="str">
            <v>G.1</v>
          </cell>
          <cell r="B27" t="str">
            <v>1 M3 PAS. BATU KOSONG</v>
          </cell>
        </row>
        <row r="28">
          <cell r="B28" t="str">
            <v>Batu Kali</v>
          </cell>
          <cell r="C28" t="str">
            <v>m3</v>
          </cell>
          <cell r="D28">
            <v>1.2</v>
          </cell>
          <cell r="E28">
            <v>45500</v>
          </cell>
          <cell r="F28">
            <v>54600</v>
          </cell>
        </row>
        <row r="29">
          <cell r="B29" t="str">
            <v>Pekerja</v>
          </cell>
          <cell r="C29" t="str">
            <v>hr</v>
          </cell>
          <cell r="D29">
            <v>5</v>
          </cell>
          <cell r="E29">
            <v>15000</v>
          </cell>
          <cell r="F29">
            <v>75000</v>
          </cell>
        </row>
        <row r="30">
          <cell r="B30" t="str">
            <v>Mandor</v>
          </cell>
          <cell r="C30" t="str">
            <v>hr</v>
          </cell>
          <cell r="D30">
            <v>0.25</v>
          </cell>
          <cell r="E30">
            <v>30000</v>
          </cell>
          <cell r="F30">
            <v>7500</v>
          </cell>
        </row>
        <row r="31">
          <cell r="F31">
            <v>137100</v>
          </cell>
        </row>
        <row r="32">
          <cell r="A32" t="str">
            <v>G.I.14</v>
          </cell>
          <cell r="B32" t="str">
            <v>1 M3 PONDASI BATU KALI 1 : 4</v>
          </cell>
        </row>
        <row r="33">
          <cell r="B33" t="str">
            <v>Batu Kali</v>
          </cell>
          <cell r="C33" t="str">
            <v>m3</v>
          </cell>
          <cell r="D33">
            <v>1.2</v>
          </cell>
          <cell r="E33">
            <v>45500</v>
          </cell>
          <cell r="F33">
            <v>54600</v>
          </cell>
        </row>
        <row r="34">
          <cell r="B34" t="str">
            <v>Pasir Pasang</v>
          </cell>
          <cell r="C34" t="str">
            <v>m3</v>
          </cell>
          <cell r="D34">
            <v>0.68</v>
          </cell>
          <cell r="E34">
            <v>45000</v>
          </cell>
          <cell r="F34">
            <v>30600.000000000004</v>
          </cell>
        </row>
        <row r="35">
          <cell r="B35" t="str">
            <v>Semen PC</v>
          </cell>
          <cell r="C35" t="str">
            <v>zak</v>
          </cell>
          <cell r="D35">
            <v>4.28</v>
          </cell>
          <cell r="E35">
            <v>30000</v>
          </cell>
          <cell r="F35">
            <v>128400.00000000001</v>
          </cell>
        </row>
        <row r="36">
          <cell r="B36" t="str">
            <v xml:space="preserve">Kepala Tukang </v>
          </cell>
          <cell r="C36" t="str">
            <v>hr</v>
          </cell>
          <cell r="D36">
            <v>3.5999999999999997E-2</v>
          </cell>
          <cell r="E36">
            <v>35000</v>
          </cell>
          <cell r="F36">
            <v>1260</v>
          </cell>
        </row>
        <row r="37">
          <cell r="B37" t="str">
            <v>Tukang Batu</v>
          </cell>
          <cell r="C37" t="str">
            <v>hr</v>
          </cell>
          <cell r="D37">
            <v>0.36</v>
          </cell>
          <cell r="E37">
            <v>30000</v>
          </cell>
          <cell r="F37">
            <v>10800</v>
          </cell>
        </row>
        <row r="38">
          <cell r="B38" t="str">
            <v>Pekerja</v>
          </cell>
          <cell r="C38" t="str">
            <v>hr</v>
          </cell>
          <cell r="D38">
            <v>2.7</v>
          </cell>
          <cell r="E38">
            <v>15000</v>
          </cell>
          <cell r="F38">
            <v>40500</v>
          </cell>
        </row>
        <row r="39">
          <cell r="B39" t="str">
            <v>Mandor</v>
          </cell>
          <cell r="C39" t="str">
            <v>hr</v>
          </cell>
          <cell r="D39">
            <v>0.13500000000000001</v>
          </cell>
          <cell r="E39">
            <v>30000</v>
          </cell>
          <cell r="F39">
            <v>4050.0000000000005</v>
          </cell>
        </row>
        <row r="40">
          <cell r="F40">
            <v>270210</v>
          </cell>
        </row>
        <row r="41">
          <cell r="A41" t="str">
            <v>G.II.2</v>
          </cell>
          <cell r="B41" t="str">
            <v>1 M3 PAS. TRASRAM BATU</v>
          </cell>
        </row>
        <row r="42">
          <cell r="B42" t="str">
            <v>BATA 1 : 2</v>
          </cell>
        </row>
        <row r="43">
          <cell r="B43" t="str">
            <v>Batu Bata</v>
          </cell>
          <cell r="C43" t="str">
            <v>bh</v>
          </cell>
          <cell r="D43">
            <v>450</v>
          </cell>
          <cell r="E43">
            <v>350</v>
          </cell>
          <cell r="F43">
            <v>157500</v>
          </cell>
        </row>
        <row r="44">
          <cell r="B44" t="str">
            <v>Pasir Pasang</v>
          </cell>
          <cell r="C44" t="str">
            <v>m3</v>
          </cell>
          <cell r="D44">
            <v>0.61</v>
          </cell>
          <cell r="E44">
            <v>45000</v>
          </cell>
          <cell r="F44">
            <v>27450</v>
          </cell>
        </row>
        <row r="45">
          <cell r="B45" t="str">
            <v>Semen PC</v>
          </cell>
          <cell r="C45" t="str">
            <v>zak</v>
          </cell>
          <cell r="D45">
            <v>7.78</v>
          </cell>
          <cell r="E45">
            <v>30000</v>
          </cell>
          <cell r="F45">
            <v>233400</v>
          </cell>
        </row>
        <row r="46">
          <cell r="B46" t="str">
            <v xml:space="preserve">Kepala Tukang </v>
          </cell>
          <cell r="C46" t="str">
            <v>hr</v>
          </cell>
          <cell r="D46">
            <v>0.17499999999999999</v>
          </cell>
          <cell r="E46">
            <v>35000</v>
          </cell>
          <cell r="F46">
            <v>6125</v>
          </cell>
        </row>
        <row r="47">
          <cell r="B47" t="str">
            <v>Tukang Batu</v>
          </cell>
          <cell r="C47" t="str">
            <v>hr</v>
          </cell>
          <cell r="D47">
            <v>1.75</v>
          </cell>
          <cell r="E47">
            <v>30000</v>
          </cell>
          <cell r="F47">
            <v>52500</v>
          </cell>
        </row>
        <row r="48">
          <cell r="B48" t="str">
            <v>Pekerja</v>
          </cell>
          <cell r="C48" t="str">
            <v>hr</v>
          </cell>
          <cell r="D48">
            <v>5.25</v>
          </cell>
          <cell r="E48">
            <v>15000</v>
          </cell>
          <cell r="F48">
            <v>78750</v>
          </cell>
        </row>
        <row r="49">
          <cell r="B49" t="str">
            <v>Mandor</v>
          </cell>
          <cell r="C49" t="str">
            <v>hr</v>
          </cell>
          <cell r="D49">
            <v>0.26300000000000001</v>
          </cell>
          <cell r="E49">
            <v>30000</v>
          </cell>
          <cell r="F49">
            <v>7890</v>
          </cell>
        </row>
        <row r="50">
          <cell r="F50">
            <v>563615</v>
          </cell>
        </row>
        <row r="51">
          <cell r="A51" t="str">
            <v>G.II.5</v>
          </cell>
          <cell r="B51" t="str">
            <v xml:space="preserve">1 M3 PASANGAN BATU BATA 1 : 5 </v>
          </cell>
        </row>
        <row r="52">
          <cell r="B52" t="str">
            <v>Batu Bata</v>
          </cell>
          <cell r="C52" t="str">
            <v>bh</v>
          </cell>
          <cell r="D52">
            <v>450</v>
          </cell>
          <cell r="E52">
            <v>350</v>
          </cell>
          <cell r="F52">
            <v>157500</v>
          </cell>
        </row>
        <row r="53">
          <cell r="B53" t="str">
            <v>Roster Beton</v>
          </cell>
          <cell r="C53" t="str">
            <v>bh</v>
          </cell>
          <cell r="D53">
            <v>167</v>
          </cell>
          <cell r="E53" t="e">
            <v>#REF!</v>
          </cell>
          <cell r="F53" t="e">
            <v>#REF!</v>
          </cell>
        </row>
        <row r="54">
          <cell r="B54" t="str">
            <v>Pasir Pasang</v>
          </cell>
          <cell r="C54" t="str">
            <v>m3</v>
          </cell>
          <cell r="D54">
            <v>7.8E-2</v>
          </cell>
          <cell r="E54">
            <v>45000</v>
          </cell>
          <cell r="F54">
            <v>3510</v>
          </cell>
        </row>
        <row r="55">
          <cell r="B55" t="str">
            <v>Semen PC</v>
          </cell>
          <cell r="C55" t="str">
            <v>zak</v>
          </cell>
          <cell r="D55">
            <v>0.23599999999999999</v>
          </cell>
          <cell r="E55">
            <v>30000</v>
          </cell>
          <cell r="F55">
            <v>7080</v>
          </cell>
        </row>
        <row r="56">
          <cell r="B56" t="str">
            <v xml:space="preserve">Kepala Tukang </v>
          </cell>
          <cell r="C56" t="str">
            <v>hr</v>
          </cell>
          <cell r="D56">
            <v>1.4999999999999999E-2</v>
          </cell>
          <cell r="E56">
            <v>35000</v>
          </cell>
          <cell r="F56">
            <v>525</v>
          </cell>
        </row>
        <row r="57">
          <cell r="B57" t="str">
            <v>Tukang Batu</v>
          </cell>
          <cell r="C57" t="str">
            <v>hr</v>
          </cell>
          <cell r="D57">
            <v>0.14499999999999999</v>
          </cell>
          <cell r="E57">
            <v>30000</v>
          </cell>
          <cell r="F57">
            <v>4350</v>
          </cell>
        </row>
        <row r="58">
          <cell r="B58" t="str">
            <v>Pekerja</v>
          </cell>
          <cell r="C58" t="str">
            <v>hr</v>
          </cell>
          <cell r="D58">
            <v>0.29399999999999998</v>
          </cell>
          <cell r="E58">
            <v>15000</v>
          </cell>
          <cell r="F58">
            <v>4410</v>
          </cell>
        </row>
        <row r="59">
          <cell r="B59" t="str">
            <v>Mandor</v>
          </cell>
          <cell r="C59" t="str">
            <v>hr</v>
          </cell>
          <cell r="D59">
            <v>2.5999999999999999E-2</v>
          </cell>
          <cell r="E59">
            <v>30000</v>
          </cell>
          <cell r="F59">
            <v>780</v>
          </cell>
        </row>
        <row r="60">
          <cell r="F60">
            <v>178155</v>
          </cell>
        </row>
        <row r="61">
          <cell r="A61" t="str">
            <v>G.X.2</v>
          </cell>
          <cell r="B61" t="str">
            <v>1 M2 PLESTERAN 1 : 2 + ACIAN</v>
          </cell>
        </row>
        <row r="62">
          <cell r="B62" t="str">
            <v>Pasir Plesteran</v>
          </cell>
          <cell r="C62" t="str">
            <v>m3</v>
          </cell>
          <cell r="D62">
            <v>1.7999999999999999E-2</v>
          </cell>
          <cell r="E62">
            <v>45000</v>
          </cell>
          <cell r="F62">
            <v>809.99999999999989</v>
          </cell>
        </row>
        <row r="63">
          <cell r="B63" t="str">
            <v>Semen PC</v>
          </cell>
          <cell r="C63" t="str">
            <v>zak</v>
          </cell>
          <cell r="D63">
            <v>0.32</v>
          </cell>
          <cell r="E63">
            <v>30000</v>
          </cell>
          <cell r="F63">
            <v>9600</v>
          </cell>
        </row>
        <row r="64">
          <cell r="B64" t="str">
            <v xml:space="preserve">Kepala Tukang </v>
          </cell>
          <cell r="C64" t="str">
            <v>hr</v>
          </cell>
          <cell r="D64">
            <v>1.7000000000000001E-2</v>
          </cell>
          <cell r="E64">
            <v>35000</v>
          </cell>
          <cell r="F64">
            <v>595</v>
          </cell>
        </row>
        <row r="65">
          <cell r="B65" t="str">
            <v>Tukang Batu</v>
          </cell>
          <cell r="C65" t="str">
            <v>hr</v>
          </cell>
          <cell r="D65">
            <v>0.16500000000000001</v>
          </cell>
          <cell r="E65">
            <v>30000</v>
          </cell>
          <cell r="F65">
            <v>4950</v>
          </cell>
        </row>
        <row r="66">
          <cell r="B66" t="str">
            <v>Pekerja</v>
          </cell>
          <cell r="C66" t="str">
            <v>hr</v>
          </cell>
          <cell r="D66">
            <v>0.33</v>
          </cell>
          <cell r="E66">
            <v>15000</v>
          </cell>
          <cell r="F66">
            <v>4950</v>
          </cell>
        </row>
        <row r="67">
          <cell r="B67" t="str">
            <v>Mandor</v>
          </cell>
          <cell r="C67" t="str">
            <v>hr</v>
          </cell>
          <cell r="D67">
            <v>1.7000000000000001E-2</v>
          </cell>
          <cell r="E67">
            <v>30000</v>
          </cell>
          <cell r="F67">
            <v>510.00000000000006</v>
          </cell>
        </row>
        <row r="68">
          <cell r="F68">
            <v>21415</v>
          </cell>
        </row>
        <row r="69">
          <cell r="A69" t="str">
            <v>G.X.13</v>
          </cell>
          <cell r="B69" t="str">
            <v>1 M2 PLESTERAN 1 : 5 + ACIAN</v>
          </cell>
        </row>
        <row r="70">
          <cell r="B70" t="str">
            <v>Pasir Plesteran</v>
          </cell>
          <cell r="C70" t="str">
            <v>m3</v>
          </cell>
          <cell r="D70">
            <v>0.22</v>
          </cell>
          <cell r="E70">
            <v>45000</v>
          </cell>
          <cell r="F70">
            <v>9900</v>
          </cell>
        </row>
        <row r="71">
          <cell r="B71" t="str">
            <v>Semen PC</v>
          </cell>
          <cell r="C71" t="str">
            <v>zak</v>
          </cell>
          <cell r="D71">
            <v>0.2</v>
          </cell>
          <cell r="E71">
            <v>30000</v>
          </cell>
          <cell r="F71">
            <v>6000</v>
          </cell>
        </row>
        <row r="72">
          <cell r="B72" t="str">
            <v xml:space="preserve">Kepala Tukang </v>
          </cell>
          <cell r="C72" t="str">
            <v>hr</v>
          </cell>
          <cell r="D72">
            <v>1.7000000000000001E-2</v>
          </cell>
          <cell r="E72">
            <v>35000</v>
          </cell>
          <cell r="F72">
            <v>595</v>
          </cell>
        </row>
        <row r="73">
          <cell r="B73" t="str">
            <v>Tukang Batu</v>
          </cell>
          <cell r="C73" t="str">
            <v>hr</v>
          </cell>
          <cell r="D73">
            <v>0.16500000000000001</v>
          </cell>
          <cell r="E73">
            <v>30000</v>
          </cell>
          <cell r="F73">
            <v>4950</v>
          </cell>
        </row>
        <row r="74">
          <cell r="B74" t="str">
            <v>Pekerja</v>
          </cell>
          <cell r="C74" t="str">
            <v>hr</v>
          </cell>
          <cell r="D74">
            <v>0.33</v>
          </cell>
          <cell r="E74">
            <v>15000</v>
          </cell>
          <cell r="F74">
            <v>4950</v>
          </cell>
        </row>
        <row r="75">
          <cell r="B75" t="str">
            <v>Mandor</v>
          </cell>
          <cell r="C75" t="str">
            <v>hr</v>
          </cell>
          <cell r="D75">
            <v>1.7000000000000001E-2</v>
          </cell>
          <cell r="E75">
            <v>30000</v>
          </cell>
          <cell r="F75">
            <v>510.00000000000006</v>
          </cell>
        </row>
        <row r="76">
          <cell r="F76">
            <v>26905</v>
          </cell>
        </row>
        <row r="77">
          <cell r="A77" t="str">
            <v>G.XIII.19</v>
          </cell>
          <cell r="B77" t="str">
            <v>1 M3 RABAT BETON 1 : 3 : 6</v>
          </cell>
        </row>
        <row r="78">
          <cell r="B78" t="str">
            <v>Pasir Beton</v>
          </cell>
          <cell r="C78" t="str">
            <v>m3</v>
          </cell>
          <cell r="D78">
            <v>0.61</v>
          </cell>
          <cell r="E78">
            <v>45000</v>
          </cell>
          <cell r="F78">
            <v>27450</v>
          </cell>
        </row>
        <row r="79">
          <cell r="B79" t="str">
            <v>Batu Split/kerikil beton</v>
          </cell>
          <cell r="C79" t="str">
            <v>m3</v>
          </cell>
          <cell r="D79">
            <v>1.1299999999999999</v>
          </cell>
          <cell r="E79">
            <v>47850</v>
          </cell>
          <cell r="F79">
            <v>54070.499999999993</v>
          </cell>
        </row>
        <row r="80">
          <cell r="B80" t="str">
            <v>Semen</v>
          </cell>
          <cell r="C80" t="str">
            <v>zak</v>
          </cell>
          <cell r="D80">
            <v>5.15</v>
          </cell>
          <cell r="E80">
            <v>30000</v>
          </cell>
          <cell r="F80">
            <v>154500</v>
          </cell>
        </row>
        <row r="81">
          <cell r="B81" t="str">
            <v>Kepala Tukang</v>
          </cell>
          <cell r="C81" t="str">
            <v>hr</v>
          </cell>
          <cell r="D81">
            <v>7.0000000000000007E-2</v>
          </cell>
          <cell r="E81">
            <v>35000</v>
          </cell>
          <cell r="F81">
            <v>2450.0000000000005</v>
          </cell>
        </row>
        <row r="82">
          <cell r="B82" t="str">
            <v>Tukang Batu</v>
          </cell>
          <cell r="C82" t="str">
            <v>hr</v>
          </cell>
          <cell r="D82">
            <v>0.7</v>
          </cell>
          <cell r="E82">
            <v>30000</v>
          </cell>
          <cell r="F82">
            <v>21000</v>
          </cell>
        </row>
        <row r="83">
          <cell r="B83" t="str">
            <v>Pekerja</v>
          </cell>
          <cell r="C83" t="str">
            <v>hr</v>
          </cell>
          <cell r="D83">
            <v>0.41</v>
          </cell>
          <cell r="E83">
            <v>15000</v>
          </cell>
          <cell r="F83">
            <v>6150</v>
          </cell>
        </row>
        <row r="84">
          <cell r="B84" t="str">
            <v>Mandor</v>
          </cell>
          <cell r="C84" t="str">
            <v>hr</v>
          </cell>
          <cell r="D84">
            <v>2.1000000000000001E-2</v>
          </cell>
          <cell r="E84">
            <v>30000</v>
          </cell>
          <cell r="F84">
            <v>630</v>
          </cell>
        </row>
        <row r="85">
          <cell r="F85">
            <v>266250.5</v>
          </cell>
        </row>
        <row r="86">
          <cell r="B86" t="str">
            <v>1 M3 PEREKAT PC 1 : 3</v>
          </cell>
        </row>
        <row r="87">
          <cell r="B87" t="str">
            <v>Pasir Pasangan</v>
          </cell>
          <cell r="C87" t="str">
            <v>m3</v>
          </cell>
          <cell r="D87">
            <v>3.3000000000000002E-2</v>
          </cell>
          <cell r="E87">
            <v>45000</v>
          </cell>
          <cell r="F87">
            <v>1485</v>
          </cell>
        </row>
        <row r="88">
          <cell r="B88" t="str">
            <v>Semen PC</v>
          </cell>
          <cell r="C88" t="str">
            <v>zak</v>
          </cell>
          <cell r="D88">
            <v>2.72</v>
          </cell>
          <cell r="E88">
            <v>30000</v>
          </cell>
          <cell r="F88">
            <v>81600</v>
          </cell>
        </row>
        <row r="89">
          <cell r="F89">
            <v>83085</v>
          </cell>
        </row>
        <row r="90">
          <cell r="B90" t="str">
            <v>1 M2 UPAH KERJA PEK. TEGEL KERAMIK</v>
          </cell>
        </row>
        <row r="91">
          <cell r="B91" t="str">
            <v>Kepala Tukang</v>
          </cell>
          <cell r="C91" t="str">
            <v>hr</v>
          </cell>
          <cell r="D91">
            <v>2.5000000000000001E-2</v>
          </cell>
          <cell r="E91">
            <v>35000</v>
          </cell>
          <cell r="F91">
            <v>875</v>
          </cell>
        </row>
        <row r="92">
          <cell r="B92" t="str">
            <v>Tukang Batu</v>
          </cell>
          <cell r="C92" t="str">
            <v>hr</v>
          </cell>
          <cell r="D92">
            <v>0.25</v>
          </cell>
          <cell r="E92">
            <v>30000</v>
          </cell>
          <cell r="F92">
            <v>7500</v>
          </cell>
        </row>
        <row r="93">
          <cell r="B93" t="str">
            <v>Pekerja</v>
          </cell>
          <cell r="C93" t="str">
            <v>hr</v>
          </cell>
          <cell r="D93">
            <v>0.5</v>
          </cell>
          <cell r="E93">
            <v>15000</v>
          </cell>
          <cell r="F93">
            <v>7500</v>
          </cell>
        </row>
        <row r="94">
          <cell r="B94" t="str">
            <v>Mandor</v>
          </cell>
          <cell r="C94" t="str">
            <v>hr</v>
          </cell>
          <cell r="D94">
            <v>2.5000000000000001E-2</v>
          </cell>
          <cell r="E94">
            <v>30000</v>
          </cell>
          <cell r="F94">
            <v>750</v>
          </cell>
        </row>
        <row r="95">
          <cell r="F95">
            <v>16625</v>
          </cell>
        </row>
        <row r="96">
          <cell r="A96" t="str">
            <v>G.72</v>
          </cell>
          <cell r="B96" t="str">
            <v>1 M2 PAS. KERAMIK 30/30</v>
          </cell>
        </row>
        <row r="97">
          <cell r="B97" t="str">
            <v>Tegel Keramik Putih 30/30</v>
          </cell>
          <cell r="C97" t="str">
            <v>bh</v>
          </cell>
          <cell r="D97">
            <v>11</v>
          </cell>
          <cell r="E97">
            <v>3000</v>
          </cell>
          <cell r="F97">
            <v>33000</v>
          </cell>
        </row>
        <row r="98">
          <cell r="B98" t="str">
            <v>Semen Warna</v>
          </cell>
          <cell r="C98" t="str">
            <v>kg</v>
          </cell>
          <cell r="D98">
            <v>0.8</v>
          </cell>
          <cell r="E98">
            <v>4900</v>
          </cell>
          <cell r="F98">
            <v>3920</v>
          </cell>
        </row>
        <row r="99">
          <cell r="B99" t="str">
            <v>Perekat 1 : 3</v>
          </cell>
          <cell r="C99" t="str">
            <v>m3</v>
          </cell>
          <cell r="D99">
            <v>0.03</v>
          </cell>
          <cell r="E99">
            <v>83085</v>
          </cell>
          <cell r="F99">
            <v>2492.5499999999997</v>
          </cell>
        </row>
        <row r="100">
          <cell r="B100" t="str">
            <v>Upah Kerja</v>
          </cell>
          <cell r="D100">
            <v>1</v>
          </cell>
          <cell r="E100">
            <v>16625</v>
          </cell>
          <cell r="F100">
            <v>16625</v>
          </cell>
        </row>
        <row r="101">
          <cell r="F101">
            <v>56037.55</v>
          </cell>
        </row>
        <row r="102">
          <cell r="B102" t="str">
            <v>1 M2 PAS. LANTAI PC ABU-ABU 20/20</v>
          </cell>
        </row>
        <row r="103">
          <cell r="B103" t="str">
            <v>Tegel PC Abu-abu 20/20</v>
          </cell>
          <cell r="C103" t="str">
            <v>bh</v>
          </cell>
          <cell r="D103">
            <v>25</v>
          </cell>
          <cell r="E103">
            <v>1000</v>
          </cell>
          <cell r="F103">
            <v>25000</v>
          </cell>
        </row>
        <row r="104">
          <cell r="B104" t="str">
            <v>Semen Warna</v>
          </cell>
          <cell r="C104" t="str">
            <v>kg</v>
          </cell>
          <cell r="D104">
            <v>7.4999999999999997E-2</v>
          </cell>
          <cell r="E104">
            <v>4900</v>
          </cell>
          <cell r="F104">
            <v>367.5</v>
          </cell>
        </row>
        <row r="105">
          <cell r="B105" t="str">
            <v>Perekat 1 : 3</v>
          </cell>
          <cell r="C105" t="str">
            <v>m3</v>
          </cell>
          <cell r="D105">
            <v>2.5000000000000001E-2</v>
          </cell>
          <cell r="E105">
            <v>83085</v>
          </cell>
          <cell r="F105">
            <v>2077.125</v>
          </cell>
        </row>
        <row r="106">
          <cell r="B106" t="str">
            <v>Upah Kerja</v>
          </cell>
          <cell r="D106">
            <v>1</v>
          </cell>
          <cell r="E106">
            <v>16625</v>
          </cell>
          <cell r="F106">
            <v>16625</v>
          </cell>
        </row>
        <row r="107">
          <cell r="F107">
            <v>44069.625</v>
          </cell>
        </row>
        <row r="108">
          <cell r="A108" t="str">
            <v>G.XIV</v>
          </cell>
          <cell r="B108" t="str">
            <v>1 M3 BETON BERTULANG 1 : 2 : 3</v>
          </cell>
        </row>
        <row r="109">
          <cell r="B109" t="str">
            <v>A. BAHAN</v>
          </cell>
        </row>
        <row r="110">
          <cell r="B110" t="str">
            <v>Beton Cor :</v>
          </cell>
        </row>
        <row r="111">
          <cell r="B111" t="str">
            <v>Pasir Beton</v>
          </cell>
          <cell r="C111" t="str">
            <v>m3</v>
          </cell>
          <cell r="D111">
            <v>0.68</v>
          </cell>
          <cell r="E111">
            <v>45000</v>
          </cell>
          <cell r="F111">
            <v>30600.000000000004</v>
          </cell>
        </row>
        <row r="112">
          <cell r="B112" t="str">
            <v>Split</v>
          </cell>
          <cell r="C112" t="str">
            <v>m3</v>
          </cell>
          <cell r="D112">
            <v>0.94</v>
          </cell>
          <cell r="E112">
            <v>47850</v>
          </cell>
          <cell r="F112">
            <v>44979</v>
          </cell>
        </row>
        <row r="113">
          <cell r="B113" t="str">
            <v>Semen</v>
          </cell>
          <cell r="C113" t="str">
            <v>zak</v>
          </cell>
          <cell r="D113">
            <v>8.75</v>
          </cell>
          <cell r="E113">
            <v>30000</v>
          </cell>
          <cell r="F113">
            <v>262500</v>
          </cell>
        </row>
        <row r="114">
          <cell r="F114">
            <v>338079</v>
          </cell>
        </row>
        <row r="115">
          <cell r="B115" t="str">
            <v xml:space="preserve">B.  UPAH KERJA </v>
          </cell>
        </row>
        <row r="116">
          <cell r="B116" t="str">
            <v>Kepala Tukang</v>
          </cell>
          <cell r="C116" t="str">
            <v>hr</v>
          </cell>
          <cell r="D116">
            <v>7.0000000000000007E-2</v>
          </cell>
          <cell r="E116">
            <v>35000</v>
          </cell>
          <cell r="F116">
            <v>2450.0000000000005</v>
          </cell>
        </row>
        <row r="117">
          <cell r="B117" t="str">
            <v>Tukang Batu</v>
          </cell>
          <cell r="C117" t="str">
            <v>hr</v>
          </cell>
          <cell r="D117">
            <v>0.7</v>
          </cell>
          <cell r="E117">
            <v>30000</v>
          </cell>
          <cell r="F117">
            <v>21000</v>
          </cell>
        </row>
        <row r="118">
          <cell r="B118" t="str">
            <v>Pekerja</v>
          </cell>
          <cell r="C118" t="str">
            <v>hr</v>
          </cell>
          <cell r="D118">
            <v>0.41</v>
          </cell>
          <cell r="E118">
            <v>15000</v>
          </cell>
          <cell r="F118">
            <v>6150</v>
          </cell>
        </row>
        <row r="119">
          <cell r="B119" t="str">
            <v>Mandor</v>
          </cell>
          <cell r="C119" t="str">
            <v>hr</v>
          </cell>
          <cell r="D119">
            <v>0.21</v>
          </cell>
          <cell r="E119">
            <v>30000</v>
          </cell>
          <cell r="F119">
            <v>6300</v>
          </cell>
        </row>
        <row r="120">
          <cell r="F120">
            <v>35900</v>
          </cell>
        </row>
        <row r="121">
          <cell r="B121" t="str">
            <v>C. PEMBESIAN</v>
          </cell>
        </row>
        <row r="122">
          <cell r="B122" t="str">
            <v>Besi Beton</v>
          </cell>
          <cell r="C122" t="str">
            <v>kg</v>
          </cell>
          <cell r="D122">
            <v>125</v>
          </cell>
          <cell r="E122">
            <v>6850</v>
          </cell>
          <cell r="F122">
            <v>856250</v>
          </cell>
        </row>
        <row r="123">
          <cell r="B123" t="str">
            <v>Kawat Beton</v>
          </cell>
          <cell r="C123" t="str">
            <v>kg</v>
          </cell>
          <cell r="D123">
            <v>2.2999999999999998</v>
          </cell>
          <cell r="E123">
            <v>6000</v>
          </cell>
          <cell r="F123">
            <v>13799.999999999998</v>
          </cell>
        </row>
        <row r="124">
          <cell r="B124" t="str">
            <v>Kepala Tukang</v>
          </cell>
          <cell r="C124" t="str">
            <v>hr</v>
          </cell>
          <cell r="D124">
            <v>1.62</v>
          </cell>
          <cell r="E124">
            <v>35000</v>
          </cell>
          <cell r="F124">
            <v>56700.000000000007</v>
          </cell>
        </row>
        <row r="125">
          <cell r="B125" t="str">
            <v>Tukang Besi</v>
          </cell>
          <cell r="C125" t="str">
            <v>hr</v>
          </cell>
          <cell r="D125">
            <v>4.8600000000000003</v>
          </cell>
          <cell r="E125">
            <v>30000</v>
          </cell>
          <cell r="F125">
            <v>145800</v>
          </cell>
        </row>
        <row r="126">
          <cell r="B126" t="str">
            <v>Pekerja</v>
          </cell>
          <cell r="C126" t="str">
            <v>hr</v>
          </cell>
          <cell r="D126">
            <v>4.8600000000000003</v>
          </cell>
          <cell r="E126">
            <v>15000</v>
          </cell>
          <cell r="F126">
            <v>72900</v>
          </cell>
        </row>
        <row r="127">
          <cell r="F127">
            <v>1145450</v>
          </cell>
        </row>
        <row r="128">
          <cell r="B128" t="str">
            <v>D. BEKISTING</v>
          </cell>
        </row>
        <row r="129">
          <cell r="B129" t="str">
            <v>Kayu Klas II</v>
          </cell>
          <cell r="C129" t="str">
            <v>m3</v>
          </cell>
          <cell r="D129">
            <v>5.1999999999999998E-2</v>
          </cell>
          <cell r="E129">
            <v>1300000</v>
          </cell>
          <cell r="F129">
            <v>67600</v>
          </cell>
        </row>
        <row r="130">
          <cell r="B130" t="str">
            <v>Bongkar/siram</v>
          </cell>
          <cell r="C130" t="str">
            <v>hr</v>
          </cell>
          <cell r="D130">
            <v>3</v>
          </cell>
          <cell r="E130">
            <v>15000</v>
          </cell>
          <cell r="F130">
            <v>45000</v>
          </cell>
        </row>
        <row r="131">
          <cell r="B131" t="str">
            <v>Paku Campuran</v>
          </cell>
          <cell r="C131" t="str">
            <v>kg</v>
          </cell>
          <cell r="D131">
            <v>0.25</v>
          </cell>
          <cell r="E131">
            <v>8800</v>
          </cell>
          <cell r="F131">
            <v>2200</v>
          </cell>
        </row>
        <row r="132">
          <cell r="B132" t="str">
            <v>Kepala Tukang</v>
          </cell>
          <cell r="C132" t="str">
            <v>hr</v>
          </cell>
          <cell r="D132">
            <v>0.05</v>
          </cell>
          <cell r="E132">
            <v>35000</v>
          </cell>
          <cell r="F132">
            <v>1750</v>
          </cell>
        </row>
        <row r="133">
          <cell r="B133" t="str">
            <v>Tukang Kayu</v>
          </cell>
          <cell r="C133" t="str">
            <v>hr</v>
          </cell>
          <cell r="D133">
            <v>0.5</v>
          </cell>
          <cell r="E133">
            <v>30000</v>
          </cell>
          <cell r="F133">
            <v>15000</v>
          </cell>
        </row>
        <row r="134">
          <cell r="B134" t="str">
            <v>Pekerja</v>
          </cell>
          <cell r="C134" t="str">
            <v>hr</v>
          </cell>
          <cell r="D134">
            <v>0.22</v>
          </cell>
          <cell r="E134">
            <v>15000</v>
          </cell>
          <cell r="F134">
            <v>3300</v>
          </cell>
        </row>
        <row r="135">
          <cell r="B135" t="str">
            <v>Mandor</v>
          </cell>
          <cell r="C135" t="str">
            <v>hr</v>
          </cell>
          <cell r="D135">
            <v>1.0999999999999999E-2</v>
          </cell>
          <cell r="E135">
            <v>30000</v>
          </cell>
          <cell r="F135">
            <v>330</v>
          </cell>
        </row>
        <row r="136">
          <cell r="F136">
            <v>135180</v>
          </cell>
        </row>
        <row r="137">
          <cell r="E137" t="str">
            <v>(A+B+C+D)</v>
          </cell>
          <cell r="F137">
            <v>1654609</v>
          </cell>
        </row>
        <row r="138">
          <cell r="A138" t="str">
            <v>F.IV.16</v>
          </cell>
          <cell r="B138" t="str">
            <v>1 M3 KOSEN PINTU/JENDELA/VENTILASI</v>
          </cell>
        </row>
        <row r="139">
          <cell r="B139" t="str">
            <v>Kayu Kelas I Lokal</v>
          </cell>
          <cell r="C139" t="str">
            <v>Lokal</v>
          </cell>
          <cell r="D139">
            <v>1.1000000000000001</v>
          </cell>
          <cell r="E139">
            <v>1750000</v>
          </cell>
          <cell r="F139">
            <v>1925000.0000000002</v>
          </cell>
        </row>
        <row r="140">
          <cell r="B140" t="str">
            <v>Kepala Tukang</v>
          </cell>
          <cell r="C140" t="str">
            <v>hr</v>
          </cell>
          <cell r="D140">
            <v>1.44</v>
          </cell>
          <cell r="E140">
            <v>35000</v>
          </cell>
          <cell r="F140">
            <v>50400</v>
          </cell>
        </row>
        <row r="141">
          <cell r="B141" t="str">
            <v>Tukang Kayu</v>
          </cell>
          <cell r="C141" t="str">
            <v>hr</v>
          </cell>
          <cell r="D141">
            <v>14.4</v>
          </cell>
          <cell r="E141">
            <v>30000</v>
          </cell>
          <cell r="F141">
            <v>432000</v>
          </cell>
        </row>
        <row r="142">
          <cell r="B142" t="str">
            <v>Pekerja</v>
          </cell>
          <cell r="C142" t="str">
            <v>hr</v>
          </cell>
          <cell r="D142">
            <v>4.8</v>
          </cell>
          <cell r="E142">
            <v>15000</v>
          </cell>
          <cell r="F142">
            <v>72000</v>
          </cell>
        </row>
        <row r="143">
          <cell r="B143" t="str">
            <v>Mandor</v>
          </cell>
          <cell r="C143" t="str">
            <v>hr</v>
          </cell>
          <cell r="D143">
            <v>0.24</v>
          </cell>
          <cell r="E143">
            <v>30000</v>
          </cell>
          <cell r="F143">
            <v>7200</v>
          </cell>
        </row>
        <row r="144">
          <cell r="F144">
            <v>2486600</v>
          </cell>
        </row>
        <row r="145">
          <cell r="A145" t="str">
            <v>F.IV.22</v>
          </cell>
          <cell r="B145" t="str">
            <v>1 M2 MENGERJAKAN JALUSI PAPAN KAYU KLS I LOKAL</v>
          </cell>
        </row>
        <row r="146">
          <cell r="B146" t="str">
            <v>Kayu Kelas I Lokal</v>
          </cell>
          <cell r="C146" t="str">
            <v>m3</v>
          </cell>
          <cell r="D146">
            <v>1.7000000000000001E-2</v>
          </cell>
          <cell r="E146">
            <v>1750000</v>
          </cell>
          <cell r="F146">
            <v>29750.000000000004</v>
          </cell>
        </row>
        <row r="147">
          <cell r="B147" t="str">
            <v>Kepala Tukang</v>
          </cell>
          <cell r="C147" t="str">
            <v>hr</v>
          </cell>
          <cell r="D147">
            <v>0.41399999999999998</v>
          </cell>
          <cell r="E147">
            <v>35000</v>
          </cell>
          <cell r="F147">
            <v>14490</v>
          </cell>
        </row>
        <row r="148">
          <cell r="B148" t="str">
            <v>Tukang Kayu</v>
          </cell>
          <cell r="C148" t="str">
            <v>hr</v>
          </cell>
          <cell r="D148">
            <v>4.1399999999999997</v>
          </cell>
          <cell r="E148">
            <v>30000</v>
          </cell>
          <cell r="F148">
            <v>124199.99999999999</v>
          </cell>
        </row>
        <row r="149">
          <cell r="B149" t="str">
            <v>Pekerja</v>
          </cell>
          <cell r="C149" t="str">
            <v>hr</v>
          </cell>
          <cell r="D149">
            <v>1.4</v>
          </cell>
          <cell r="E149">
            <v>15000</v>
          </cell>
          <cell r="F149">
            <v>21000</v>
          </cell>
        </row>
        <row r="150">
          <cell r="B150" t="str">
            <v>Mandor</v>
          </cell>
          <cell r="C150" t="str">
            <v>hr</v>
          </cell>
          <cell r="D150">
            <v>7.0000000000000007E-2</v>
          </cell>
          <cell r="E150">
            <v>30000</v>
          </cell>
          <cell r="F150">
            <v>2100</v>
          </cell>
        </row>
        <row r="151">
          <cell r="F151">
            <v>191540</v>
          </cell>
        </row>
        <row r="152">
          <cell r="A152" t="str">
            <v>F.IV.24</v>
          </cell>
          <cell r="B152" t="str">
            <v>1 M2 MENGERJAKAN  KACA MATI</v>
          </cell>
        </row>
        <row r="153">
          <cell r="B153" t="str">
            <v>Kaca 3 mm</v>
          </cell>
          <cell r="C153" t="str">
            <v>m2</v>
          </cell>
          <cell r="D153">
            <v>1.08</v>
          </cell>
          <cell r="E153">
            <v>52000</v>
          </cell>
          <cell r="F153">
            <v>56160.000000000007</v>
          </cell>
        </row>
        <row r="154">
          <cell r="B154" t="str">
            <v>Kaca 5 mm</v>
          </cell>
          <cell r="C154" t="str">
            <v>m2</v>
          </cell>
          <cell r="D154">
            <v>1.08</v>
          </cell>
          <cell r="E154">
            <v>62000</v>
          </cell>
          <cell r="F154">
            <v>66960</v>
          </cell>
        </row>
        <row r="155">
          <cell r="B155" t="str">
            <v>Tukang Kayu</v>
          </cell>
          <cell r="C155" t="str">
            <v>hr</v>
          </cell>
          <cell r="D155">
            <v>1</v>
          </cell>
          <cell r="E155">
            <v>30000</v>
          </cell>
          <cell r="F155">
            <v>30000</v>
          </cell>
        </row>
        <row r="156">
          <cell r="B156" t="str">
            <v>Pekerja</v>
          </cell>
          <cell r="C156" t="str">
            <v>hr</v>
          </cell>
          <cell r="D156">
            <v>1.5</v>
          </cell>
          <cell r="E156">
            <v>15000</v>
          </cell>
          <cell r="F156">
            <v>22500</v>
          </cell>
        </row>
        <row r="157">
          <cell r="E157" t="str">
            <v>Kaca Polos 3 mm</v>
          </cell>
          <cell r="F157">
            <v>108660</v>
          </cell>
        </row>
        <row r="158">
          <cell r="E158" t="str">
            <v>Kaca Polos 5 mm</v>
          </cell>
          <cell r="F158">
            <v>119460</v>
          </cell>
        </row>
        <row r="159">
          <cell r="A159" t="str">
            <v>F.IV.19</v>
          </cell>
          <cell r="B159" t="str">
            <v>1 M2  MEMBUAT PINTU / JENDELA PANIL KACA 5 MM</v>
          </cell>
        </row>
        <row r="160">
          <cell r="B160" t="str">
            <v>Kayu Kelas I Lokal</v>
          </cell>
          <cell r="C160" t="str">
            <v>m3</v>
          </cell>
          <cell r="D160">
            <v>0.09</v>
          </cell>
          <cell r="E160">
            <v>1800000</v>
          </cell>
          <cell r="F160">
            <v>162000</v>
          </cell>
        </row>
        <row r="161">
          <cell r="B161" t="str">
            <v>Kaca 5 mm</v>
          </cell>
          <cell r="C161" t="str">
            <v>m2</v>
          </cell>
          <cell r="D161">
            <v>1.08</v>
          </cell>
          <cell r="E161">
            <v>62000</v>
          </cell>
          <cell r="F161">
            <v>66960</v>
          </cell>
        </row>
        <row r="162">
          <cell r="B162" t="str">
            <v>Kepala Tukang</v>
          </cell>
          <cell r="C162" t="str">
            <v>hr</v>
          </cell>
          <cell r="D162">
            <v>0.182</v>
          </cell>
          <cell r="E162">
            <v>35000</v>
          </cell>
          <cell r="F162">
            <v>6370</v>
          </cell>
        </row>
        <row r="163">
          <cell r="B163" t="str">
            <v>Tukang Kayu</v>
          </cell>
          <cell r="C163" t="str">
            <v>hr</v>
          </cell>
          <cell r="D163">
            <v>1.82</v>
          </cell>
          <cell r="E163">
            <v>30000</v>
          </cell>
          <cell r="F163">
            <v>54600</v>
          </cell>
        </row>
        <row r="164">
          <cell r="B164" t="str">
            <v>Pekerja</v>
          </cell>
          <cell r="C164" t="str">
            <v>hr</v>
          </cell>
          <cell r="D164">
            <v>0.59</v>
          </cell>
          <cell r="E164">
            <v>15000</v>
          </cell>
          <cell r="F164">
            <v>8850</v>
          </cell>
        </row>
        <row r="165">
          <cell r="B165" t="str">
            <v>Mandor</v>
          </cell>
          <cell r="C165" t="str">
            <v>hr</v>
          </cell>
          <cell r="D165">
            <v>0.03</v>
          </cell>
          <cell r="E165">
            <v>30000</v>
          </cell>
          <cell r="F165">
            <v>900</v>
          </cell>
        </row>
        <row r="166">
          <cell r="F166">
            <v>299680</v>
          </cell>
        </row>
        <row r="167">
          <cell r="A167" t="str">
            <v>F.IV.21</v>
          </cell>
          <cell r="B167" t="str">
            <v>1 M2 MEMBUAT PINTU PANIL PAPAN KALAPI</v>
          </cell>
        </row>
        <row r="168">
          <cell r="B168" t="str">
            <v>Kayu Kelas I Lokal</v>
          </cell>
          <cell r="C168" t="str">
            <v>m3</v>
          </cell>
          <cell r="D168">
            <v>4.3999999999999997E-2</v>
          </cell>
          <cell r="E168">
            <v>1800000</v>
          </cell>
          <cell r="F168">
            <v>79200</v>
          </cell>
        </row>
        <row r="169">
          <cell r="B169" t="str">
            <v>Kepala Tukang</v>
          </cell>
          <cell r="C169" t="str">
            <v>hr</v>
          </cell>
          <cell r="D169">
            <v>0.34499999999999997</v>
          </cell>
          <cell r="E169">
            <v>35000</v>
          </cell>
          <cell r="F169">
            <v>12074.999999999998</v>
          </cell>
        </row>
        <row r="170">
          <cell r="B170" t="str">
            <v>Tukang Kayu</v>
          </cell>
          <cell r="C170" t="str">
            <v>hr</v>
          </cell>
          <cell r="D170">
            <v>3.45</v>
          </cell>
          <cell r="E170">
            <v>30000</v>
          </cell>
          <cell r="F170">
            <v>103500</v>
          </cell>
        </row>
        <row r="171">
          <cell r="B171" t="str">
            <v>Pekerja</v>
          </cell>
          <cell r="C171" t="str">
            <v>hr</v>
          </cell>
          <cell r="D171">
            <v>1.1599999999999999</v>
          </cell>
          <cell r="E171">
            <v>15000</v>
          </cell>
          <cell r="F171">
            <v>17400</v>
          </cell>
        </row>
        <row r="172">
          <cell r="B172" t="str">
            <v>Mandor</v>
          </cell>
          <cell r="C172" t="str">
            <v>hr</v>
          </cell>
          <cell r="D172">
            <v>0.53400000000000003</v>
          </cell>
          <cell r="E172">
            <v>30000</v>
          </cell>
          <cell r="F172">
            <v>16020</v>
          </cell>
        </row>
        <row r="173">
          <cell r="F173">
            <v>228195</v>
          </cell>
        </row>
        <row r="175">
          <cell r="B175" t="str">
            <v>1 M2 PINTU DOUBLE TEAKWOOD LAPIS SENG PLAT</v>
          </cell>
        </row>
        <row r="176">
          <cell r="B176" t="str">
            <v>Kayu Bayam</v>
          </cell>
          <cell r="C176" t="str">
            <v>m3</v>
          </cell>
          <cell r="D176">
            <v>1.4999999999999999E-2</v>
          </cell>
          <cell r="E176">
            <v>1750000</v>
          </cell>
          <cell r="F176">
            <v>26250</v>
          </cell>
        </row>
        <row r="177">
          <cell r="B177" t="str">
            <v>Teakwood</v>
          </cell>
          <cell r="C177" t="str">
            <v>lbr</v>
          </cell>
          <cell r="D177">
            <v>0.8</v>
          </cell>
          <cell r="E177" t="e">
            <v>#REF!</v>
          </cell>
          <cell r="F177" t="e">
            <v>#REF!</v>
          </cell>
        </row>
        <row r="178">
          <cell r="B178" t="str">
            <v>Seng Plat</v>
          </cell>
          <cell r="C178" t="str">
            <v>lbr</v>
          </cell>
          <cell r="D178">
            <v>0.5</v>
          </cell>
          <cell r="E178" t="e">
            <v>#REF!</v>
          </cell>
          <cell r="F178" t="e">
            <v>#REF!</v>
          </cell>
        </row>
        <row r="179">
          <cell r="B179" t="str">
            <v>Kepala Tukang</v>
          </cell>
          <cell r="C179" t="str">
            <v>hr</v>
          </cell>
          <cell r="D179">
            <v>0.2</v>
          </cell>
          <cell r="E179">
            <v>35000</v>
          </cell>
          <cell r="F179">
            <v>7000</v>
          </cell>
        </row>
        <row r="180">
          <cell r="B180" t="str">
            <v>Tukang Kayu</v>
          </cell>
          <cell r="C180" t="str">
            <v>hr</v>
          </cell>
          <cell r="D180">
            <v>2</v>
          </cell>
          <cell r="E180">
            <v>30000</v>
          </cell>
          <cell r="F180">
            <v>60000</v>
          </cell>
        </row>
        <row r="181">
          <cell r="B181" t="str">
            <v>Pekerja</v>
          </cell>
          <cell r="C181" t="str">
            <v>hr</v>
          </cell>
          <cell r="D181">
            <v>0.6</v>
          </cell>
          <cell r="E181">
            <v>15000</v>
          </cell>
          <cell r="F181">
            <v>9000</v>
          </cell>
        </row>
        <row r="182">
          <cell r="B182" t="str">
            <v>Mandor</v>
          </cell>
          <cell r="C182" t="str">
            <v>hr</v>
          </cell>
          <cell r="D182">
            <v>0.03</v>
          </cell>
          <cell r="E182">
            <v>30000</v>
          </cell>
          <cell r="F182">
            <v>900</v>
          </cell>
        </row>
        <row r="183">
          <cell r="F183" t="e">
            <v>#REF!</v>
          </cell>
        </row>
        <row r="184">
          <cell r="A184" t="str">
            <v>F.I.1</v>
          </cell>
          <cell r="B184" t="str">
            <v>1 M3 RANGKA PLAFOND</v>
          </cell>
        </row>
        <row r="185">
          <cell r="B185" t="str">
            <v>Kayu Kelas I Lokal</v>
          </cell>
          <cell r="C185" t="str">
            <v>m3</v>
          </cell>
          <cell r="D185">
            <v>1.1000000000000001</v>
          </cell>
          <cell r="E185">
            <v>1350000</v>
          </cell>
          <cell r="F185">
            <v>1485000.0000000002</v>
          </cell>
        </row>
        <row r="186">
          <cell r="B186" t="str">
            <v>Paku</v>
          </cell>
          <cell r="C186" t="str">
            <v>kg</v>
          </cell>
          <cell r="D186">
            <v>6</v>
          </cell>
          <cell r="E186">
            <v>8800</v>
          </cell>
          <cell r="F186">
            <v>52800</v>
          </cell>
        </row>
        <row r="187">
          <cell r="B187" t="str">
            <v>Kepala Tukang</v>
          </cell>
          <cell r="C187" t="str">
            <v>hr</v>
          </cell>
          <cell r="D187">
            <v>0.45</v>
          </cell>
          <cell r="E187">
            <v>35000</v>
          </cell>
          <cell r="F187">
            <v>15750</v>
          </cell>
        </row>
        <row r="188">
          <cell r="B188" t="str">
            <v>Tukang Kayu</v>
          </cell>
          <cell r="C188" t="str">
            <v>hr</v>
          </cell>
          <cell r="D188">
            <v>4.5</v>
          </cell>
          <cell r="E188">
            <v>30000</v>
          </cell>
          <cell r="F188">
            <v>135000</v>
          </cell>
        </row>
        <row r="189">
          <cell r="B189" t="str">
            <v>Pekerja</v>
          </cell>
          <cell r="C189" t="str">
            <v>hr</v>
          </cell>
          <cell r="D189">
            <v>2</v>
          </cell>
          <cell r="E189">
            <v>15000</v>
          </cell>
          <cell r="F189">
            <v>30000</v>
          </cell>
        </row>
        <row r="190">
          <cell r="B190" t="str">
            <v>Mandor</v>
          </cell>
          <cell r="C190" t="str">
            <v>hr</v>
          </cell>
          <cell r="D190">
            <v>0.1</v>
          </cell>
          <cell r="E190">
            <v>30000</v>
          </cell>
          <cell r="F190">
            <v>3000</v>
          </cell>
        </row>
        <row r="191">
          <cell r="F191">
            <v>1721550.0000000002</v>
          </cell>
        </row>
        <row r="192">
          <cell r="A192" t="str">
            <v>F.21</v>
          </cell>
          <cell r="B192" t="str">
            <v>1 M' LIST PROFIL PLAFOND</v>
          </cell>
        </row>
        <row r="193">
          <cell r="B193" t="str">
            <v>Kayu Kls I Lokal (3 X 3 cm)</v>
          </cell>
          <cell r="C193" t="str">
            <v>m'</v>
          </cell>
          <cell r="D193">
            <v>1.08</v>
          </cell>
          <cell r="E193">
            <v>3150</v>
          </cell>
          <cell r="F193">
            <v>3402</v>
          </cell>
        </row>
        <row r="194">
          <cell r="B194" t="str">
            <v>Paku</v>
          </cell>
          <cell r="C194" t="str">
            <v>kg</v>
          </cell>
          <cell r="D194">
            <v>0.1</v>
          </cell>
          <cell r="E194">
            <v>8800</v>
          </cell>
          <cell r="F194">
            <v>880</v>
          </cell>
        </row>
        <row r="195">
          <cell r="B195" t="str">
            <v>Kepala Tukang</v>
          </cell>
          <cell r="C195" t="str">
            <v>hr</v>
          </cell>
          <cell r="D195">
            <v>4.0000000000000001E-3</v>
          </cell>
          <cell r="E195">
            <v>35000</v>
          </cell>
          <cell r="F195">
            <v>140</v>
          </cell>
        </row>
        <row r="196">
          <cell r="B196" t="str">
            <v>Tukang Kayu</v>
          </cell>
          <cell r="C196" t="str">
            <v>hr</v>
          </cell>
          <cell r="D196">
            <v>0.04</v>
          </cell>
          <cell r="E196">
            <v>30000</v>
          </cell>
          <cell r="F196">
            <v>1200</v>
          </cell>
        </row>
        <row r="197">
          <cell r="B197" t="str">
            <v>Pekerja</v>
          </cell>
          <cell r="C197" t="str">
            <v>hr</v>
          </cell>
          <cell r="D197">
            <v>2.8000000000000001E-2</v>
          </cell>
          <cell r="E197">
            <v>15000</v>
          </cell>
          <cell r="F197">
            <v>420</v>
          </cell>
        </row>
        <row r="198">
          <cell r="B198" t="str">
            <v>Mandor</v>
          </cell>
          <cell r="C198" t="str">
            <v>hr</v>
          </cell>
          <cell r="D198">
            <v>1E-3</v>
          </cell>
          <cell r="E198">
            <v>30000</v>
          </cell>
          <cell r="F198">
            <v>30</v>
          </cell>
        </row>
        <row r="199">
          <cell r="F199">
            <v>6072</v>
          </cell>
        </row>
        <row r="200">
          <cell r="A200" t="str">
            <v>F.V.28</v>
          </cell>
          <cell r="B200" t="str">
            <v>1 M2 PLAFOND</v>
          </cell>
        </row>
        <row r="201">
          <cell r="B201" t="str">
            <v>Eternit</v>
          </cell>
          <cell r="C201" t="str">
            <v>m2</v>
          </cell>
          <cell r="D201">
            <v>1</v>
          </cell>
          <cell r="E201">
            <v>10000</v>
          </cell>
          <cell r="F201">
            <v>10000</v>
          </cell>
        </row>
        <row r="202">
          <cell r="B202" t="str">
            <v>Paku</v>
          </cell>
          <cell r="C202" t="str">
            <v>kg</v>
          </cell>
          <cell r="D202">
            <v>2.5000000000000001E-2</v>
          </cell>
          <cell r="E202">
            <v>8800</v>
          </cell>
          <cell r="F202">
            <v>220</v>
          </cell>
        </row>
        <row r="203">
          <cell r="B203" t="str">
            <v>Tukang Kayu</v>
          </cell>
          <cell r="C203" t="str">
            <v>hr</v>
          </cell>
          <cell r="D203">
            <v>0.38400000000000001</v>
          </cell>
          <cell r="E203">
            <v>30000</v>
          </cell>
          <cell r="F203">
            <v>11520</v>
          </cell>
        </row>
        <row r="204">
          <cell r="B204" t="str">
            <v>Pekerja</v>
          </cell>
          <cell r="C204" t="str">
            <v>hr</v>
          </cell>
          <cell r="D204">
            <v>0.13600000000000001</v>
          </cell>
          <cell r="E204">
            <v>15000</v>
          </cell>
          <cell r="F204">
            <v>2040.0000000000002</v>
          </cell>
        </row>
        <row r="205">
          <cell r="B205" t="str">
            <v>Mandor</v>
          </cell>
          <cell r="C205" t="str">
            <v>hr</v>
          </cell>
          <cell r="D205">
            <v>7.0000000000000001E-3</v>
          </cell>
          <cell r="E205">
            <v>30000</v>
          </cell>
          <cell r="F205">
            <v>210</v>
          </cell>
        </row>
        <row r="206">
          <cell r="B206" t="str">
            <v>Kepala Tukang</v>
          </cell>
          <cell r="C206" t="str">
            <v>hr</v>
          </cell>
          <cell r="D206">
            <v>3.7999999999999999E-2</v>
          </cell>
          <cell r="E206">
            <v>35000</v>
          </cell>
          <cell r="F206">
            <v>1330</v>
          </cell>
        </row>
        <row r="207">
          <cell r="F207">
            <v>25320</v>
          </cell>
        </row>
        <row r="208">
          <cell r="A208" t="str">
            <v>I.5</v>
          </cell>
          <cell r="B208" t="str">
            <v>1 M2 CAT KAYU</v>
          </cell>
        </row>
        <row r="209">
          <cell r="B209" t="str">
            <v>Cat Dasar</v>
          </cell>
          <cell r="C209" t="str">
            <v>kg</v>
          </cell>
          <cell r="D209">
            <v>0.75</v>
          </cell>
          <cell r="E209">
            <v>21000</v>
          </cell>
          <cell r="F209">
            <v>15750</v>
          </cell>
        </row>
        <row r="210">
          <cell r="B210" t="str">
            <v>Cat Kayu</v>
          </cell>
          <cell r="C210" t="str">
            <v>kg</v>
          </cell>
          <cell r="D210">
            <v>0.35</v>
          </cell>
          <cell r="E210">
            <v>27500</v>
          </cell>
          <cell r="F210">
            <v>9625</v>
          </cell>
        </row>
        <row r="211">
          <cell r="B211" t="str">
            <v>Minyak Cat</v>
          </cell>
          <cell r="C211" t="str">
            <v>kg</v>
          </cell>
          <cell r="D211">
            <v>0.08</v>
          </cell>
          <cell r="E211">
            <v>3500</v>
          </cell>
          <cell r="F211">
            <v>280</v>
          </cell>
        </row>
        <row r="212">
          <cell r="B212" t="str">
            <v>Kertas Gosok</v>
          </cell>
          <cell r="C212" t="str">
            <v>lbr</v>
          </cell>
          <cell r="D212">
            <v>0.1</v>
          </cell>
          <cell r="E212">
            <v>2050</v>
          </cell>
          <cell r="F212">
            <v>205</v>
          </cell>
        </row>
        <row r="213">
          <cell r="B213" t="str">
            <v>Tukang Cat</v>
          </cell>
          <cell r="C213" t="str">
            <v>hr</v>
          </cell>
          <cell r="D213">
            <v>0.188</v>
          </cell>
          <cell r="E213">
            <v>30000</v>
          </cell>
          <cell r="F213">
            <v>5640</v>
          </cell>
        </row>
        <row r="214">
          <cell r="B214" t="str">
            <v>Pekerja</v>
          </cell>
          <cell r="C214" t="str">
            <v>hr</v>
          </cell>
          <cell r="D214">
            <v>0.24</v>
          </cell>
          <cell r="E214">
            <v>15000</v>
          </cell>
          <cell r="F214">
            <v>3600</v>
          </cell>
        </row>
        <row r="215">
          <cell r="B215" t="str">
            <v>Mandor</v>
          </cell>
          <cell r="C215" t="str">
            <v>hr</v>
          </cell>
          <cell r="D215">
            <v>1.2E-2</v>
          </cell>
          <cell r="E215">
            <v>30000</v>
          </cell>
          <cell r="F215">
            <v>360</v>
          </cell>
        </row>
        <row r="216">
          <cell r="B216" t="str">
            <v>Kepala Tukang</v>
          </cell>
          <cell r="C216" t="str">
            <v>hr</v>
          </cell>
          <cell r="D216">
            <v>1.9E-2</v>
          </cell>
          <cell r="E216">
            <v>35000</v>
          </cell>
          <cell r="F216">
            <v>665</v>
          </cell>
        </row>
        <row r="217">
          <cell r="E217" t="str">
            <v>1 M2 Cat Dasar</v>
          </cell>
          <cell r="F217">
            <v>26500</v>
          </cell>
        </row>
        <row r="218">
          <cell r="E218" t="str">
            <v>1 M2 Cat Kayu</v>
          </cell>
          <cell r="F218">
            <v>20375</v>
          </cell>
        </row>
        <row r="219">
          <cell r="B219" t="str">
            <v>10 M2 CAT RESIDU</v>
          </cell>
        </row>
        <row r="220">
          <cell r="B220" t="str">
            <v>Cat Residu</v>
          </cell>
          <cell r="C220" t="str">
            <v>kg</v>
          </cell>
          <cell r="D220">
            <v>0.75</v>
          </cell>
          <cell r="E220">
            <v>2750</v>
          </cell>
          <cell r="F220">
            <v>2062.5</v>
          </cell>
        </row>
        <row r="221">
          <cell r="B221" t="str">
            <v>Minyak Cat</v>
          </cell>
          <cell r="C221" t="str">
            <v>kg</v>
          </cell>
          <cell r="D221">
            <v>1</v>
          </cell>
          <cell r="E221">
            <v>3500</v>
          </cell>
          <cell r="F221">
            <v>3500</v>
          </cell>
        </row>
        <row r="222">
          <cell r="B222" t="str">
            <v>Kertas Gosok</v>
          </cell>
          <cell r="C222" t="str">
            <v>lbr</v>
          </cell>
          <cell r="D222">
            <v>10</v>
          </cell>
          <cell r="E222">
            <v>2050</v>
          </cell>
          <cell r="F222">
            <v>20500</v>
          </cell>
        </row>
        <row r="223">
          <cell r="B223" t="str">
            <v>Tukang Cat</v>
          </cell>
          <cell r="C223" t="str">
            <v>hr</v>
          </cell>
          <cell r="D223">
            <v>0.75</v>
          </cell>
          <cell r="E223">
            <v>30000</v>
          </cell>
          <cell r="F223">
            <v>22500</v>
          </cell>
        </row>
        <row r="224">
          <cell r="B224" t="str">
            <v>Pekerja</v>
          </cell>
          <cell r="C224" t="str">
            <v>hr</v>
          </cell>
          <cell r="D224">
            <v>0.75</v>
          </cell>
          <cell r="E224">
            <v>15000</v>
          </cell>
          <cell r="F224">
            <v>11250</v>
          </cell>
        </row>
        <row r="225">
          <cell r="B225" t="str">
            <v>Mandor</v>
          </cell>
          <cell r="C225" t="str">
            <v>hr</v>
          </cell>
          <cell r="D225">
            <v>0.1</v>
          </cell>
          <cell r="E225">
            <v>30000</v>
          </cell>
          <cell r="F225">
            <v>3000</v>
          </cell>
        </row>
        <row r="226">
          <cell r="B226" t="str">
            <v>Kepala Tukang</v>
          </cell>
          <cell r="C226" t="str">
            <v>hr</v>
          </cell>
          <cell r="D226">
            <v>0.1</v>
          </cell>
          <cell r="E226">
            <v>35000</v>
          </cell>
          <cell r="F226">
            <v>3500</v>
          </cell>
        </row>
        <row r="227">
          <cell r="E227" t="str">
            <v>10 M2 Cat Residu</v>
          </cell>
          <cell r="F227">
            <v>66312.5</v>
          </cell>
        </row>
        <row r="228">
          <cell r="E228" t="str">
            <v>1 M2 Cat Residu</v>
          </cell>
          <cell r="F228">
            <v>6631.25</v>
          </cell>
        </row>
        <row r="229">
          <cell r="A229" t="str">
            <v>I.6</v>
          </cell>
          <cell r="B229" t="str">
            <v>1 M2 CAT ATAP</v>
          </cell>
        </row>
        <row r="230">
          <cell r="B230" t="str">
            <v>Cat Atap</v>
          </cell>
          <cell r="C230" t="str">
            <v>kg</v>
          </cell>
          <cell r="D230">
            <v>0.18</v>
          </cell>
          <cell r="E230">
            <v>11000</v>
          </cell>
          <cell r="F230">
            <v>1980</v>
          </cell>
        </row>
        <row r="231">
          <cell r="B231" t="str">
            <v>Minyak Cat</v>
          </cell>
          <cell r="C231" t="str">
            <v>kg</v>
          </cell>
          <cell r="D231">
            <v>0.05</v>
          </cell>
          <cell r="E231">
            <v>3500</v>
          </cell>
          <cell r="F231">
            <v>175</v>
          </cell>
        </row>
        <row r="232">
          <cell r="B232" t="str">
            <v>Tukang Cat</v>
          </cell>
          <cell r="C232" t="str">
            <v>hr</v>
          </cell>
          <cell r="D232">
            <v>0.14000000000000001</v>
          </cell>
          <cell r="E232">
            <v>30000</v>
          </cell>
          <cell r="F232">
            <v>4200</v>
          </cell>
        </row>
        <row r="233">
          <cell r="B233" t="str">
            <v>Pekerja</v>
          </cell>
          <cell r="C233" t="str">
            <v>hr</v>
          </cell>
          <cell r="D233">
            <v>0.16800000000000001</v>
          </cell>
          <cell r="E233">
            <v>15000</v>
          </cell>
          <cell r="F233">
            <v>2520</v>
          </cell>
        </row>
        <row r="234">
          <cell r="B234" t="str">
            <v>Mandor</v>
          </cell>
          <cell r="C234" t="str">
            <v>hr</v>
          </cell>
          <cell r="D234">
            <v>8.0000000000000002E-3</v>
          </cell>
          <cell r="E234">
            <v>30000</v>
          </cell>
          <cell r="F234">
            <v>240</v>
          </cell>
        </row>
        <row r="235">
          <cell r="B235" t="str">
            <v>Kepala Tukang</v>
          </cell>
          <cell r="C235" t="str">
            <v>hr</v>
          </cell>
          <cell r="D235">
            <v>1.4E-2</v>
          </cell>
          <cell r="E235">
            <v>35000</v>
          </cell>
          <cell r="F235">
            <v>490</v>
          </cell>
        </row>
        <row r="236">
          <cell r="F236">
            <v>9605</v>
          </cell>
        </row>
        <row r="237">
          <cell r="A237" t="str">
            <v>I.3</v>
          </cell>
          <cell r="B237" t="str">
            <v>1 M2 CAT TEMBOK</v>
          </cell>
        </row>
        <row r="238">
          <cell r="B238" t="str">
            <v>Cat Tembok</v>
          </cell>
          <cell r="C238" t="str">
            <v>kg</v>
          </cell>
          <cell r="D238">
            <v>0.3</v>
          </cell>
          <cell r="E238">
            <v>14300</v>
          </cell>
          <cell r="F238">
            <v>4290</v>
          </cell>
        </row>
        <row r="239">
          <cell r="B239" t="str">
            <v>Tukang Cat</v>
          </cell>
          <cell r="C239" t="str">
            <v>hr</v>
          </cell>
          <cell r="D239">
            <v>0.12</v>
          </cell>
          <cell r="E239">
            <v>30000</v>
          </cell>
          <cell r="F239">
            <v>3600</v>
          </cell>
        </row>
        <row r="240">
          <cell r="B240" t="str">
            <v>Pekerja</v>
          </cell>
          <cell r="C240" t="str">
            <v>hr</v>
          </cell>
          <cell r="D240">
            <v>0.188</v>
          </cell>
          <cell r="E240">
            <v>15000</v>
          </cell>
          <cell r="F240">
            <v>2820</v>
          </cell>
        </row>
        <row r="241">
          <cell r="B241" t="str">
            <v>Mandor</v>
          </cell>
          <cell r="C241" t="str">
            <v>hr</v>
          </cell>
          <cell r="D241">
            <v>8.9999999999999993E-3</v>
          </cell>
          <cell r="E241">
            <v>30000</v>
          </cell>
          <cell r="F241">
            <v>270</v>
          </cell>
        </row>
        <row r="242">
          <cell r="B242" t="str">
            <v>Kepala Tukang</v>
          </cell>
          <cell r="C242" t="str">
            <v>hr</v>
          </cell>
          <cell r="D242">
            <v>1.2E-2</v>
          </cell>
          <cell r="E242">
            <v>35000</v>
          </cell>
          <cell r="F242">
            <v>420</v>
          </cell>
        </row>
        <row r="243">
          <cell r="F243">
            <v>11400</v>
          </cell>
        </row>
        <row r="244">
          <cell r="A244" t="str">
            <v>F.III.13</v>
          </cell>
          <cell r="B244" t="str">
            <v>1 M3 KUDA-KUDA KLS. I LOKAL</v>
          </cell>
        </row>
        <row r="245">
          <cell r="B245" t="str">
            <v>Kayu Kelas I Lokal</v>
          </cell>
          <cell r="C245" t="str">
            <v>m3</v>
          </cell>
          <cell r="D245">
            <v>1.1000000000000001</v>
          </cell>
          <cell r="E245">
            <v>1350000</v>
          </cell>
          <cell r="F245">
            <v>1485000.0000000002</v>
          </cell>
        </row>
        <row r="246">
          <cell r="B246" t="str">
            <v>Tukang Kayu</v>
          </cell>
          <cell r="C246" t="str">
            <v>hr</v>
          </cell>
          <cell r="D246">
            <v>15.6</v>
          </cell>
          <cell r="E246">
            <v>30000</v>
          </cell>
          <cell r="F246">
            <v>468000</v>
          </cell>
        </row>
        <row r="247">
          <cell r="B247" t="str">
            <v>Pekerja</v>
          </cell>
          <cell r="C247" t="str">
            <v>hr</v>
          </cell>
          <cell r="D247">
            <v>5.2</v>
          </cell>
          <cell r="E247">
            <v>15000</v>
          </cell>
          <cell r="F247">
            <v>78000</v>
          </cell>
        </row>
        <row r="248">
          <cell r="B248" t="str">
            <v>Mandor</v>
          </cell>
          <cell r="C248" t="str">
            <v>hr</v>
          </cell>
          <cell r="D248">
            <v>0.26</v>
          </cell>
          <cell r="E248">
            <v>30000</v>
          </cell>
          <cell r="F248">
            <v>7800</v>
          </cell>
        </row>
        <row r="249">
          <cell r="B249" t="str">
            <v>Kepala Tukang</v>
          </cell>
          <cell r="C249" t="str">
            <v>hr</v>
          </cell>
          <cell r="D249">
            <v>1.56</v>
          </cell>
          <cell r="E249">
            <v>35000</v>
          </cell>
          <cell r="F249">
            <v>54600</v>
          </cell>
        </row>
        <row r="250">
          <cell r="F250">
            <v>2093400.0000000002</v>
          </cell>
        </row>
        <row r="251">
          <cell r="A251" t="str">
            <v>F.I.2</v>
          </cell>
          <cell r="B251" t="str">
            <v>1 M3 GORDING KLS. I LOKAL</v>
          </cell>
        </row>
        <row r="252">
          <cell r="B252" t="str">
            <v>Kayu Kelas I Lokal</v>
          </cell>
          <cell r="C252" t="str">
            <v>m3</v>
          </cell>
          <cell r="D252">
            <v>1.1000000000000001</v>
          </cell>
          <cell r="E252">
            <v>1350000</v>
          </cell>
          <cell r="F252">
            <v>1485000.0000000002</v>
          </cell>
        </row>
        <row r="253">
          <cell r="B253" t="str">
            <v>Paku Biasa</v>
          </cell>
          <cell r="C253" t="str">
            <v>kg</v>
          </cell>
          <cell r="D253">
            <v>6</v>
          </cell>
          <cell r="E253">
            <v>8800</v>
          </cell>
          <cell r="F253">
            <v>52800</v>
          </cell>
        </row>
        <row r="254">
          <cell r="B254" t="str">
            <v>Tukang Kayu</v>
          </cell>
          <cell r="C254" t="str">
            <v>hr</v>
          </cell>
          <cell r="D254">
            <v>5.4</v>
          </cell>
          <cell r="E254">
            <v>30000</v>
          </cell>
          <cell r="F254">
            <v>180000</v>
          </cell>
        </row>
        <row r="255">
          <cell r="B255" t="str">
            <v>Pekerja</v>
          </cell>
          <cell r="C255" t="str">
            <v>hr</v>
          </cell>
          <cell r="D255">
            <v>2</v>
          </cell>
          <cell r="E255">
            <v>15000</v>
          </cell>
          <cell r="F255">
            <v>81000</v>
          </cell>
        </row>
        <row r="256">
          <cell r="B256" t="str">
            <v>Mandor</v>
          </cell>
          <cell r="C256" t="str">
            <v>hr</v>
          </cell>
          <cell r="D256">
            <v>0.1</v>
          </cell>
          <cell r="E256">
            <v>30000</v>
          </cell>
          <cell r="F256">
            <v>60000</v>
          </cell>
        </row>
        <row r="257">
          <cell r="B257" t="str">
            <v>Kepala Tukang</v>
          </cell>
          <cell r="C257" t="str">
            <v>hr</v>
          </cell>
          <cell r="D257">
            <v>0.54</v>
          </cell>
          <cell r="E257">
            <v>35000</v>
          </cell>
          <cell r="F257">
            <v>3500</v>
          </cell>
        </row>
        <row r="258">
          <cell r="F258">
            <v>1862300.0000000002</v>
          </cell>
        </row>
        <row r="259">
          <cell r="A259" t="str">
            <v>F.II.12</v>
          </cell>
          <cell r="B259" t="str">
            <v>1 M2 LISPLANK PAPAN T=2 CM</v>
          </cell>
        </row>
        <row r="260">
          <cell r="B260" t="str">
            <v>Kayu Kelas I Lokal</v>
          </cell>
          <cell r="C260" t="str">
            <v>m3</v>
          </cell>
          <cell r="D260">
            <v>2.1999999999999999E-2</v>
          </cell>
          <cell r="E260">
            <v>1800000</v>
          </cell>
          <cell r="F260">
            <v>39600</v>
          </cell>
        </row>
        <row r="261">
          <cell r="B261" t="str">
            <v>Paku Biasa</v>
          </cell>
          <cell r="C261" t="str">
            <v>kg</v>
          </cell>
          <cell r="D261">
            <v>0.1</v>
          </cell>
          <cell r="E261">
            <v>8800</v>
          </cell>
          <cell r="F261">
            <v>880</v>
          </cell>
        </row>
        <row r="262">
          <cell r="B262" t="str">
            <v>Tukang Kayu</v>
          </cell>
          <cell r="C262" t="str">
            <v>hr</v>
          </cell>
          <cell r="D262">
            <v>0.52</v>
          </cell>
          <cell r="E262">
            <v>30000</v>
          </cell>
          <cell r="F262">
            <v>15600</v>
          </cell>
        </row>
        <row r="263">
          <cell r="B263" t="str">
            <v>Pekerja</v>
          </cell>
          <cell r="C263" t="str">
            <v>hr</v>
          </cell>
          <cell r="D263">
            <v>0.19</v>
          </cell>
          <cell r="E263">
            <v>15000</v>
          </cell>
          <cell r="F263">
            <v>2850</v>
          </cell>
        </row>
        <row r="264">
          <cell r="B264" t="str">
            <v>Mandor</v>
          </cell>
          <cell r="C264" t="str">
            <v>hr</v>
          </cell>
          <cell r="D264">
            <v>0.01</v>
          </cell>
          <cell r="E264">
            <v>30000</v>
          </cell>
          <cell r="F264">
            <v>300</v>
          </cell>
        </row>
        <row r="265">
          <cell r="B265" t="str">
            <v>Kepala Tukang</v>
          </cell>
          <cell r="C265" t="str">
            <v>hr</v>
          </cell>
          <cell r="D265">
            <v>5.1999999999999998E-2</v>
          </cell>
          <cell r="E265">
            <v>35000</v>
          </cell>
          <cell r="F265">
            <v>1820</v>
          </cell>
        </row>
        <row r="266">
          <cell r="F266">
            <v>61050</v>
          </cell>
        </row>
        <row r="267">
          <cell r="A267" t="str">
            <v>J.3</v>
          </cell>
          <cell r="B267" t="str">
            <v>1 M2 ATAP SENG GELOMBANG</v>
          </cell>
        </row>
        <row r="268">
          <cell r="B268" t="str">
            <v>Seng Gel. BWG 32" BJLS 0.30 mm</v>
          </cell>
          <cell r="C268" t="str">
            <v>kk</v>
          </cell>
          <cell r="D268">
            <v>5.5</v>
          </cell>
          <cell r="E268">
            <v>7500</v>
          </cell>
          <cell r="F268">
            <v>41250</v>
          </cell>
        </row>
        <row r="269">
          <cell r="B269" t="str">
            <v>Paku Seng</v>
          </cell>
          <cell r="C269" t="str">
            <v>kg</v>
          </cell>
          <cell r="D269">
            <v>4.4999999999999998E-2</v>
          </cell>
          <cell r="E269">
            <v>19450</v>
          </cell>
          <cell r="F269">
            <v>875.25</v>
          </cell>
        </row>
        <row r="270">
          <cell r="B270" t="str">
            <v>Tukang Kayu</v>
          </cell>
          <cell r="C270" t="str">
            <v>hr</v>
          </cell>
          <cell r="D270">
            <v>0.15</v>
          </cell>
          <cell r="E270">
            <v>30000</v>
          </cell>
          <cell r="F270">
            <v>4500</v>
          </cell>
        </row>
        <row r="271">
          <cell r="B271" t="str">
            <v>Pekerja</v>
          </cell>
          <cell r="C271" t="str">
            <v>hr</v>
          </cell>
          <cell r="D271">
            <v>7.4999999999999997E-2</v>
          </cell>
          <cell r="E271">
            <v>15000</v>
          </cell>
          <cell r="F271">
            <v>1125</v>
          </cell>
        </row>
        <row r="272">
          <cell r="B272" t="str">
            <v>Mandor</v>
          </cell>
          <cell r="C272" t="str">
            <v>hr</v>
          </cell>
          <cell r="D272">
            <v>4.0000000000000001E-3</v>
          </cell>
          <cell r="E272">
            <v>30000</v>
          </cell>
          <cell r="F272">
            <v>120</v>
          </cell>
        </row>
        <row r="273">
          <cell r="B273" t="str">
            <v>Kepala Tukang</v>
          </cell>
          <cell r="C273" t="str">
            <v>hr</v>
          </cell>
          <cell r="D273">
            <v>1.4999999999999999E-2</v>
          </cell>
          <cell r="E273">
            <v>35000</v>
          </cell>
          <cell r="F273">
            <v>525</v>
          </cell>
        </row>
        <row r="274">
          <cell r="F274">
            <v>48395.25</v>
          </cell>
        </row>
        <row r="275">
          <cell r="A275" t="str">
            <v>H.10</v>
          </cell>
          <cell r="B275" t="str">
            <v>1 M' NOK SENG PLAT</v>
          </cell>
        </row>
        <row r="276">
          <cell r="B276" t="str">
            <v>Seng Plat. BWG 28 BJLS 0.35 mm</v>
          </cell>
          <cell r="C276" t="str">
            <v>kk</v>
          </cell>
          <cell r="D276">
            <v>0.5</v>
          </cell>
          <cell r="E276">
            <v>3500</v>
          </cell>
          <cell r="F276">
            <v>1750</v>
          </cell>
        </row>
        <row r="277">
          <cell r="B277" t="str">
            <v>Paku Seng</v>
          </cell>
          <cell r="C277" t="str">
            <v>kg</v>
          </cell>
          <cell r="D277">
            <v>4.4999999999999998E-2</v>
          </cell>
          <cell r="E277">
            <v>19450</v>
          </cell>
          <cell r="F277">
            <v>875.25</v>
          </cell>
        </row>
        <row r="278">
          <cell r="B278" t="str">
            <v>Tukang Kayu</v>
          </cell>
          <cell r="C278" t="str">
            <v>hr</v>
          </cell>
          <cell r="D278">
            <v>1.9E-2</v>
          </cell>
          <cell r="E278">
            <v>30000</v>
          </cell>
          <cell r="F278">
            <v>570</v>
          </cell>
        </row>
        <row r="279">
          <cell r="B279" t="str">
            <v>Pekerja</v>
          </cell>
          <cell r="C279" t="str">
            <v>hr</v>
          </cell>
          <cell r="D279">
            <v>1.9E-2</v>
          </cell>
          <cell r="E279">
            <v>15000</v>
          </cell>
          <cell r="F279">
            <v>285</v>
          </cell>
        </row>
        <row r="280">
          <cell r="F280">
            <v>3480.25</v>
          </cell>
        </row>
        <row r="281">
          <cell r="B281" t="str">
            <v>1 M' BESI DIA. 10 mm (PINTU BESI GUA)</v>
          </cell>
        </row>
        <row r="282">
          <cell r="B282" t="str">
            <v>Besi 10 mm</v>
          </cell>
          <cell r="C282" t="str">
            <v>btg</v>
          </cell>
          <cell r="D282">
            <v>8.3299999999999999E-2</v>
          </cell>
          <cell r="E282" t="e">
            <v>#REF!</v>
          </cell>
          <cell r="F282" t="e">
            <v>#REF!</v>
          </cell>
        </row>
        <row r="283">
          <cell r="B283" t="str">
            <v>Elektroda Las</v>
          </cell>
          <cell r="C283" t="str">
            <v>bh</v>
          </cell>
          <cell r="D283">
            <v>1</v>
          </cell>
          <cell r="E283">
            <v>0</v>
          </cell>
          <cell r="F283">
            <v>0</v>
          </cell>
        </row>
        <row r="284">
          <cell r="B284" t="str">
            <v>Pekerja</v>
          </cell>
          <cell r="C284" t="str">
            <v>hr</v>
          </cell>
          <cell r="D284">
            <v>0.1</v>
          </cell>
          <cell r="E284">
            <v>15000</v>
          </cell>
          <cell r="F284">
            <v>1500</v>
          </cell>
        </row>
        <row r="285">
          <cell r="B285" t="str">
            <v>Mandor</v>
          </cell>
          <cell r="C285" t="str">
            <v>hr</v>
          </cell>
          <cell r="D285">
            <v>0.05</v>
          </cell>
          <cell r="E285">
            <v>30000</v>
          </cell>
          <cell r="F285">
            <v>1500</v>
          </cell>
        </row>
        <row r="286">
          <cell r="B286" t="str">
            <v>Kepala Tukang</v>
          </cell>
          <cell r="C286" t="str">
            <v>hr</v>
          </cell>
          <cell r="D286">
            <v>1.4999999999999999E-2</v>
          </cell>
          <cell r="E286">
            <v>35000</v>
          </cell>
          <cell r="F286">
            <v>525</v>
          </cell>
        </row>
        <row r="287">
          <cell r="B287" t="str">
            <v>Tukang Las</v>
          </cell>
          <cell r="C287" t="str">
            <v>ls</v>
          </cell>
          <cell r="D287">
            <v>0.75</v>
          </cell>
          <cell r="E287">
            <v>30000</v>
          </cell>
          <cell r="F287">
            <v>22500</v>
          </cell>
        </row>
        <row r="288">
          <cell r="F288" t="e">
            <v>#REF!</v>
          </cell>
        </row>
        <row r="289">
          <cell r="B289" t="str">
            <v>1 M' TIANG BESI SIKU</v>
          </cell>
        </row>
        <row r="290">
          <cell r="B290" t="str">
            <v>Besi  L 3,5X3,5X0,35</v>
          </cell>
          <cell r="C290" t="str">
            <v>m'</v>
          </cell>
          <cell r="D290">
            <v>2.6</v>
          </cell>
          <cell r="E290">
            <v>0</v>
          </cell>
          <cell r="F290">
            <v>0</v>
          </cell>
        </row>
        <row r="291">
          <cell r="B291" t="str">
            <v>Elektroda Las</v>
          </cell>
          <cell r="C291" t="str">
            <v>bh</v>
          </cell>
          <cell r="D291">
            <v>1</v>
          </cell>
          <cell r="E291">
            <v>0</v>
          </cell>
          <cell r="F291">
            <v>0</v>
          </cell>
        </row>
        <row r="292">
          <cell r="B292" t="str">
            <v>Pekerja</v>
          </cell>
          <cell r="C292" t="str">
            <v>hr</v>
          </cell>
          <cell r="D292">
            <v>0.1</v>
          </cell>
          <cell r="E292">
            <v>15000</v>
          </cell>
          <cell r="F292">
            <v>1500</v>
          </cell>
        </row>
        <row r="293">
          <cell r="B293" t="str">
            <v>Mandor</v>
          </cell>
          <cell r="C293" t="str">
            <v>hr</v>
          </cell>
          <cell r="D293">
            <v>0.05</v>
          </cell>
          <cell r="E293">
            <v>30000</v>
          </cell>
          <cell r="F293">
            <v>1500</v>
          </cell>
        </row>
        <row r="294">
          <cell r="B294" t="str">
            <v>Kepala Tukang</v>
          </cell>
          <cell r="C294" t="str">
            <v>hr</v>
          </cell>
          <cell r="D294">
            <v>1.4999999999999999E-2</v>
          </cell>
          <cell r="E294">
            <v>35000</v>
          </cell>
          <cell r="F294">
            <v>525</v>
          </cell>
        </row>
        <row r="295">
          <cell r="B295" t="str">
            <v>Tukang Las</v>
          </cell>
          <cell r="C295" t="str">
            <v>ls</v>
          </cell>
          <cell r="D295">
            <v>0.75</v>
          </cell>
          <cell r="E295">
            <v>30000</v>
          </cell>
          <cell r="F295">
            <v>22500</v>
          </cell>
        </row>
        <row r="296">
          <cell r="F296">
            <v>26025</v>
          </cell>
        </row>
        <row r="297">
          <cell r="B297" t="str">
            <v>1 M' PIPA BESI DIA. 2 INCHI</v>
          </cell>
        </row>
        <row r="298">
          <cell r="B298" t="str">
            <v>Pipa Besi dia. 2 inchi</v>
          </cell>
          <cell r="C298" t="str">
            <v>btg</v>
          </cell>
          <cell r="D298">
            <v>0.16</v>
          </cell>
          <cell r="E298" t="e">
            <v>#REF!</v>
          </cell>
          <cell r="F298" t="e">
            <v>#REF!</v>
          </cell>
        </row>
        <row r="299">
          <cell r="B299" t="str">
            <v>Elektroda Las</v>
          </cell>
          <cell r="C299" t="str">
            <v>bh</v>
          </cell>
          <cell r="D299">
            <v>1</v>
          </cell>
          <cell r="E299">
            <v>0</v>
          </cell>
          <cell r="F299">
            <v>0</v>
          </cell>
        </row>
        <row r="300">
          <cell r="B300" t="str">
            <v>Pekerja</v>
          </cell>
          <cell r="C300" t="str">
            <v>hr</v>
          </cell>
          <cell r="D300">
            <v>0.1</v>
          </cell>
          <cell r="E300">
            <v>15000</v>
          </cell>
          <cell r="F300">
            <v>1500</v>
          </cell>
        </row>
        <row r="301">
          <cell r="B301" t="str">
            <v>Mandor</v>
          </cell>
          <cell r="C301" t="str">
            <v>hr</v>
          </cell>
          <cell r="D301">
            <v>0.05</v>
          </cell>
          <cell r="E301">
            <v>30000</v>
          </cell>
          <cell r="F301">
            <v>1500</v>
          </cell>
        </row>
        <row r="302">
          <cell r="B302" t="str">
            <v>Kepala Tukang</v>
          </cell>
          <cell r="C302" t="str">
            <v>hr</v>
          </cell>
          <cell r="D302">
            <v>1.4999999999999999E-2</v>
          </cell>
          <cell r="E302">
            <v>35000</v>
          </cell>
          <cell r="F302">
            <v>525</v>
          </cell>
        </row>
        <row r="303">
          <cell r="B303" t="str">
            <v>Tukang Las</v>
          </cell>
          <cell r="C303" t="str">
            <v>ls</v>
          </cell>
          <cell r="D303">
            <v>0.75</v>
          </cell>
          <cell r="E303">
            <v>30000</v>
          </cell>
          <cell r="F303">
            <v>22500</v>
          </cell>
        </row>
        <row r="304">
          <cell r="F304" t="e">
            <v>#REF!</v>
          </cell>
        </row>
        <row r="305">
          <cell r="B305" t="str">
            <v>1 M' KAWAT DURI</v>
          </cell>
        </row>
        <row r="306">
          <cell r="B306" t="str">
            <v>Kawat Duri</v>
          </cell>
          <cell r="C306" t="str">
            <v>roll</v>
          </cell>
          <cell r="D306">
            <v>0.02</v>
          </cell>
          <cell r="E306" t="e">
            <v>#REF!</v>
          </cell>
          <cell r="F306" t="e">
            <v>#REF!</v>
          </cell>
        </row>
        <row r="307">
          <cell r="B307" t="str">
            <v>Elektroda Las</v>
          </cell>
          <cell r="C307" t="str">
            <v>bh</v>
          </cell>
          <cell r="D307">
            <v>1</v>
          </cell>
          <cell r="E307">
            <v>0</v>
          </cell>
          <cell r="F307">
            <v>0</v>
          </cell>
        </row>
        <row r="308">
          <cell r="B308" t="str">
            <v>Pekerja</v>
          </cell>
          <cell r="C308" t="str">
            <v>hr</v>
          </cell>
          <cell r="D308">
            <v>0.1</v>
          </cell>
          <cell r="E308">
            <v>15000</v>
          </cell>
          <cell r="F308">
            <v>1500</v>
          </cell>
        </row>
        <row r="309">
          <cell r="B309" t="str">
            <v>Mandor</v>
          </cell>
          <cell r="C309" t="str">
            <v>hr</v>
          </cell>
          <cell r="D309">
            <v>0.05</v>
          </cell>
          <cell r="E309">
            <v>30000</v>
          </cell>
          <cell r="F309">
            <v>1500</v>
          </cell>
        </row>
        <row r="310">
          <cell r="B310" t="str">
            <v>Kepala Tukang</v>
          </cell>
          <cell r="C310" t="str">
            <v>hr</v>
          </cell>
          <cell r="D310">
            <v>1.4999999999999999E-2</v>
          </cell>
          <cell r="E310">
            <v>35000</v>
          </cell>
          <cell r="F310">
            <v>525</v>
          </cell>
        </row>
        <row r="311">
          <cell r="B311" t="str">
            <v>Tukang Las</v>
          </cell>
          <cell r="C311" t="str">
            <v>ls</v>
          </cell>
          <cell r="D311">
            <v>0.75</v>
          </cell>
          <cell r="E311">
            <v>30000</v>
          </cell>
          <cell r="F311">
            <v>22500</v>
          </cell>
        </row>
        <row r="312">
          <cell r="F312" t="e">
            <v>#REF!</v>
          </cell>
        </row>
        <row r="313">
          <cell r="B313" t="str">
            <v>10 M2 CAT ATAP</v>
          </cell>
        </row>
        <row r="314">
          <cell r="B314" t="str">
            <v>Cat  Asbes</v>
          </cell>
          <cell r="C314" t="str">
            <v>kg</v>
          </cell>
          <cell r="D314">
            <v>1.1000000000000001</v>
          </cell>
          <cell r="E314">
            <v>0</v>
          </cell>
          <cell r="F314">
            <v>0</v>
          </cell>
        </row>
        <row r="315">
          <cell r="B315" t="str">
            <v>Tukang Cat</v>
          </cell>
          <cell r="C315" t="str">
            <v>hr</v>
          </cell>
          <cell r="D315">
            <v>2.4</v>
          </cell>
          <cell r="E315">
            <v>30000</v>
          </cell>
          <cell r="F315">
            <v>72000</v>
          </cell>
        </row>
        <row r="316">
          <cell r="B316" t="str">
            <v>Pekerja</v>
          </cell>
          <cell r="C316" t="str">
            <v>hr</v>
          </cell>
          <cell r="D316">
            <v>1.2</v>
          </cell>
          <cell r="E316">
            <v>15000</v>
          </cell>
          <cell r="F316">
            <v>18000</v>
          </cell>
        </row>
        <row r="317">
          <cell r="B317" t="str">
            <v>Mandor</v>
          </cell>
          <cell r="C317" t="str">
            <v>hr</v>
          </cell>
          <cell r="D317">
            <v>0.12</v>
          </cell>
          <cell r="E317">
            <v>30000</v>
          </cell>
          <cell r="F317">
            <v>3600</v>
          </cell>
        </row>
        <row r="318">
          <cell r="B318" t="str">
            <v>Kepala Tukang</v>
          </cell>
          <cell r="C318" t="str">
            <v>hr</v>
          </cell>
          <cell r="D318">
            <v>0.12</v>
          </cell>
          <cell r="E318">
            <v>35000</v>
          </cell>
          <cell r="F318">
            <v>4200</v>
          </cell>
        </row>
        <row r="319">
          <cell r="E319" t="str">
            <v>10 M2</v>
          </cell>
          <cell r="F319">
            <v>97800</v>
          </cell>
        </row>
        <row r="320">
          <cell r="E320" t="str">
            <v xml:space="preserve">1 M2 Cat Atap </v>
          </cell>
          <cell r="F320">
            <v>9780</v>
          </cell>
        </row>
        <row r="321">
          <cell r="B321" t="str">
            <v>1 M' SALURAN AIR HUJAN KELILING BANGUNAN</v>
          </cell>
        </row>
        <row r="322">
          <cell r="B322" t="str">
            <v>Galian tanah</v>
          </cell>
          <cell r="C322" t="str">
            <v>m3</v>
          </cell>
          <cell r="D322">
            <v>0.3</v>
          </cell>
          <cell r="E322">
            <v>12810</v>
          </cell>
          <cell r="F322">
            <v>3843</v>
          </cell>
        </row>
        <row r="323">
          <cell r="B323" t="str">
            <v>Pas. Batu Bata Trasraam</v>
          </cell>
          <cell r="C323" t="str">
            <v>m3</v>
          </cell>
          <cell r="D323">
            <v>9.5699999999999993E-2</v>
          </cell>
          <cell r="E323">
            <v>563615</v>
          </cell>
          <cell r="F323">
            <v>53937.955499999996</v>
          </cell>
        </row>
        <row r="324">
          <cell r="B324" t="str">
            <v>Plesteran Trasraam</v>
          </cell>
          <cell r="C324" t="str">
            <v>m2</v>
          </cell>
          <cell r="D324">
            <v>1.1499999999999999</v>
          </cell>
          <cell r="E324">
            <v>21415</v>
          </cell>
          <cell r="F324">
            <v>24627.249999999996</v>
          </cell>
        </row>
        <row r="325">
          <cell r="B325" t="str">
            <v>Pas. Batu Kosong</v>
          </cell>
          <cell r="C325" t="str">
            <v>m3</v>
          </cell>
          <cell r="D325">
            <v>5.5E-2</v>
          </cell>
          <cell r="E325">
            <v>137100</v>
          </cell>
          <cell r="F325">
            <v>7540.5</v>
          </cell>
        </row>
        <row r="326">
          <cell r="F326">
            <v>89948.705499999996</v>
          </cell>
        </row>
        <row r="327">
          <cell r="B327" t="str">
            <v xml:space="preserve">1 BUAH BAK KONTROL </v>
          </cell>
        </row>
        <row r="328">
          <cell r="B328" t="str">
            <v>Galian Tanah</v>
          </cell>
          <cell r="C328" t="str">
            <v>m3</v>
          </cell>
          <cell r="D328">
            <v>0.53900000000000003</v>
          </cell>
          <cell r="E328">
            <v>12810</v>
          </cell>
          <cell r="F328">
            <v>6904.59</v>
          </cell>
        </row>
        <row r="329">
          <cell r="B329" t="str">
            <v>Pas. Bata Trasraam</v>
          </cell>
          <cell r="C329" t="str">
            <v>m3</v>
          </cell>
          <cell r="D329">
            <v>0.25</v>
          </cell>
          <cell r="E329">
            <v>563615</v>
          </cell>
          <cell r="F329">
            <v>140903.75</v>
          </cell>
        </row>
        <row r="330">
          <cell r="B330" t="str">
            <v>Plesteran Trasraam</v>
          </cell>
          <cell r="C330" t="str">
            <v>m2</v>
          </cell>
          <cell r="D330">
            <v>1.75</v>
          </cell>
          <cell r="E330">
            <v>21415</v>
          </cell>
          <cell r="F330">
            <v>37476.25</v>
          </cell>
        </row>
        <row r="331">
          <cell r="B331" t="str">
            <v>Urugan Pasir</v>
          </cell>
          <cell r="C331" t="str">
            <v>m3</v>
          </cell>
          <cell r="D331">
            <v>0.32</v>
          </cell>
          <cell r="E331">
            <v>51000</v>
          </cell>
          <cell r="F331">
            <v>16320</v>
          </cell>
        </row>
        <row r="332">
          <cell r="B332" t="str">
            <v>Urugan Kerikil</v>
          </cell>
          <cell r="C332" t="str">
            <v>m3</v>
          </cell>
          <cell r="D332">
            <v>2.5000000000000001E-2</v>
          </cell>
          <cell r="E332">
            <v>62220</v>
          </cell>
          <cell r="F332">
            <v>1555.5</v>
          </cell>
        </row>
        <row r="333">
          <cell r="F333">
            <v>203160.09</v>
          </cell>
        </row>
        <row r="334">
          <cell r="A334" t="str">
            <v>F.IV.24</v>
          </cell>
          <cell r="B334" t="str">
            <v>1 M2 PASANGAN RAM HARMONIKA</v>
          </cell>
        </row>
        <row r="335">
          <cell r="B335" t="str">
            <v>Kawat Ram Harmonika # 4 cm</v>
          </cell>
          <cell r="C335" t="str">
            <v>m2</v>
          </cell>
          <cell r="D335">
            <v>1.1499999999999999</v>
          </cell>
          <cell r="E335">
            <v>16200</v>
          </cell>
          <cell r="F335">
            <v>18630</v>
          </cell>
        </row>
        <row r="336">
          <cell r="B336" t="str">
            <v>Paku</v>
          </cell>
          <cell r="C336" t="str">
            <v>m2</v>
          </cell>
          <cell r="D336">
            <v>0.1</v>
          </cell>
          <cell r="E336">
            <v>8800</v>
          </cell>
          <cell r="F336">
            <v>880</v>
          </cell>
        </row>
        <row r="337">
          <cell r="B337" t="str">
            <v>Tukang Kayu</v>
          </cell>
          <cell r="C337" t="str">
            <v>hr</v>
          </cell>
          <cell r="D337">
            <v>0.25</v>
          </cell>
          <cell r="E337">
            <v>30000</v>
          </cell>
          <cell r="F337">
            <v>7500</v>
          </cell>
        </row>
        <row r="338">
          <cell r="B338" t="str">
            <v>Pekerja</v>
          </cell>
          <cell r="C338" t="str">
            <v>hr</v>
          </cell>
          <cell r="D338">
            <v>0.1</v>
          </cell>
          <cell r="E338">
            <v>15000</v>
          </cell>
          <cell r="F338">
            <v>1500</v>
          </cell>
        </row>
        <row r="339">
          <cell r="F339">
            <v>28510</v>
          </cell>
        </row>
      </sheetData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>
        <row r="7">
          <cell r="C7" t="str">
            <v>Batu Gunung</v>
          </cell>
          <cell r="D7" t="str">
            <v>Rp</v>
          </cell>
          <cell r="E7">
            <v>16500</v>
          </cell>
        </row>
        <row r="8">
          <cell r="C8" t="str">
            <v>Pasir Timbunan</v>
          </cell>
          <cell r="D8" t="str">
            <v>Rp</v>
          </cell>
          <cell r="E8">
            <v>15000</v>
          </cell>
        </row>
        <row r="9">
          <cell r="C9" t="str">
            <v>Tanah Timbunan</v>
          </cell>
          <cell r="D9" t="str">
            <v>Rp</v>
          </cell>
          <cell r="E9">
            <v>16000</v>
          </cell>
        </row>
        <row r="10">
          <cell r="C10" t="str">
            <v>Pasir Pasangan</v>
          </cell>
          <cell r="D10" t="str">
            <v>Rp</v>
          </cell>
          <cell r="E10">
            <v>33750</v>
          </cell>
        </row>
        <row r="11">
          <cell r="C11" t="str">
            <v>Pasir Beton</v>
          </cell>
          <cell r="D11" t="str">
            <v>Rp</v>
          </cell>
          <cell r="E11">
            <v>30000</v>
          </cell>
        </row>
        <row r="12">
          <cell r="C12" t="str">
            <v>Batu Pecah 2-3 cm</v>
          </cell>
          <cell r="D12" t="str">
            <v>Rp</v>
          </cell>
          <cell r="E12">
            <v>54500</v>
          </cell>
        </row>
        <row r="13">
          <cell r="C13" t="str">
            <v>Krikil Sungai</v>
          </cell>
          <cell r="D13" t="str">
            <v>Rp</v>
          </cell>
          <cell r="E13">
            <v>17500</v>
          </cell>
        </row>
        <row r="14">
          <cell r="C14" t="str">
            <v>Kapur</v>
          </cell>
          <cell r="D14" t="str">
            <v>Rp</v>
          </cell>
          <cell r="E14">
            <v>50000</v>
          </cell>
        </row>
        <row r="15">
          <cell r="C15" t="str">
            <v>Semen</v>
          </cell>
          <cell r="D15" t="str">
            <v>Rp</v>
          </cell>
          <cell r="E15">
            <v>19500</v>
          </cell>
        </row>
        <row r="16">
          <cell r="C16" t="str">
            <v>Bata Merah</v>
          </cell>
          <cell r="D16" t="str">
            <v>Rp</v>
          </cell>
          <cell r="E16">
            <v>185</v>
          </cell>
        </row>
        <row r="17">
          <cell r="C17" t="str">
            <v>Besi Beton U-24</v>
          </cell>
          <cell r="D17" t="str">
            <v>Rp</v>
          </cell>
          <cell r="E17">
            <v>3500</v>
          </cell>
        </row>
        <row r="18">
          <cell r="C18" t="str">
            <v>Kawat Beton</v>
          </cell>
          <cell r="D18" t="str">
            <v>Rp</v>
          </cell>
          <cell r="E18">
            <v>8000</v>
          </cell>
        </row>
        <row r="19">
          <cell r="C19" t="str">
            <v>Paku 2,5 - 4 cm</v>
          </cell>
          <cell r="D19" t="str">
            <v>Rp</v>
          </cell>
          <cell r="E19">
            <v>6000</v>
          </cell>
        </row>
        <row r="20">
          <cell r="C20" t="str">
            <v>Paku 5 - 10 cm</v>
          </cell>
          <cell r="D20" t="str">
            <v>Rp</v>
          </cell>
          <cell r="E20">
            <v>5000</v>
          </cell>
        </row>
        <row r="21">
          <cell r="C21" t="str">
            <v>Tegel Porselin 20x25</v>
          </cell>
          <cell r="D21" t="str">
            <v>Rp</v>
          </cell>
          <cell r="E21">
            <v>32000</v>
          </cell>
        </row>
        <row r="22">
          <cell r="C22" t="str">
            <v>Tegel Keramik 30x30</v>
          </cell>
          <cell r="D22" t="str">
            <v>Rp</v>
          </cell>
          <cell r="E22">
            <v>18000</v>
          </cell>
        </row>
        <row r="23">
          <cell r="C23" t="str">
            <v>Tegel Mozaik 20x20 cm</v>
          </cell>
          <cell r="D23" t="str">
            <v>Rp</v>
          </cell>
          <cell r="E23">
            <v>32000</v>
          </cell>
        </row>
        <row r="24">
          <cell r="C24" t="str">
            <v>Tripleks 6mm</v>
          </cell>
          <cell r="D24" t="str">
            <v>Rp</v>
          </cell>
          <cell r="E24">
            <v>15000</v>
          </cell>
        </row>
        <row r="25">
          <cell r="C25" t="str">
            <v>Kaca Rayband 5mm</v>
          </cell>
          <cell r="D25" t="str">
            <v>Rp</v>
          </cell>
          <cell r="E25">
            <v>55000</v>
          </cell>
        </row>
        <row r="26">
          <cell r="C26" t="str">
            <v>Kaca / Cermin</v>
          </cell>
          <cell r="D26" t="str">
            <v>Rp</v>
          </cell>
          <cell r="E26">
            <v>60000</v>
          </cell>
        </row>
        <row r="27">
          <cell r="C27" t="str">
            <v>Kayu Kls I (Balok Somil)</v>
          </cell>
          <cell r="D27" t="str">
            <v>Rp</v>
          </cell>
          <cell r="E27">
            <v>2675000</v>
          </cell>
        </row>
        <row r="28">
          <cell r="C28" t="str">
            <v>Kayu Kls I (Papan Somil)</v>
          </cell>
          <cell r="D28" t="str">
            <v>Rp</v>
          </cell>
          <cell r="E28">
            <v>3250000</v>
          </cell>
        </row>
        <row r="29">
          <cell r="C29" t="str">
            <v>Kayu Kls I (Balok Senso)</v>
          </cell>
          <cell r="D29" t="str">
            <v>Rp</v>
          </cell>
          <cell r="E29">
            <v>1800000</v>
          </cell>
        </row>
        <row r="30">
          <cell r="C30" t="str">
            <v>Kayu Kelas II (Balok)</v>
          </cell>
          <cell r="D30" t="str">
            <v>Rp</v>
          </cell>
          <cell r="E30">
            <v>900000</v>
          </cell>
        </row>
        <row r="31">
          <cell r="C31" t="str">
            <v>Kayu Kelas II (Papan)</v>
          </cell>
          <cell r="D31" t="str">
            <v>Rp</v>
          </cell>
          <cell r="E31">
            <v>1000000</v>
          </cell>
        </row>
        <row r="32">
          <cell r="C32" t="str">
            <v>Cat Tembok Kls B (Ex Metrolite)</v>
          </cell>
          <cell r="D32" t="str">
            <v>Rp</v>
          </cell>
          <cell r="E32">
            <v>27500</v>
          </cell>
        </row>
        <row r="33">
          <cell r="C33" t="str">
            <v>Cat Kayu Kls B</v>
          </cell>
          <cell r="D33" t="str">
            <v>Rp</v>
          </cell>
          <cell r="E33">
            <v>18500</v>
          </cell>
        </row>
        <row r="34">
          <cell r="C34" t="str">
            <v>Cat Dasar / Meni</v>
          </cell>
          <cell r="D34" t="str">
            <v>Rp</v>
          </cell>
          <cell r="E34">
            <v>13500</v>
          </cell>
        </row>
        <row r="35">
          <cell r="C35" t="str">
            <v>Kloset Jongkok</v>
          </cell>
          <cell r="D35" t="str">
            <v>Rp</v>
          </cell>
          <cell r="E35">
            <v>75000</v>
          </cell>
        </row>
        <row r="36">
          <cell r="C36" t="str">
            <v>Kran Air</v>
          </cell>
          <cell r="D36" t="str">
            <v>Rp</v>
          </cell>
          <cell r="E36">
            <v>80000</v>
          </cell>
        </row>
        <row r="37">
          <cell r="C37" t="str">
            <v xml:space="preserve">Washtafel EX.Lokal Warna </v>
          </cell>
          <cell r="D37" t="str">
            <v>Rp</v>
          </cell>
          <cell r="E37">
            <v>180000</v>
          </cell>
        </row>
        <row r="38">
          <cell r="C38" t="str">
            <v>Floor Drine</v>
          </cell>
          <cell r="D38" t="str">
            <v>Rp</v>
          </cell>
          <cell r="E38">
            <v>20000</v>
          </cell>
        </row>
        <row r="39">
          <cell r="C39" t="str">
            <v>Urinoir</v>
          </cell>
          <cell r="D39" t="str">
            <v>Rp</v>
          </cell>
          <cell r="E39">
            <v>500000</v>
          </cell>
        </row>
        <row r="40">
          <cell r="C40" t="str">
            <v>PVC D @ 10 cm Medium</v>
          </cell>
          <cell r="D40" t="str">
            <v>Rp</v>
          </cell>
          <cell r="E40">
            <v>11250</v>
          </cell>
        </row>
        <row r="41">
          <cell r="C41" t="str">
            <v>PVC D @ 7,5 cm Medium</v>
          </cell>
          <cell r="D41" t="str">
            <v>Rp</v>
          </cell>
          <cell r="E41">
            <v>6250</v>
          </cell>
        </row>
        <row r="42">
          <cell r="C42" t="str">
            <v>Gip  1/2" MB</v>
          </cell>
          <cell r="D42" t="str">
            <v>Rp</v>
          </cell>
          <cell r="E42">
            <v>7800</v>
          </cell>
        </row>
        <row r="43">
          <cell r="C43" t="str">
            <v>Baut D. 12 mm</v>
          </cell>
          <cell r="D43" t="str">
            <v>Rp</v>
          </cell>
          <cell r="E43">
            <v>3750</v>
          </cell>
        </row>
        <row r="44">
          <cell r="C44" t="str">
            <v>Engsel Pintu</v>
          </cell>
          <cell r="D44" t="str">
            <v>Rp</v>
          </cell>
          <cell r="E44">
            <v>3500</v>
          </cell>
        </row>
        <row r="45">
          <cell r="C45" t="str">
            <v>Engsel Jendela</v>
          </cell>
          <cell r="D45" t="str">
            <v>Rp</v>
          </cell>
          <cell r="E45">
            <v>2500</v>
          </cell>
        </row>
        <row r="46">
          <cell r="C46" t="str">
            <v>Grendel Jendela / Pintu</v>
          </cell>
          <cell r="D46" t="str">
            <v>Rp</v>
          </cell>
          <cell r="E46">
            <v>1000</v>
          </cell>
        </row>
        <row r="47">
          <cell r="C47" t="str">
            <v>Kunci Pintu 2 x Putar</v>
          </cell>
          <cell r="D47" t="str">
            <v>Rp</v>
          </cell>
          <cell r="E47">
            <v>75000</v>
          </cell>
        </row>
        <row r="48">
          <cell r="C48" t="str">
            <v>Hak Angin</v>
          </cell>
          <cell r="D48" t="str">
            <v>Rp</v>
          </cell>
          <cell r="E48">
            <v>5000</v>
          </cell>
        </row>
        <row r="49">
          <cell r="C49" t="str">
            <v>Lampu SL-25 Waat</v>
          </cell>
          <cell r="D49" t="str">
            <v>Rp</v>
          </cell>
          <cell r="E49">
            <v>62500</v>
          </cell>
        </row>
        <row r="50">
          <cell r="C50" t="str">
            <v>Mercury 100 Watt</v>
          </cell>
          <cell r="D50" t="str">
            <v>Rp</v>
          </cell>
          <cell r="E50">
            <v>125000</v>
          </cell>
        </row>
        <row r="51">
          <cell r="C51" t="str">
            <v>Lampu TL 2 x 36 Watt</v>
          </cell>
          <cell r="D51" t="str">
            <v>Rp</v>
          </cell>
          <cell r="E51">
            <v>93500</v>
          </cell>
        </row>
        <row r="52">
          <cell r="C52" t="str">
            <v>Lampu Pijar 40 Watt</v>
          </cell>
          <cell r="D52" t="str">
            <v>Rp</v>
          </cell>
          <cell r="E52">
            <v>2500</v>
          </cell>
        </row>
        <row r="53">
          <cell r="C53" t="str">
            <v>Stop Kontak</v>
          </cell>
          <cell r="D53" t="str">
            <v>Rp</v>
          </cell>
          <cell r="E53">
            <v>9000</v>
          </cell>
        </row>
        <row r="54">
          <cell r="C54" t="str">
            <v>Saklar Tunggal</v>
          </cell>
          <cell r="D54" t="str">
            <v>Rp</v>
          </cell>
          <cell r="E54">
            <v>8500</v>
          </cell>
        </row>
        <row r="55">
          <cell r="C55" t="str">
            <v>Saklar Ganda</v>
          </cell>
          <cell r="D55" t="str">
            <v>Rp</v>
          </cell>
          <cell r="E55">
            <v>11500</v>
          </cell>
        </row>
        <row r="61">
          <cell r="C61" t="str">
            <v>NAMA  TENAGA KERJA</v>
          </cell>
          <cell r="E61" t="str">
            <v>UPAH    &amp;</v>
          </cell>
        </row>
        <row r="63">
          <cell r="C63" t="str">
            <v>Tukang</v>
          </cell>
          <cell r="D63" t="str">
            <v>Rp</v>
          </cell>
          <cell r="E63">
            <v>20000</v>
          </cell>
        </row>
        <row r="64">
          <cell r="C64" t="str">
            <v>Kepala tukang</v>
          </cell>
          <cell r="D64" t="str">
            <v>Rp</v>
          </cell>
          <cell r="E64">
            <v>22500</v>
          </cell>
        </row>
        <row r="65">
          <cell r="C65" t="str">
            <v>Pekerja</v>
          </cell>
          <cell r="D65" t="str">
            <v>Rp</v>
          </cell>
          <cell r="E65">
            <v>12000</v>
          </cell>
        </row>
        <row r="66">
          <cell r="C66" t="str">
            <v>Mandor</v>
          </cell>
          <cell r="D66" t="str">
            <v>Rp</v>
          </cell>
          <cell r="E66">
            <v>17500</v>
          </cell>
        </row>
        <row r="69">
          <cell r="D69" t="str">
            <v>Makassar,   9 Desember 2000.</v>
          </cell>
        </row>
        <row r="71">
          <cell r="D71" t="str">
            <v>Konsultan Perencana</v>
          </cell>
        </row>
        <row r="72">
          <cell r="D72" t="str">
            <v>CV. PRAPRIMADANI PRATAMA</v>
          </cell>
        </row>
        <row r="139">
          <cell r="C139" t="str">
            <v>Semen Putih</v>
          </cell>
          <cell r="D139" t="str">
            <v>Rp</v>
          </cell>
          <cell r="E139">
            <v>50000</v>
          </cell>
        </row>
        <row r="140">
          <cell r="C140" t="str">
            <v>Genteng Beton Warna</v>
          </cell>
          <cell r="D140" t="str">
            <v>Rp</v>
          </cell>
          <cell r="E140">
            <v>3000</v>
          </cell>
        </row>
        <row r="141">
          <cell r="C141" t="str">
            <v>Bubungan Genteng Beton</v>
          </cell>
          <cell r="D141" t="str">
            <v>Rp</v>
          </cell>
          <cell r="E141">
            <v>3000</v>
          </cell>
        </row>
        <row r="142">
          <cell r="C142" t="str">
            <v>Karet Pelapis Genteng</v>
          </cell>
          <cell r="D142" t="str">
            <v>Rp</v>
          </cell>
          <cell r="E142">
            <v>7500</v>
          </cell>
        </row>
        <row r="143">
          <cell r="C143" t="str">
            <v>Seng Plat BWG 0,28</v>
          </cell>
          <cell r="D143" t="str">
            <v>Rp</v>
          </cell>
          <cell r="E143">
            <v>24299.995555555553</v>
          </cell>
        </row>
        <row r="144">
          <cell r="C144" t="str">
            <v>Seng Gelombang BJLS 0,28</v>
          </cell>
          <cell r="D144" t="str">
            <v>Rp</v>
          </cell>
          <cell r="E144">
            <v>23250</v>
          </cell>
        </row>
        <row r="145">
          <cell r="C145" t="str">
            <v>Asbes Gelombang 5 mm</v>
          </cell>
          <cell r="D145" t="str">
            <v>Rp</v>
          </cell>
          <cell r="E145">
            <v>17900</v>
          </cell>
        </row>
        <row r="146">
          <cell r="C146" t="str">
            <v>Asbes Genteng Harflex</v>
          </cell>
          <cell r="D146" t="str">
            <v>Rp</v>
          </cell>
          <cell r="E146">
            <v>18000</v>
          </cell>
        </row>
        <row r="147">
          <cell r="C147" t="str">
            <v>Tegel 30x30 (Ex. Platinium)</v>
          </cell>
          <cell r="D147" t="str">
            <v>Rp</v>
          </cell>
          <cell r="E147">
            <v>35000</v>
          </cell>
        </row>
        <row r="148">
          <cell r="C148" t="str">
            <v>Marmer Maros 100x100 cm</v>
          </cell>
          <cell r="D148" t="str">
            <v>Rp</v>
          </cell>
          <cell r="E148">
            <v>224000</v>
          </cell>
        </row>
        <row r="149">
          <cell r="C149" t="str">
            <v>Marmer Maros 60x60 cm</v>
          </cell>
          <cell r="D149" t="str">
            <v>Rp</v>
          </cell>
          <cell r="E149">
            <v>174000</v>
          </cell>
        </row>
        <row r="150">
          <cell r="C150" t="str">
            <v>Marmer Maros 30x30 cm</v>
          </cell>
          <cell r="D150" t="str">
            <v>Rp</v>
          </cell>
          <cell r="E150">
            <v>156000</v>
          </cell>
        </row>
        <row r="151">
          <cell r="C151" t="str">
            <v>Tegel Ezensa 60x60 cm</v>
          </cell>
          <cell r="D151" t="str">
            <v>Rp</v>
          </cell>
          <cell r="E151">
            <v>200000</v>
          </cell>
        </row>
        <row r="152">
          <cell r="C152" t="str">
            <v>Tegel Ezensa 40x40 cm</v>
          </cell>
          <cell r="D152" t="str">
            <v>Rp</v>
          </cell>
          <cell r="E152">
            <v>135000</v>
          </cell>
        </row>
        <row r="153">
          <cell r="C153" t="str">
            <v>Tegel Ezensa 30x30 cm</v>
          </cell>
          <cell r="D153" t="str">
            <v>Rp</v>
          </cell>
          <cell r="E153">
            <v>120000</v>
          </cell>
        </row>
        <row r="154">
          <cell r="C154" t="str">
            <v>Tripleks 4mm</v>
          </cell>
          <cell r="D154" t="str">
            <v>Rp</v>
          </cell>
          <cell r="E154">
            <v>9550</v>
          </cell>
        </row>
        <row r="155">
          <cell r="C155" t="str">
            <v>Tripleks 9mm</v>
          </cell>
          <cell r="D155" t="str">
            <v>Rp</v>
          </cell>
          <cell r="E155">
            <v>24500</v>
          </cell>
        </row>
        <row r="156">
          <cell r="C156" t="str">
            <v>Gypsum Board</v>
          </cell>
          <cell r="D156" t="str">
            <v>Rp</v>
          </cell>
          <cell r="E156">
            <v>11150</v>
          </cell>
        </row>
        <row r="157">
          <cell r="C157" t="str">
            <v>Eternit 1 x 1 M</v>
          </cell>
          <cell r="D157" t="str">
            <v>Rp</v>
          </cell>
          <cell r="E157">
            <v>6500</v>
          </cell>
        </row>
        <row r="158">
          <cell r="C158" t="str">
            <v>Kaca Buram  5 mm</v>
          </cell>
          <cell r="D158" t="str">
            <v>Rp</v>
          </cell>
          <cell r="E158">
            <v>55000</v>
          </cell>
        </row>
        <row r="159">
          <cell r="C159" t="str">
            <v>Kayu Kelas III (Balok)</v>
          </cell>
          <cell r="D159" t="str">
            <v>Rp</v>
          </cell>
          <cell r="E159">
            <v>500000</v>
          </cell>
        </row>
        <row r="160">
          <cell r="C160" t="str">
            <v>Kayu Kelas III (Papan)</v>
          </cell>
          <cell r="D160" t="str">
            <v>Rp</v>
          </cell>
          <cell r="E160">
            <v>550000</v>
          </cell>
        </row>
        <row r="161">
          <cell r="C161" t="str">
            <v>List Plafond (Kayu Profil 3x4)</v>
          </cell>
          <cell r="D161" t="str">
            <v>Rp</v>
          </cell>
          <cell r="E161">
            <v>2500</v>
          </cell>
        </row>
        <row r="162">
          <cell r="C162" t="str">
            <v>Lambiserin Kls II 1x9x400</v>
          </cell>
          <cell r="D162" t="str">
            <v>Rp</v>
          </cell>
          <cell r="E162">
            <v>2800</v>
          </cell>
        </row>
        <row r="163">
          <cell r="C163" t="str">
            <v>Teakwood Pintu</v>
          </cell>
          <cell r="D163" t="str">
            <v>Rp</v>
          </cell>
          <cell r="E163">
            <v>45000</v>
          </cell>
        </row>
        <row r="164">
          <cell r="C164" t="str">
            <v>Cat Teak Oil/Politur</v>
          </cell>
          <cell r="D164" t="str">
            <v>Rp</v>
          </cell>
          <cell r="E164">
            <v>10000</v>
          </cell>
        </row>
        <row r="165">
          <cell r="C165" t="str">
            <v>Minyak Cat</v>
          </cell>
          <cell r="D165" t="str">
            <v>Rp</v>
          </cell>
          <cell r="E165">
            <v>1750</v>
          </cell>
        </row>
        <row r="173">
          <cell r="C173" t="str">
            <v>Kloset Duduk</v>
          </cell>
          <cell r="D173" t="str">
            <v>Rp</v>
          </cell>
          <cell r="E173">
            <v>650000</v>
          </cell>
        </row>
        <row r="174">
          <cell r="C174" t="str">
            <v>Kloset Duduk KIA Warna (dud Blok)</v>
          </cell>
          <cell r="D174" t="str">
            <v>Rp</v>
          </cell>
          <cell r="E174">
            <v>1000000</v>
          </cell>
        </row>
        <row r="175">
          <cell r="C175" t="str">
            <v>Washbasin</v>
          </cell>
          <cell r="D175" t="str">
            <v>Rp</v>
          </cell>
          <cell r="E175">
            <v>220000</v>
          </cell>
        </row>
        <row r="176">
          <cell r="C176" t="str">
            <v>Tempat Sabun</v>
          </cell>
          <cell r="D176" t="str">
            <v>Rp</v>
          </cell>
          <cell r="E176">
            <v>25000</v>
          </cell>
        </row>
        <row r="177">
          <cell r="C177" t="str">
            <v>Hand Shower Ex. San Ei</v>
          </cell>
          <cell r="D177" t="str">
            <v>Rp</v>
          </cell>
          <cell r="E177">
            <v>175000</v>
          </cell>
        </row>
        <row r="178">
          <cell r="C178" t="str">
            <v>PVC D @ 15 cm Medium</v>
          </cell>
          <cell r="D178" t="str">
            <v>Rp</v>
          </cell>
          <cell r="E178">
            <v>12375.000000000002</v>
          </cell>
        </row>
        <row r="179">
          <cell r="C179" t="str">
            <v>Gip 3/4" MB</v>
          </cell>
          <cell r="D179" t="str">
            <v>Rp</v>
          </cell>
          <cell r="E179">
            <v>9000</v>
          </cell>
        </row>
        <row r="180">
          <cell r="C180" t="str">
            <v>Gip 2" MB</v>
          </cell>
          <cell r="D180" t="str">
            <v>Rp</v>
          </cell>
          <cell r="E180">
            <v>16600</v>
          </cell>
        </row>
        <row r="181">
          <cell r="C181" t="str">
            <v>PVC 3/4" MB</v>
          </cell>
          <cell r="D181" t="str">
            <v>Rp</v>
          </cell>
          <cell r="E181">
            <v>2125</v>
          </cell>
        </row>
        <row r="182">
          <cell r="C182" t="str">
            <v>Expanyolet Tempel</v>
          </cell>
          <cell r="D182" t="str">
            <v>Rp</v>
          </cell>
          <cell r="E182">
            <v>385000</v>
          </cell>
        </row>
        <row r="183">
          <cell r="C183" t="str">
            <v>Lampu Sanex SL-14</v>
          </cell>
          <cell r="D183" t="str">
            <v>Rp</v>
          </cell>
          <cell r="E183">
            <v>32000</v>
          </cell>
        </row>
        <row r="184">
          <cell r="C184" t="str">
            <v>Lampu TL 2 x 20 Watt</v>
          </cell>
          <cell r="D184" t="str">
            <v>Rp</v>
          </cell>
          <cell r="E184">
            <v>60000</v>
          </cell>
        </row>
        <row r="185">
          <cell r="C185" t="str">
            <v>Lampu TL 1 x 20 Watt</v>
          </cell>
          <cell r="D185" t="str">
            <v>Rp</v>
          </cell>
          <cell r="E185">
            <v>30000</v>
          </cell>
        </row>
        <row r="186">
          <cell r="C186" t="str">
            <v>Lampu Downlight Besar</v>
          </cell>
          <cell r="D186" t="str">
            <v>Rp</v>
          </cell>
          <cell r="E186">
            <v>132000</v>
          </cell>
        </row>
        <row r="187">
          <cell r="C187" t="str">
            <v>Lampu Pijar 15 Watt</v>
          </cell>
          <cell r="D187" t="str">
            <v>Rp</v>
          </cell>
          <cell r="E187">
            <v>2500</v>
          </cell>
        </row>
      </sheetData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HBU"/>
      <sheetName val="UP"/>
      <sheetName val="pabrikasi kayu"/>
    </sheetNames>
    <sheetDataSet>
      <sheetData sheetId="0"/>
      <sheetData sheetId="1">
        <row r="444">
          <cell r="E444" t="str">
            <v>Tukang kayu</v>
          </cell>
        </row>
        <row r="445">
          <cell r="E445" t="str">
            <v>Tukang las</v>
          </cell>
        </row>
        <row r="446">
          <cell r="E446" t="str">
            <v>Tukang</v>
          </cell>
        </row>
        <row r="447">
          <cell r="E447" t="str">
            <v>Tukang gali</v>
          </cell>
        </row>
        <row r="448">
          <cell r="E448" t="str">
            <v>Tukang batu</v>
          </cell>
        </row>
        <row r="449">
          <cell r="E449" t="str">
            <v>Tukang besi</v>
          </cell>
        </row>
        <row r="450">
          <cell r="E450" t="str">
            <v>Tukang cat</v>
          </cell>
        </row>
        <row r="451">
          <cell r="E451" t="str">
            <v>Tukang listrik</v>
          </cell>
        </row>
        <row r="452">
          <cell r="E452" t="str">
            <v>Kepala tukang</v>
          </cell>
        </row>
        <row r="453">
          <cell r="E453" t="str">
            <v>Mandor</v>
          </cell>
        </row>
        <row r="458">
          <cell r="F458" t="str">
            <v>M3</v>
          </cell>
        </row>
        <row r="459">
          <cell r="F459" t="str">
            <v>M2</v>
          </cell>
        </row>
        <row r="460">
          <cell r="F460" t="str">
            <v>M'</v>
          </cell>
        </row>
        <row r="461">
          <cell r="F461" t="str">
            <v>Bh</v>
          </cell>
        </row>
        <row r="462">
          <cell r="F462" t="str">
            <v>Btg</v>
          </cell>
        </row>
        <row r="463">
          <cell r="F463" t="str">
            <v>Roll</v>
          </cell>
        </row>
        <row r="464">
          <cell r="F464" t="str">
            <v>Kg</v>
          </cell>
        </row>
        <row r="465">
          <cell r="F465" t="str">
            <v>Gln</v>
          </cell>
        </row>
        <row r="466">
          <cell r="F466" t="str">
            <v>Zak</v>
          </cell>
        </row>
        <row r="467">
          <cell r="F467" t="str">
            <v>Btl</v>
          </cell>
        </row>
        <row r="468">
          <cell r="F468" t="str">
            <v>Klng</v>
          </cell>
        </row>
        <row r="469">
          <cell r="F469" t="str">
            <v>Ltr</v>
          </cell>
        </row>
        <row r="470">
          <cell r="F470" t="str">
            <v>Dos</v>
          </cell>
        </row>
        <row r="471">
          <cell r="F471" t="str">
            <v>Lbr</v>
          </cell>
        </row>
        <row r="472">
          <cell r="F472" t="str">
            <v>Set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>
        <row r="187">
          <cell r="X187">
            <v>292836000</v>
          </cell>
        </row>
      </sheetData>
      <sheetData sheetId="2">
        <row r="183">
          <cell r="X183">
            <v>160358000</v>
          </cell>
        </row>
      </sheetData>
      <sheetData sheetId="3">
        <row r="156">
          <cell r="X156">
            <v>83053000</v>
          </cell>
        </row>
      </sheetData>
      <sheetData sheetId="4">
        <row r="155">
          <cell r="X155">
            <v>72576000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>
        <row r="8">
          <cell r="H8" t="str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>
        <row r="17">
          <cell r="D17" t="str">
            <v>Pekerja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6">
          <cell r="BO26" t="str">
            <v xml:space="preserve"> Alat Baru</v>
          </cell>
        </row>
        <row r="27">
          <cell r="BO27">
            <v>1341125891</v>
          </cell>
        </row>
        <row r="46">
          <cell r="BO46" t="str">
            <v xml:space="preserve"> Alat Baru</v>
          </cell>
        </row>
        <row r="47">
          <cell r="BO47">
            <v>247812175</v>
          </cell>
        </row>
        <row r="66">
          <cell r="BO66" t="str">
            <v xml:space="preserve"> Alat Baru</v>
          </cell>
        </row>
        <row r="67">
          <cell r="BO67">
            <v>55862745</v>
          </cell>
        </row>
        <row r="86">
          <cell r="BO86" t="str">
            <v xml:space="preserve"> Alat Baru</v>
          </cell>
        </row>
        <row r="87">
          <cell r="BO87">
            <v>888028890</v>
          </cell>
        </row>
        <row r="106">
          <cell r="BO106" t="str">
            <v xml:space="preserve"> Alat Baru</v>
          </cell>
        </row>
        <row r="107">
          <cell r="BO107">
            <v>54602683</v>
          </cell>
        </row>
        <row r="126">
          <cell r="BO126" t="str">
            <v xml:space="preserve"> Alat Baru</v>
          </cell>
        </row>
        <row r="127">
          <cell r="BO127">
            <v>117605778</v>
          </cell>
        </row>
        <row r="146">
          <cell r="BO146" t="str">
            <v xml:space="preserve"> Alat Baru</v>
          </cell>
        </row>
        <row r="147">
          <cell r="BO147">
            <v>777038177</v>
          </cell>
        </row>
        <row r="166">
          <cell r="BO166" t="str">
            <v xml:space="preserve"> Alat Baru</v>
          </cell>
        </row>
        <row r="167">
          <cell r="BO167">
            <v>92404540</v>
          </cell>
        </row>
        <row r="246">
          <cell r="BO246" t="str">
            <v xml:space="preserve"> Alat Baru</v>
          </cell>
        </row>
        <row r="247">
          <cell r="BO247">
            <v>46006191</v>
          </cell>
        </row>
        <row r="266">
          <cell r="BO266" t="str">
            <v xml:space="preserve"> Alat Baru</v>
          </cell>
        </row>
        <row r="267">
          <cell r="BO267">
            <v>1224220842</v>
          </cell>
        </row>
        <row r="286">
          <cell r="BO286" t="str">
            <v xml:space="preserve"> Alat Baru</v>
          </cell>
        </row>
        <row r="287">
          <cell r="BO287">
            <v>504024763</v>
          </cell>
        </row>
        <row r="306">
          <cell r="BO306" t="str">
            <v xml:space="preserve"> Alat Baru</v>
          </cell>
        </row>
        <row r="307">
          <cell r="BO307">
            <v>1099019604</v>
          </cell>
        </row>
        <row r="326">
          <cell r="BO326" t="str">
            <v xml:space="preserve"> Alat Baru</v>
          </cell>
        </row>
        <row r="327">
          <cell r="BO327">
            <v>155407635</v>
          </cell>
        </row>
        <row r="346">
          <cell r="BO346" t="str">
            <v xml:space="preserve"> Alat Baru</v>
          </cell>
        </row>
        <row r="347">
          <cell r="BO347">
            <v>155407635</v>
          </cell>
        </row>
        <row r="366">
          <cell r="BO366" t="str">
            <v xml:space="preserve"> Alat Baru</v>
          </cell>
        </row>
        <row r="367">
          <cell r="BO367">
            <v>176408667</v>
          </cell>
        </row>
        <row r="386">
          <cell r="BO386" t="str">
            <v xml:space="preserve"> Alat Baru</v>
          </cell>
        </row>
        <row r="387">
          <cell r="BO387">
            <v>1297409699</v>
          </cell>
        </row>
        <row r="406">
          <cell r="BO406" t="str">
            <v xml:space="preserve"> Alat Baru</v>
          </cell>
        </row>
        <row r="407">
          <cell r="BO407">
            <v>35854386</v>
          </cell>
        </row>
        <row r="426">
          <cell r="BO426" t="str">
            <v xml:space="preserve"> Alat Baru</v>
          </cell>
        </row>
        <row r="427">
          <cell r="BO427">
            <v>1310989671</v>
          </cell>
        </row>
        <row r="446">
          <cell r="BO446" t="str">
            <v xml:space="preserve"> Alat Baru</v>
          </cell>
        </row>
        <row r="447">
          <cell r="BO447">
            <v>20450464</v>
          </cell>
        </row>
        <row r="466">
          <cell r="BO466" t="str">
            <v xml:space="preserve"> Alat Baru</v>
          </cell>
        </row>
        <row r="467">
          <cell r="BO467">
            <v>105005159</v>
          </cell>
        </row>
        <row r="486">
          <cell r="BO486" t="str">
            <v xml:space="preserve"> Alat Baru</v>
          </cell>
        </row>
        <row r="487">
          <cell r="BO487">
            <v>71403508</v>
          </cell>
        </row>
        <row r="546">
          <cell r="BO546" t="str">
            <v xml:space="preserve"> Alat Baru</v>
          </cell>
        </row>
        <row r="547">
          <cell r="BO547">
            <v>46000000</v>
          </cell>
        </row>
        <row r="566">
          <cell r="BO566" t="str">
            <v xml:space="preserve"> Alat Baru</v>
          </cell>
        </row>
        <row r="567">
          <cell r="BO567">
            <v>112500000</v>
          </cell>
        </row>
        <row r="586">
          <cell r="BO586" t="str">
            <v xml:space="preserve"> Alat Baru</v>
          </cell>
        </row>
        <row r="587">
          <cell r="BO587">
            <v>166250000</v>
          </cell>
        </row>
        <row r="606">
          <cell r="BO606" t="str">
            <v xml:space="preserve"> Alat Baru</v>
          </cell>
        </row>
        <row r="607">
          <cell r="BO607">
            <v>70000000</v>
          </cell>
        </row>
        <row r="626">
          <cell r="BO626" t="str">
            <v xml:space="preserve"> Alat Baru</v>
          </cell>
        </row>
        <row r="627">
          <cell r="BO627">
            <v>350000000</v>
          </cell>
        </row>
        <row r="646">
          <cell r="BO646" t="str">
            <v xml:space="preserve"> Alat Baru</v>
          </cell>
        </row>
        <row r="647">
          <cell r="BO647">
            <v>17500000</v>
          </cell>
        </row>
        <row r="666">
          <cell r="BO666" t="str">
            <v xml:space="preserve"> Alat Baru</v>
          </cell>
        </row>
        <row r="667">
          <cell r="BO667">
            <v>2250000000</v>
          </cell>
        </row>
        <row r="697">
          <cell r="BO697" t="str">
            <v xml:space="preserve"> Alat Baru</v>
          </cell>
        </row>
        <row r="698">
          <cell r="BO698">
            <v>15000000</v>
          </cell>
        </row>
      </sheetData>
      <sheetData sheetId="8"/>
      <sheetData sheetId="9">
        <row r="8">
          <cell r="I8" t="str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>
        <row r="13">
          <cell r="G13" t="str">
            <v>Tk</v>
          </cell>
          <cell r="H13">
            <v>7</v>
          </cell>
          <cell r="I13" t="str">
            <v>jam</v>
          </cell>
        </row>
        <row r="14">
          <cell r="G14" t="str">
            <v>Fk</v>
          </cell>
          <cell r="H14">
            <v>1.2</v>
          </cell>
          <cell r="I14" t="str">
            <v>-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>
        <row r="72">
          <cell r="H72">
            <v>0</v>
          </cell>
        </row>
        <row r="74">
          <cell r="H74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I13">
            <v>2.4589925145147018E-2</v>
          </cell>
        </row>
        <row r="173">
          <cell r="L173">
            <v>4.9179850290294036E-3</v>
          </cell>
          <cell r="M173">
            <v>5.7411311949826039E-3</v>
          </cell>
          <cell r="N173">
            <v>2.8384926796663348E-2</v>
          </cell>
          <cell r="O173">
            <v>2.9200370446442917E-2</v>
          </cell>
          <cell r="P173">
            <v>2.5494372383795774E-2</v>
          </cell>
          <cell r="Q173">
            <v>2.470929387897634E-2</v>
          </cell>
          <cell r="R173">
            <v>2.3488946540523491E-2</v>
          </cell>
          <cell r="S173">
            <v>3.9365852441924226E-2</v>
          </cell>
          <cell r="T173">
            <v>6.9974118106029382E-2</v>
          </cell>
          <cell r="U173">
            <v>3.6666177848223971E-2</v>
          </cell>
          <cell r="V173">
            <v>3.6666177848223971E-2</v>
          </cell>
          <cell r="W173">
            <v>2.0858433838299179E-2</v>
          </cell>
          <cell r="X173">
            <v>1.977470177465631E-2</v>
          </cell>
          <cell r="Y173">
            <v>1.8637102499625902E-2</v>
          </cell>
          <cell r="Z173">
            <v>2.3250826215158536E-2</v>
          </cell>
          <cell r="AA173">
            <v>2.1113408975701929E-2</v>
          </cell>
          <cell r="AB173">
            <v>2.6887122684837676E-2</v>
          </cell>
          <cell r="AC173">
            <v>2.4023502153326659E-2</v>
          </cell>
          <cell r="AD173">
            <v>2.4023502153326659E-2</v>
          </cell>
          <cell r="AE173">
            <v>2.4023502153326659E-2</v>
          </cell>
          <cell r="AF173">
            <v>2.0783726947227441E-2</v>
          </cell>
          <cell r="AG173">
            <v>1.7316022457526673E-2</v>
          </cell>
          <cell r="AH173">
            <v>1.7718633307650392E-2</v>
          </cell>
          <cell r="AI173">
            <v>1.7748945258585447E-2</v>
          </cell>
          <cell r="AJ173">
            <v>3.2489658501443711E-2</v>
          </cell>
          <cell r="AK173">
            <v>3.3077205235768056E-2</v>
          </cell>
          <cell r="AL173">
            <v>1.8484295833252336E-2</v>
          </cell>
          <cell r="AM173">
            <v>1.8203774981137576E-2</v>
          </cell>
          <cell r="AN173">
            <v>1.4396042731947545E-2</v>
          </cell>
          <cell r="AO173">
            <v>1.3365178273081115E-2</v>
          </cell>
          <cell r="AP173">
            <v>2.1110206770087663E-2</v>
          </cell>
          <cell r="AQ173">
            <v>1.5254929680577225E-2</v>
          </cell>
          <cell r="AR173">
            <v>1.9851042945885165E-2</v>
          </cell>
          <cell r="AS173">
            <v>1.729737557747826E-2</v>
          </cell>
          <cell r="AT173">
            <v>1.7998748401930893E-2</v>
          </cell>
          <cell r="AU173">
            <v>1.7216509721764476E-2</v>
          </cell>
          <cell r="AV173">
            <v>2.2766138798371003E-2</v>
          </cell>
          <cell r="AW173">
            <v>1.627283123038235E-2</v>
          </cell>
          <cell r="AX173">
            <v>1.7655953886211238E-2</v>
          </cell>
          <cell r="AY173">
            <v>1.3365178273081115E-2</v>
          </cell>
          <cell r="AZ173">
            <v>1.3365178273081115E-2</v>
          </cell>
          <cell r="BA173">
            <v>1.3365178273081115E-2</v>
          </cell>
          <cell r="BB173">
            <v>1.3365178273081115E-2</v>
          </cell>
          <cell r="BC173">
            <v>1.4765646235997633E-2</v>
          </cell>
          <cell r="BD173">
            <v>1.4634835885890773E-2</v>
          </cell>
          <cell r="BE173">
            <v>1.5092723864729511E-2</v>
          </cell>
          <cell r="BF173">
            <v>5.8534888585294034E-3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>
        <row r="29">
          <cell r="J29">
            <v>10500000</v>
          </cell>
        </row>
        <row r="85">
          <cell r="J85">
            <v>155513337.43441498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F36"/>
  <sheetViews>
    <sheetView zoomScale="80" zoomScaleNormal="80" workbookViewId="0">
      <selection activeCell="AR18" sqref="AR18"/>
    </sheetView>
  </sheetViews>
  <sheetFormatPr defaultRowHeight="15" x14ac:dyDescent="0.2"/>
  <cols>
    <col min="1" max="1" width="7.5" style="9" customWidth="1"/>
    <col min="2" max="2" width="75.33203125" style="8" customWidth="1"/>
    <col min="3" max="3" width="11" style="102" customWidth="1"/>
    <col min="4" max="4" width="10.83203125" style="137" customWidth="1"/>
    <col min="5" max="16" width="11.6640625" style="4" customWidth="1"/>
    <col min="17" max="17" width="11.6640625" style="14" customWidth="1"/>
    <col min="18" max="18" width="14.33203125" style="8" customWidth="1"/>
    <col min="19" max="19" width="15.83203125" style="8" customWidth="1"/>
    <col min="20" max="20" width="16.1640625" customWidth="1"/>
    <col min="21" max="21" width="16" customWidth="1"/>
    <col min="22" max="30" width="11.6640625" customWidth="1"/>
    <col min="31" max="31" width="11.6640625" style="2" customWidth="1"/>
    <col min="32" max="32" width="20.5" style="10" customWidth="1"/>
    <col min="33" max="44" width="17.5" customWidth="1"/>
    <col min="45" max="45" width="17.5" style="12" customWidth="1"/>
    <col min="46" max="57" width="17.5" customWidth="1"/>
    <col min="58" max="59" width="17.5" style="12" customWidth="1"/>
    <col min="60" max="61" width="17.5" style="13" customWidth="1"/>
    <col min="62" max="62" width="16.1640625" style="6" bestFit="1" customWidth="1"/>
    <col min="63" max="63" width="12" style="3" customWidth="1"/>
    <col min="64" max="64" width="21.5" style="3" customWidth="1"/>
    <col min="65" max="65" width="21.33203125" style="3" customWidth="1"/>
    <col min="66" max="66" width="20.33203125" style="3" customWidth="1"/>
    <col min="67" max="67" width="16.33203125" style="3" customWidth="1"/>
    <col min="68" max="68" width="16.83203125" style="3" bestFit="1" customWidth="1"/>
    <col min="69" max="80" width="9.33203125" style="3"/>
    <col min="81" max="81" width="28.5" bestFit="1" customWidth="1"/>
  </cols>
  <sheetData>
    <row r="1" spans="1:110" s="28" customFormat="1" ht="24.75" customHeight="1" x14ac:dyDescent="0.2">
      <c r="A1" s="101"/>
      <c r="D1" s="139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AT1" s="82" t="e">
        <f>SUM(#REF!+#REF!)</f>
        <v>#REF!</v>
      </c>
      <c r="AU1" s="82" t="e">
        <f>SUM(#REF!+#REF!)</f>
        <v>#REF!</v>
      </c>
      <c r="AV1" s="82" t="e">
        <f>SUM(#REF!+#REF!)</f>
        <v>#REF!</v>
      </c>
      <c r="AW1" s="82" t="e">
        <f>SUM(#REF!+#REF!)</f>
        <v>#REF!</v>
      </c>
      <c r="AX1" s="82" t="e">
        <f>SUM(#REF!+#REF!)</f>
        <v>#REF!</v>
      </c>
      <c r="AY1" s="82" t="e">
        <f>SUM(#REF!+#REF!)</f>
        <v>#REF!</v>
      </c>
      <c r="AZ1" s="82" t="e">
        <f>SUM(#REF!+#REF!)</f>
        <v>#REF!</v>
      </c>
      <c r="BA1" s="82" t="e">
        <f>SUM(#REF!+#REF!)</f>
        <v>#REF!</v>
      </c>
      <c r="BB1" s="82" t="e">
        <f>SUM(#REF!+#REF!)</f>
        <v>#REF!</v>
      </c>
      <c r="BC1" s="82" t="e">
        <f>SUM(#REF!+#REF!)</f>
        <v>#REF!</v>
      </c>
      <c r="BD1" s="82" t="e">
        <f>SUM(#REF!+#REF!)</f>
        <v>#REF!</v>
      </c>
      <c r="BE1" s="82" t="e">
        <f>SUM(#REF!+#REF!)</f>
        <v>#REF!</v>
      </c>
      <c r="BF1" s="82" t="e">
        <f>SUM(AT1:BE1)</f>
        <v>#REF!</v>
      </c>
      <c r="BH1" s="131"/>
      <c r="BI1" s="44" t="e">
        <f>SUM(#REF!-#REF!)</f>
        <v>#REF!</v>
      </c>
      <c r="BJ1" s="28" t="s">
        <v>28</v>
      </c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</row>
    <row r="2" spans="1:110" s="83" customFormat="1" ht="16.5" customHeight="1" x14ac:dyDescent="0.2">
      <c r="A2" s="811" t="s">
        <v>7</v>
      </c>
      <c r="B2" s="812"/>
      <c r="C2" s="83" t="s">
        <v>88</v>
      </c>
      <c r="D2" s="134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17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4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4"/>
      <c r="BG2" s="84"/>
      <c r="BH2" s="84"/>
      <c r="BI2" s="88"/>
      <c r="BJ2" s="84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4"/>
      <c r="BW2" s="84"/>
      <c r="BX2" s="84"/>
      <c r="BY2" s="84"/>
      <c r="BZ2" s="88"/>
      <c r="CA2" s="84"/>
      <c r="CB2" s="8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</row>
    <row r="3" spans="1:110" s="7" customFormat="1" ht="48.75" customHeight="1" x14ac:dyDescent="0.2">
      <c r="A3" s="813" t="s">
        <v>8</v>
      </c>
      <c r="B3" s="787" t="s">
        <v>9</v>
      </c>
      <c r="C3" s="787" t="s">
        <v>22</v>
      </c>
      <c r="D3" s="806" t="s">
        <v>10</v>
      </c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787" t="s">
        <v>20</v>
      </c>
      <c r="S3" s="807" t="s">
        <v>17</v>
      </c>
      <c r="T3" s="808"/>
      <c r="U3" s="808"/>
      <c r="V3" s="808"/>
      <c r="W3" s="808"/>
      <c r="X3" s="808"/>
      <c r="Y3" s="808"/>
      <c r="Z3" s="808"/>
      <c r="AA3" s="808"/>
      <c r="AB3" s="808"/>
      <c r="AC3" s="808"/>
      <c r="AD3" s="808"/>
      <c r="AE3" s="809"/>
      <c r="AF3" s="810" t="s">
        <v>5</v>
      </c>
      <c r="AG3" s="810"/>
      <c r="AH3" s="810"/>
      <c r="AI3" s="810"/>
      <c r="AJ3" s="810"/>
      <c r="AK3" s="810"/>
      <c r="AL3" s="810"/>
      <c r="AM3" s="810"/>
      <c r="AN3" s="810"/>
      <c r="AO3" s="810"/>
      <c r="AP3" s="810"/>
      <c r="AQ3" s="810"/>
      <c r="AR3" s="810"/>
      <c r="AS3" s="810"/>
      <c r="AT3" s="800" t="s">
        <v>32</v>
      </c>
      <c r="AU3" s="801"/>
      <c r="AV3" s="801"/>
      <c r="AW3" s="801"/>
      <c r="AX3" s="801"/>
      <c r="AY3" s="801"/>
      <c r="AZ3" s="801"/>
      <c r="BA3" s="801"/>
      <c r="BB3" s="801"/>
      <c r="BC3" s="801"/>
      <c r="BD3" s="801"/>
      <c r="BE3" s="801"/>
      <c r="BF3" s="802"/>
      <c r="BG3" s="787" t="s">
        <v>29</v>
      </c>
      <c r="BH3" s="787" t="s">
        <v>57</v>
      </c>
      <c r="BI3" s="790" t="s">
        <v>30</v>
      </c>
      <c r="BJ3" s="84"/>
      <c r="BK3" s="17"/>
      <c r="BL3" s="84"/>
      <c r="BM3" s="84"/>
      <c r="BN3" s="84"/>
      <c r="BO3" s="84"/>
      <c r="BP3" s="774" t="s">
        <v>32</v>
      </c>
      <c r="BQ3" s="775"/>
      <c r="BR3" s="775"/>
      <c r="BS3" s="775"/>
      <c r="BT3" s="775"/>
      <c r="BU3" s="775"/>
      <c r="BV3" s="775"/>
      <c r="BW3" s="775"/>
      <c r="BX3" s="775"/>
      <c r="BY3" s="775"/>
      <c r="BZ3" s="775"/>
      <c r="CA3" s="775"/>
      <c r="CB3" s="775"/>
      <c r="CC3" s="775"/>
      <c r="CD3" s="775"/>
      <c r="CE3" s="775"/>
      <c r="CF3" s="775"/>
      <c r="CG3" s="775"/>
      <c r="CH3" s="775"/>
      <c r="CI3" s="775"/>
      <c r="CJ3" s="775"/>
      <c r="CK3" s="775"/>
      <c r="CL3" s="775"/>
      <c r="CM3" s="775"/>
      <c r="CN3" s="775"/>
      <c r="CO3" s="776"/>
    </row>
    <row r="4" spans="1:110" s="7" customFormat="1" ht="48.75" customHeight="1" x14ac:dyDescent="0.2">
      <c r="A4" s="814"/>
      <c r="B4" s="788"/>
      <c r="C4" s="788"/>
      <c r="D4" s="793" t="s">
        <v>18</v>
      </c>
      <c r="E4" s="795" t="s">
        <v>19</v>
      </c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88"/>
      <c r="S4" s="797" t="s">
        <v>18</v>
      </c>
      <c r="T4" s="795" t="s">
        <v>19</v>
      </c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9"/>
      <c r="AF4" s="797" t="s">
        <v>18</v>
      </c>
      <c r="AG4" s="795" t="s">
        <v>19</v>
      </c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9"/>
      <c r="AT4" s="803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5"/>
      <c r="BG4" s="788"/>
      <c r="BH4" s="788"/>
      <c r="BI4" s="791"/>
      <c r="BJ4" s="84"/>
      <c r="BK4" s="17"/>
      <c r="BL4" s="777">
        <f>SUM(BL6/60)</f>
        <v>0</v>
      </c>
      <c r="BM4" s="777"/>
      <c r="BN4" s="777"/>
      <c r="BO4" s="17"/>
      <c r="BP4" s="778" t="s">
        <v>230</v>
      </c>
      <c r="BQ4" s="779"/>
      <c r="BR4" s="779"/>
      <c r="BS4" s="779"/>
      <c r="BT4" s="779"/>
      <c r="BU4" s="779"/>
      <c r="BV4" s="779"/>
      <c r="BW4" s="779"/>
      <c r="BX4" s="779"/>
      <c r="BY4" s="779"/>
      <c r="BZ4" s="779"/>
      <c r="CA4" s="779"/>
      <c r="CB4" s="780"/>
      <c r="CC4" s="781" t="s">
        <v>231</v>
      </c>
      <c r="CD4" s="782"/>
      <c r="CE4" s="782"/>
      <c r="CF4" s="782"/>
      <c r="CG4" s="782"/>
      <c r="CH4" s="782"/>
      <c r="CI4" s="782"/>
      <c r="CJ4" s="782"/>
      <c r="CK4" s="782"/>
      <c r="CL4" s="782"/>
      <c r="CM4" s="782"/>
      <c r="CN4" s="782"/>
      <c r="CO4" s="783"/>
    </row>
    <row r="5" spans="1:110" s="5" customFormat="1" ht="28.5" customHeight="1" x14ac:dyDescent="0.2">
      <c r="A5" s="815"/>
      <c r="B5" s="789"/>
      <c r="C5" s="789"/>
      <c r="D5" s="794"/>
      <c r="E5" s="20">
        <v>1</v>
      </c>
      <c r="F5" s="20">
        <v>2</v>
      </c>
      <c r="G5" s="20">
        <v>3</v>
      </c>
      <c r="H5" s="20">
        <v>4</v>
      </c>
      <c r="I5" s="20">
        <v>5</v>
      </c>
      <c r="J5" s="20">
        <v>6</v>
      </c>
      <c r="K5" s="20">
        <v>7</v>
      </c>
      <c r="L5" s="20">
        <v>8</v>
      </c>
      <c r="M5" s="20">
        <v>9</v>
      </c>
      <c r="N5" s="20">
        <v>10</v>
      </c>
      <c r="O5" s="20">
        <v>11</v>
      </c>
      <c r="P5" s="20">
        <v>12</v>
      </c>
      <c r="Q5" s="20" t="s">
        <v>21</v>
      </c>
      <c r="R5" s="789"/>
      <c r="S5" s="798"/>
      <c r="T5" s="20">
        <v>1</v>
      </c>
      <c r="U5" s="20">
        <v>2</v>
      </c>
      <c r="V5" s="20">
        <v>3</v>
      </c>
      <c r="W5" s="20">
        <v>4</v>
      </c>
      <c r="X5" s="20">
        <v>5</v>
      </c>
      <c r="Y5" s="20">
        <v>6</v>
      </c>
      <c r="Z5" s="20">
        <v>7</v>
      </c>
      <c r="AA5" s="20">
        <v>8</v>
      </c>
      <c r="AB5" s="20">
        <v>9</v>
      </c>
      <c r="AC5" s="20">
        <v>10</v>
      </c>
      <c r="AD5" s="20">
        <v>11</v>
      </c>
      <c r="AE5" s="20">
        <v>12</v>
      </c>
      <c r="AF5" s="798"/>
      <c r="AG5" s="20">
        <v>1</v>
      </c>
      <c r="AH5" s="20">
        <v>2</v>
      </c>
      <c r="AI5" s="20">
        <v>3</v>
      </c>
      <c r="AJ5" s="20">
        <v>4</v>
      </c>
      <c r="AK5" s="20">
        <v>5</v>
      </c>
      <c r="AL5" s="20">
        <v>6</v>
      </c>
      <c r="AM5" s="20">
        <v>7</v>
      </c>
      <c r="AN5" s="20">
        <v>8</v>
      </c>
      <c r="AO5" s="20">
        <v>9</v>
      </c>
      <c r="AP5" s="20">
        <v>10</v>
      </c>
      <c r="AQ5" s="20">
        <v>11</v>
      </c>
      <c r="AR5" s="20">
        <v>12</v>
      </c>
      <c r="AS5" s="20" t="s">
        <v>13</v>
      </c>
      <c r="AT5" s="111">
        <v>1</v>
      </c>
      <c r="AU5" s="111">
        <v>2</v>
      </c>
      <c r="AV5" s="111">
        <v>3</v>
      </c>
      <c r="AW5" s="111">
        <v>4</v>
      </c>
      <c r="AX5" s="111">
        <v>5</v>
      </c>
      <c r="AY5" s="111">
        <v>6</v>
      </c>
      <c r="AZ5" s="111">
        <v>7</v>
      </c>
      <c r="BA5" s="111">
        <v>8</v>
      </c>
      <c r="BB5" s="111">
        <v>9</v>
      </c>
      <c r="BC5" s="111">
        <v>10</v>
      </c>
      <c r="BD5" s="111">
        <v>11</v>
      </c>
      <c r="BE5" s="111">
        <v>12</v>
      </c>
      <c r="BF5" s="20" t="s">
        <v>13</v>
      </c>
      <c r="BG5" s="789"/>
      <c r="BH5" s="789"/>
      <c r="BI5" s="792"/>
      <c r="BJ5" s="6"/>
      <c r="BK5" s="21"/>
      <c r="BL5" s="784" t="s">
        <v>19</v>
      </c>
      <c r="BM5" s="785"/>
      <c r="BN5" s="786"/>
      <c r="BO5" s="337"/>
      <c r="BP5" s="111">
        <v>1</v>
      </c>
      <c r="BQ5" s="111">
        <v>2</v>
      </c>
      <c r="BR5" s="111">
        <v>3</v>
      </c>
      <c r="BS5" s="111">
        <v>4</v>
      </c>
      <c r="BT5" s="111">
        <v>5</v>
      </c>
      <c r="BU5" s="111">
        <v>6</v>
      </c>
      <c r="BV5" s="111">
        <v>7</v>
      </c>
      <c r="BW5" s="111">
        <v>8</v>
      </c>
      <c r="BX5" s="111">
        <v>9</v>
      </c>
      <c r="BY5" s="111">
        <v>10</v>
      </c>
      <c r="BZ5" s="111">
        <v>11</v>
      </c>
      <c r="CA5" s="111">
        <v>12</v>
      </c>
      <c r="CB5" s="20" t="s">
        <v>13</v>
      </c>
      <c r="CC5" s="111">
        <v>1</v>
      </c>
      <c r="CD5" s="111">
        <v>2</v>
      </c>
      <c r="CE5" s="111">
        <v>3</v>
      </c>
      <c r="CF5" s="111">
        <v>4</v>
      </c>
      <c r="CG5" s="111">
        <v>5</v>
      </c>
      <c r="CH5" s="111">
        <v>6</v>
      </c>
      <c r="CI5" s="111">
        <v>7</v>
      </c>
      <c r="CJ5" s="111">
        <v>8</v>
      </c>
      <c r="CK5" s="111">
        <v>9</v>
      </c>
      <c r="CL5" s="111">
        <v>10</v>
      </c>
      <c r="CM5" s="111">
        <v>11</v>
      </c>
      <c r="CN5" s="111">
        <v>12</v>
      </c>
      <c r="CO5" s="20" t="s">
        <v>13</v>
      </c>
    </row>
    <row r="6" spans="1:110" s="6" customFormat="1" ht="24.75" customHeight="1" x14ac:dyDescent="0.2">
      <c r="A6" s="29"/>
      <c r="B6" s="91" t="s">
        <v>89</v>
      </c>
      <c r="C6" s="22" t="s">
        <v>75</v>
      </c>
      <c r="D6" s="138">
        <v>700</v>
      </c>
      <c r="E6" s="61">
        <v>100</v>
      </c>
      <c r="F6" s="730">
        <v>200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4">
        <f>SUM(E6:P6)</f>
        <v>300</v>
      </c>
      <c r="R6" s="62" t="s">
        <v>26</v>
      </c>
      <c r="S6" s="92">
        <v>10300</v>
      </c>
      <c r="T6" s="92">
        <v>10300</v>
      </c>
      <c r="U6" s="731">
        <v>10300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51">
        <f>Q6*S6</f>
        <v>3090000</v>
      </c>
      <c r="AG6" s="52">
        <f t="shared" ref="AG6:AI6" si="0">T6*E6</f>
        <v>1030000</v>
      </c>
      <c r="AH6" s="729">
        <f t="shared" si="0"/>
        <v>2060000</v>
      </c>
      <c r="AI6" s="52">
        <f t="shared" si="0"/>
        <v>0</v>
      </c>
      <c r="AJ6" s="52">
        <f t="shared" ref="AJ6:AR6" si="1">W6*H6</f>
        <v>0</v>
      </c>
      <c r="AK6" s="52">
        <f t="shared" si="1"/>
        <v>0</v>
      </c>
      <c r="AL6" s="52">
        <f t="shared" si="1"/>
        <v>0</v>
      </c>
      <c r="AM6" s="52">
        <f t="shared" si="1"/>
        <v>0</v>
      </c>
      <c r="AN6" s="52">
        <f t="shared" si="1"/>
        <v>0</v>
      </c>
      <c r="AO6" s="52">
        <f t="shared" si="1"/>
        <v>0</v>
      </c>
      <c r="AP6" s="52">
        <f t="shared" si="1"/>
        <v>0</v>
      </c>
      <c r="AQ6" s="52">
        <f t="shared" si="1"/>
        <v>0</v>
      </c>
      <c r="AR6" s="52">
        <f t="shared" si="1"/>
        <v>0</v>
      </c>
      <c r="AS6" s="53">
        <f>SUM(AG6:AR6)</f>
        <v>3090000</v>
      </c>
      <c r="AT6" s="570">
        <f>SUM(AG6*12%)</f>
        <v>123600</v>
      </c>
      <c r="AU6" s="729">
        <f>SUM(AH6*12%)</f>
        <v>247200</v>
      </c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4">
        <f>SUM(AT6:BE6)</f>
        <v>370800</v>
      </c>
      <c r="BG6" s="55">
        <f>AF6-AS6</f>
        <v>0</v>
      </c>
      <c r="BH6" s="56">
        <f>S6*D6</f>
        <v>7210000</v>
      </c>
      <c r="BI6" s="57">
        <f>BH6-AS6</f>
        <v>4120000</v>
      </c>
      <c r="BJ6" s="112">
        <f>SUM(Q6/D6)</f>
        <v>0.42857142857142855</v>
      </c>
      <c r="BK6" s="26"/>
      <c r="BL6" s="556"/>
      <c r="BM6" s="556"/>
      <c r="BN6" s="567"/>
      <c r="BO6" s="561"/>
      <c r="BP6" s="323"/>
      <c r="BQ6" s="323"/>
      <c r="BR6" s="556">
        <f t="shared" ref="BR6:BR7" si="2">SUM(AI6*12.5%)</f>
        <v>0</v>
      </c>
      <c r="BS6" s="323">
        <f t="shared" ref="BS6:BS7" si="3">SUM(AJ6*12.5%)</f>
        <v>0</v>
      </c>
      <c r="BT6" s="323">
        <f t="shared" ref="BT6:BT7" si="4">SUM(AK6*12.5%)</f>
        <v>0</v>
      </c>
      <c r="BU6" s="323">
        <f t="shared" ref="BU6:BU7" si="5">SUM(AL6*12.5%)</f>
        <v>0</v>
      </c>
      <c r="BV6" s="323">
        <f t="shared" ref="BV6:BV7" si="6">SUM(AM6*12.5%)</f>
        <v>0</v>
      </c>
      <c r="BW6" s="323">
        <f t="shared" ref="BW6:BW7" si="7">SUM(AN6*12.5%)</f>
        <v>0</v>
      </c>
      <c r="BX6" s="323">
        <f t="shared" ref="BX6:BX7" si="8">SUM(AO6*12.5%)</f>
        <v>0</v>
      </c>
      <c r="BY6" s="323">
        <f t="shared" ref="BY6:BY7" si="9">SUM(AP6*12.5%)</f>
        <v>0</v>
      </c>
      <c r="BZ6" s="323">
        <f t="shared" ref="BZ6:BZ7" si="10">SUM(AQ6*12.5%)</f>
        <v>0</v>
      </c>
      <c r="CA6" s="323">
        <f t="shared" ref="CA6:CA7" si="11">SUM(AR6*12.5%)</f>
        <v>0</v>
      </c>
      <c r="CB6" s="55">
        <f t="shared" ref="CB6" si="12">SUM(BP6:CA6)</f>
        <v>0</v>
      </c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55">
        <f t="shared" ref="CO6:CO7" si="13">SUM(CC6:CN6)</f>
        <v>0</v>
      </c>
    </row>
    <row r="7" spans="1:110" s="6" customFormat="1" ht="24.75" customHeight="1" x14ac:dyDescent="0.2">
      <c r="A7" s="29"/>
      <c r="B7" s="91" t="s">
        <v>27</v>
      </c>
      <c r="C7" s="22" t="s">
        <v>75</v>
      </c>
      <c r="D7" s="138">
        <v>6</v>
      </c>
      <c r="E7" s="61"/>
      <c r="F7" s="730">
        <v>2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4">
        <f>SUM(E7:P7)</f>
        <v>2</v>
      </c>
      <c r="R7" s="62" t="s">
        <v>16</v>
      </c>
      <c r="S7" s="92">
        <v>35000</v>
      </c>
      <c r="T7" s="63"/>
      <c r="U7" s="731">
        <v>35000</v>
      </c>
      <c r="V7" s="25"/>
      <c r="W7" s="25"/>
      <c r="X7" s="25"/>
      <c r="Y7" s="25"/>
      <c r="Z7" s="25"/>
      <c r="AA7" s="25"/>
      <c r="AB7" s="25"/>
      <c r="AC7" s="25"/>
      <c r="AD7" s="25"/>
      <c r="AE7" s="25"/>
      <c r="AF7" s="51">
        <f>Q7*S7</f>
        <v>70000</v>
      </c>
      <c r="AG7" s="52">
        <f t="shared" ref="AG7" si="14">T7*E7</f>
        <v>0</v>
      </c>
      <c r="AH7" s="729">
        <f t="shared" ref="AH7" si="15">U7*F7</f>
        <v>70000</v>
      </c>
      <c r="AI7" s="52">
        <f t="shared" ref="AI7" si="16">V7*G7</f>
        <v>0</v>
      </c>
      <c r="AJ7" s="52">
        <f t="shared" ref="AJ7" si="17">W7*H7</f>
        <v>0</v>
      </c>
      <c r="AK7" s="52">
        <f t="shared" ref="AK7" si="18">X7*I7</f>
        <v>0</v>
      </c>
      <c r="AL7" s="52">
        <f t="shared" ref="AL7" si="19">Y7*J7</f>
        <v>0</v>
      </c>
      <c r="AM7" s="52">
        <f t="shared" ref="AM7" si="20">Z7*K7</f>
        <v>0</v>
      </c>
      <c r="AN7" s="52">
        <f t="shared" ref="AN7" si="21">AA7*L7</f>
        <v>0</v>
      </c>
      <c r="AO7" s="52">
        <f t="shared" ref="AO7" si="22">AB7*M7</f>
        <v>0</v>
      </c>
      <c r="AP7" s="52">
        <f t="shared" ref="AP7" si="23">AC7*N7</f>
        <v>0</v>
      </c>
      <c r="AQ7" s="52">
        <f t="shared" ref="AQ7" si="24">AD7*O7</f>
        <v>0</v>
      </c>
      <c r="AR7" s="52">
        <f t="shared" ref="AR7" si="25">AE7*P7</f>
        <v>0</v>
      </c>
      <c r="AS7" s="53">
        <f>SUM(AG7:AR7)</f>
        <v>70000</v>
      </c>
      <c r="AT7" s="570">
        <f>SUM(AG7*12%)</f>
        <v>0</v>
      </c>
      <c r="AU7" s="729">
        <f>SUM(AH7*2%)</f>
        <v>1400</v>
      </c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4">
        <f>SUM(AT7:BE7)</f>
        <v>1400</v>
      </c>
      <c r="BG7" s="55">
        <f>AF7-AS7</f>
        <v>0</v>
      </c>
      <c r="BH7" s="56">
        <f>S7*D7</f>
        <v>210000</v>
      </c>
      <c r="BI7" s="57">
        <f>BH7-AS7</f>
        <v>140000</v>
      </c>
      <c r="BJ7" s="112">
        <f>SUM(Q7/D7)</f>
        <v>0.33333333333333331</v>
      </c>
      <c r="BK7" s="26"/>
      <c r="BL7" s="556"/>
      <c r="BM7" s="556"/>
      <c r="BN7" s="567"/>
      <c r="BO7" s="561"/>
      <c r="BP7" s="323"/>
      <c r="BQ7" s="323"/>
      <c r="BR7" s="556">
        <f t="shared" si="2"/>
        <v>0</v>
      </c>
      <c r="BS7" s="323">
        <f t="shared" si="3"/>
        <v>0</v>
      </c>
      <c r="BT7" s="323">
        <f t="shared" si="4"/>
        <v>0</v>
      </c>
      <c r="BU7" s="323">
        <f t="shared" si="5"/>
        <v>0</v>
      </c>
      <c r="BV7" s="323">
        <f t="shared" si="6"/>
        <v>0</v>
      </c>
      <c r="BW7" s="323">
        <f t="shared" si="7"/>
        <v>0</v>
      </c>
      <c r="BX7" s="323">
        <f t="shared" si="8"/>
        <v>0</v>
      </c>
      <c r="BY7" s="323">
        <f t="shared" si="9"/>
        <v>0</v>
      </c>
      <c r="BZ7" s="323">
        <f t="shared" si="10"/>
        <v>0</v>
      </c>
      <c r="CA7" s="323">
        <f t="shared" si="11"/>
        <v>0</v>
      </c>
      <c r="CB7" s="55">
        <f t="shared" ref="CB7" si="26">SUM(BP7:CA7)</f>
        <v>0</v>
      </c>
      <c r="CC7" s="323"/>
      <c r="CD7" s="323"/>
      <c r="CE7" s="323"/>
      <c r="CF7" s="323"/>
      <c r="CG7" s="323"/>
      <c r="CH7" s="323"/>
      <c r="CI7" s="323"/>
      <c r="CJ7" s="323"/>
      <c r="CK7" s="323"/>
      <c r="CL7" s="323"/>
      <c r="CM7" s="323"/>
      <c r="CN7" s="323"/>
      <c r="CO7" s="55">
        <f t="shared" si="13"/>
        <v>0</v>
      </c>
    </row>
    <row r="8" spans="1:110" s="6" customFormat="1" ht="24.75" customHeight="1" thickBot="1" x14ac:dyDescent="0.25">
      <c r="A8" s="29"/>
      <c r="B8" s="91"/>
      <c r="C8" s="22"/>
      <c r="D8" s="135"/>
      <c r="E8" s="61"/>
      <c r="F8" s="61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  <c r="R8" s="62"/>
      <c r="S8" s="92"/>
      <c r="T8" s="63"/>
      <c r="U8" s="63"/>
      <c r="V8" s="63"/>
      <c r="W8" s="63"/>
      <c r="X8" s="63"/>
      <c r="Y8" s="25"/>
      <c r="Z8" s="25"/>
      <c r="AA8" s="25"/>
      <c r="AB8" s="25"/>
      <c r="AC8" s="25"/>
      <c r="AD8" s="25"/>
      <c r="AE8" s="25"/>
      <c r="AF8" s="51"/>
      <c r="AG8" s="52"/>
      <c r="AH8" s="729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3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4"/>
      <c r="BG8" s="55"/>
      <c r="BH8" s="56"/>
      <c r="BI8" s="57"/>
      <c r="BJ8" s="112"/>
      <c r="BK8" s="26"/>
      <c r="BL8" s="556"/>
      <c r="BM8" s="556"/>
      <c r="BN8" s="567"/>
      <c r="BO8" s="561"/>
      <c r="BP8" s="323"/>
      <c r="BQ8" s="323"/>
      <c r="BR8" s="556">
        <f t="shared" ref="BR8:BR9" si="27">SUM(AI8*12.5%)</f>
        <v>0</v>
      </c>
      <c r="BS8" s="323">
        <f t="shared" ref="BS8:BS9" si="28">SUM(AJ8*12.5%)</f>
        <v>0</v>
      </c>
      <c r="BT8" s="323">
        <f t="shared" ref="BT8:BT9" si="29">SUM(AK8*12.5%)</f>
        <v>0</v>
      </c>
      <c r="BU8" s="323">
        <f t="shared" ref="BU8:BU9" si="30">SUM(AL8*12.5%)</f>
        <v>0</v>
      </c>
      <c r="BV8" s="323">
        <f t="shared" ref="BV8:BV9" si="31">SUM(AM8*12.5%)</f>
        <v>0</v>
      </c>
      <c r="BW8" s="323">
        <f t="shared" ref="BW8:BW9" si="32">SUM(AN8*12.5%)</f>
        <v>0</v>
      </c>
      <c r="BX8" s="323">
        <f t="shared" ref="BX8:BX9" si="33">SUM(AO8*12.5%)</f>
        <v>0</v>
      </c>
      <c r="BY8" s="323">
        <f t="shared" ref="BY8:BY9" si="34">SUM(AP8*12.5%)</f>
        <v>0</v>
      </c>
      <c r="BZ8" s="323">
        <f t="shared" ref="BZ8:BZ9" si="35">SUM(AQ8*12.5%)</f>
        <v>0</v>
      </c>
      <c r="CA8" s="323">
        <f t="shared" ref="CA8:CA9" si="36">SUM(AR8*12.5%)</f>
        <v>0</v>
      </c>
      <c r="CB8" s="55">
        <f t="shared" ref="CB8:CB9" si="37">SUM(BP8:CA8)</f>
        <v>0</v>
      </c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55">
        <f t="shared" ref="CO8:CO9" si="38">SUM(CC8:CN8)</f>
        <v>0</v>
      </c>
    </row>
    <row r="9" spans="1:110" s="27" customFormat="1" ht="24.75" customHeight="1" thickBot="1" x14ac:dyDescent="0.25">
      <c r="A9" s="30"/>
      <c r="B9" s="31" t="s">
        <v>4</v>
      </c>
      <c r="C9" s="31"/>
      <c r="D9" s="136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/>
      <c r="R9" s="58"/>
      <c r="S9" s="32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59">
        <f>SUM(AF6:AF8)</f>
        <v>3160000</v>
      </c>
      <c r="AG9" s="59">
        <f t="shared" ref="AG9:BI9" si="39">SUM(AG6:AG8)</f>
        <v>1030000</v>
      </c>
      <c r="AH9" s="732">
        <f t="shared" si="39"/>
        <v>2130000</v>
      </c>
      <c r="AI9" s="59">
        <f t="shared" si="39"/>
        <v>0</v>
      </c>
      <c r="AJ9" s="59">
        <f t="shared" si="39"/>
        <v>0</v>
      </c>
      <c r="AK9" s="59">
        <f t="shared" si="39"/>
        <v>0</v>
      </c>
      <c r="AL9" s="59">
        <f t="shared" si="39"/>
        <v>0</v>
      </c>
      <c r="AM9" s="59">
        <f t="shared" si="39"/>
        <v>0</v>
      </c>
      <c r="AN9" s="59">
        <f t="shared" si="39"/>
        <v>0</v>
      </c>
      <c r="AO9" s="59">
        <f t="shared" si="39"/>
        <v>0</v>
      </c>
      <c r="AP9" s="59">
        <f t="shared" si="39"/>
        <v>0</v>
      </c>
      <c r="AQ9" s="59">
        <f t="shared" si="39"/>
        <v>0</v>
      </c>
      <c r="AR9" s="59">
        <f t="shared" si="39"/>
        <v>0</v>
      </c>
      <c r="AS9" s="59">
        <f t="shared" si="39"/>
        <v>3160000</v>
      </c>
      <c r="AT9" s="59">
        <f t="shared" si="39"/>
        <v>123600</v>
      </c>
      <c r="AU9" s="59">
        <f t="shared" si="39"/>
        <v>248600</v>
      </c>
      <c r="AV9" s="59">
        <f t="shared" si="39"/>
        <v>0</v>
      </c>
      <c r="AW9" s="59">
        <f t="shared" si="39"/>
        <v>0</v>
      </c>
      <c r="AX9" s="59">
        <f t="shared" si="39"/>
        <v>0</v>
      </c>
      <c r="AY9" s="59">
        <f t="shared" si="39"/>
        <v>0</v>
      </c>
      <c r="AZ9" s="59">
        <f t="shared" si="39"/>
        <v>0</v>
      </c>
      <c r="BA9" s="59">
        <f t="shared" si="39"/>
        <v>0</v>
      </c>
      <c r="BB9" s="59">
        <f t="shared" si="39"/>
        <v>0</v>
      </c>
      <c r="BC9" s="59">
        <f t="shared" si="39"/>
        <v>0</v>
      </c>
      <c r="BD9" s="59">
        <f t="shared" si="39"/>
        <v>0</v>
      </c>
      <c r="BE9" s="59">
        <f t="shared" si="39"/>
        <v>0</v>
      </c>
      <c r="BF9" s="59">
        <f>SUM(BF6:BF8)</f>
        <v>372200</v>
      </c>
      <c r="BG9" s="59">
        <f t="shared" si="39"/>
        <v>0</v>
      </c>
      <c r="BH9" s="59">
        <f t="shared" si="39"/>
        <v>7420000</v>
      </c>
      <c r="BI9" s="59">
        <f t="shared" si="39"/>
        <v>4260000</v>
      </c>
      <c r="BJ9" s="113">
        <v>1</v>
      </c>
      <c r="BK9" s="36"/>
      <c r="BL9" s="556"/>
      <c r="BM9" s="556"/>
      <c r="BN9" s="567"/>
      <c r="BO9" s="561"/>
      <c r="BP9" s="323"/>
      <c r="BQ9" s="323"/>
      <c r="BR9" s="556">
        <f t="shared" si="27"/>
        <v>0</v>
      </c>
      <c r="BS9" s="323">
        <f t="shared" si="28"/>
        <v>0</v>
      </c>
      <c r="BT9" s="323">
        <f t="shared" si="29"/>
        <v>0</v>
      </c>
      <c r="BU9" s="323">
        <f t="shared" si="30"/>
        <v>0</v>
      </c>
      <c r="BV9" s="323">
        <f t="shared" si="31"/>
        <v>0</v>
      </c>
      <c r="BW9" s="323">
        <f t="shared" si="32"/>
        <v>0</v>
      </c>
      <c r="BX9" s="323">
        <f t="shared" si="33"/>
        <v>0</v>
      </c>
      <c r="BY9" s="323">
        <f t="shared" si="34"/>
        <v>0</v>
      </c>
      <c r="BZ9" s="323">
        <f t="shared" si="35"/>
        <v>0</v>
      </c>
      <c r="CA9" s="323">
        <f t="shared" si="36"/>
        <v>0</v>
      </c>
      <c r="CB9" s="55">
        <f t="shared" si="37"/>
        <v>0</v>
      </c>
      <c r="CC9" s="323"/>
      <c r="CD9" s="323"/>
      <c r="CE9" s="323"/>
      <c r="CF9" s="323"/>
      <c r="CG9" s="323"/>
      <c r="CH9" s="323"/>
      <c r="CI9" s="323"/>
      <c r="CJ9" s="323"/>
      <c r="CK9" s="323"/>
      <c r="CL9" s="323"/>
      <c r="CM9" s="323"/>
      <c r="CN9" s="323"/>
      <c r="CO9" s="55">
        <f t="shared" si="38"/>
        <v>0</v>
      </c>
    </row>
    <row r="10" spans="1:110" s="167" customFormat="1" ht="24.75" customHeight="1" x14ac:dyDescent="0.2">
      <c r="A10" s="185"/>
      <c r="D10" s="185"/>
      <c r="E10" s="185"/>
      <c r="F10" s="185"/>
      <c r="G10" s="241"/>
      <c r="H10" s="241"/>
      <c r="I10" s="241"/>
      <c r="J10" s="241"/>
      <c r="K10" s="241"/>
      <c r="L10" s="241"/>
      <c r="M10" s="241"/>
      <c r="N10" s="241"/>
      <c r="O10" s="185"/>
      <c r="P10" s="185"/>
      <c r="Q10" s="185"/>
      <c r="R10" s="185"/>
      <c r="AS10" s="191"/>
      <c r="AT10" s="232"/>
      <c r="BF10" s="220">
        <f>SUM(AS9+BF9)</f>
        <v>3532200</v>
      </c>
      <c r="BG10" s="186">
        <f>AF9-AS9</f>
        <v>0</v>
      </c>
      <c r="BH10" s="221">
        <f>SUM(BI9+AS9)</f>
        <v>7420000</v>
      </c>
      <c r="BI10" s="187">
        <f>SUM(BG9)</f>
        <v>0</v>
      </c>
      <c r="BJ10" s="183" t="s">
        <v>29</v>
      </c>
      <c r="BK10" s="287"/>
      <c r="BL10" s="164"/>
      <c r="BM10" s="165"/>
      <c r="BN10" s="250"/>
      <c r="BO10" s="257"/>
      <c r="BP10" s="250"/>
      <c r="BQ10" s="250"/>
      <c r="BR10" s="250"/>
      <c r="BS10" s="257"/>
      <c r="BT10" s="250"/>
      <c r="BU10" s="250"/>
      <c r="BV10" s="250"/>
      <c r="BW10" s="257"/>
      <c r="BX10" s="250"/>
      <c r="BY10" s="250"/>
      <c r="BZ10" s="250"/>
      <c r="CA10" s="257"/>
      <c r="CB10" s="250"/>
      <c r="CC10" s="250"/>
      <c r="CD10" s="250"/>
      <c r="CE10" s="257"/>
      <c r="CF10" s="250"/>
      <c r="CG10" s="250"/>
      <c r="CH10" s="250"/>
      <c r="CI10" s="257"/>
      <c r="CJ10" s="250"/>
      <c r="CK10" s="250"/>
      <c r="CL10" s="250"/>
      <c r="CM10" s="257"/>
      <c r="CN10" s="250"/>
      <c r="CO10" s="250"/>
      <c r="CP10" s="250"/>
      <c r="CQ10" s="257"/>
      <c r="CR10" s="250"/>
      <c r="CS10" s="250"/>
      <c r="CT10" s="250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</row>
    <row r="11" spans="1:110" s="183" customFormat="1" ht="24.75" customHeight="1" x14ac:dyDescent="0.2">
      <c r="A11" s="230"/>
      <c r="D11" s="230"/>
      <c r="E11" s="230"/>
      <c r="F11" s="230"/>
      <c r="G11" s="164"/>
      <c r="H11" s="164"/>
      <c r="I11" s="164"/>
      <c r="J11" s="164"/>
      <c r="K11" s="164"/>
      <c r="L11" s="164"/>
      <c r="M11" s="164"/>
      <c r="N11" s="164"/>
      <c r="O11" s="230"/>
      <c r="P11" s="230"/>
      <c r="Q11" s="230"/>
      <c r="R11" s="230"/>
      <c r="AM11" s="233"/>
      <c r="AT11" s="233">
        <f>SUM(AG9+AT9)</f>
        <v>1153600</v>
      </c>
      <c r="AU11" s="233">
        <f>SUM(AH9+AU9)</f>
        <v>2378600</v>
      </c>
      <c r="AV11" s="233">
        <f>SUM(AI9+AV9)</f>
        <v>0</v>
      </c>
      <c r="AW11" s="233">
        <f t="shared" ref="AW11" si="40">SUM(AJ9+AW9)</f>
        <v>0</v>
      </c>
      <c r="AX11" s="233">
        <f>SUM(AK9+AX9)</f>
        <v>0</v>
      </c>
      <c r="AY11" s="233">
        <f t="shared" ref="AY11:BE11" si="41">SUM(AL9+AY9)</f>
        <v>0</v>
      </c>
      <c r="AZ11" s="233">
        <f t="shared" si="41"/>
        <v>0</v>
      </c>
      <c r="BA11" s="233">
        <f t="shared" si="41"/>
        <v>0</v>
      </c>
      <c r="BB11" s="233">
        <f t="shared" si="41"/>
        <v>0</v>
      </c>
      <c r="BC11" s="233">
        <f t="shared" si="41"/>
        <v>0</v>
      </c>
      <c r="BD11" s="233">
        <f t="shared" si="41"/>
        <v>0</v>
      </c>
      <c r="BE11" s="233">
        <f t="shared" si="41"/>
        <v>0</v>
      </c>
      <c r="BF11" s="233">
        <f>SUM(AT11:AY11)</f>
        <v>3532200</v>
      </c>
      <c r="BH11" s="231"/>
      <c r="BI11" s="189">
        <f>SUM(BI9-BI10)</f>
        <v>4260000</v>
      </c>
      <c r="BJ11" s="183" t="s">
        <v>28</v>
      </c>
      <c r="BK11" s="287"/>
      <c r="BL11" s="164"/>
      <c r="BM11" s="166"/>
      <c r="BN11" s="251"/>
      <c r="BO11" s="260"/>
      <c r="BP11" s="251"/>
      <c r="BQ11" s="251"/>
      <c r="BR11" s="251"/>
      <c r="BS11" s="260"/>
      <c r="BT11" s="251"/>
      <c r="BU11" s="251"/>
      <c r="BV11" s="251"/>
      <c r="BW11" s="260"/>
      <c r="BX11" s="251"/>
      <c r="BY11" s="251"/>
      <c r="BZ11" s="251"/>
      <c r="CA11" s="260"/>
      <c r="CB11" s="251"/>
      <c r="CC11" s="251"/>
      <c r="CD11" s="251"/>
      <c r="CE11" s="260"/>
      <c r="CF11" s="251"/>
      <c r="CG11" s="251"/>
      <c r="CH11" s="251"/>
      <c r="CI11" s="260"/>
      <c r="CJ11" s="251"/>
      <c r="CK11" s="251"/>
      <c r="CL11" s="251"/>
      <c r="CM11" s="260"/>
      <c r="CN11" s="251"/>
      <c r="CO11" s="251"/>
      <c r="CP11" s="251"/>
      <c r="CQ11" s="260"/>
      <c r="CR11" s="251"/>
      <c r="CS11" s="251"/>
      <c r="CT11" s="251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</row>
    <row r="12" spans="1:110" s="16" customFormat="1" ht="16.5" customHeight="1" x14ac:dyDescent="0.2">
      <c r="A12" s="811" t="s">
        <v>7</v>
      </c>
      <c r="B12" s="812"/>
      <c r="C12" s="83" t="s">
        <v>52</v>
      </c>
      <c r="D12" s="134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6"/>
      <c r="AF12" s="17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7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7"/>
      <c r="BG12" s="87"/>
      <c r="BH12" s="84"/>
      <c r="BI12" s="88"/>
      <c r="BJ12" s="84"/>
      <c r="BK12" s="85"/>
      <c r="BL12" s="85"/>
      <c r="BM12" s="85"/>
      <c r="BN12" s="85"/>
      <c r="BO12" s="85"/>
      <c r="BP12" s="86"/>
      <c r="BQ12" s="85"/>
      <c r="BR12" s="85"/>
      <c r="BS12" s="85"/>
      <c r="BT12" s="85"/>
      <c r="BU12" s="85"/>
      <c r="BV12" s="87"/>
      <c r="BW12" s="87"/>
      <c r="BX12" s="87"/>
      <c r="BY12" s="84"/>
      <c r="BZ12" s="88"/>
      <c r="CA12" s="87"/>
      <c r="CB12" s="87"/>
      <c r="CC12" s="18"/>
      <c r="CD12" s="18"/>
      <c r="CE12" s="18"/>
      <c r="CF12" s="18"/>
      <c r="CG12" s="18"/>
      <c r="CH12" s="89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</row>
    <row r="13" spans="1:110" s="7" customFormat="1" ht="48.75" customHeight="1" x14ac:dyDescent="0.2">
      <c r="A13" s="813" t="s">
        <v>8</v>
      </c>
      <c r="B13" s="787" t="s">
        <v>9</v>
      </c>
      <c r="C13" s="787" t="s">
        <v>22</v>
      </c>
      <c r="D13" s="806" t="s">
        <v>10</v>
      </c>
      <c r="E13" s="806"/>
      <c r="F13" s="806"/>
      <c r="G13" s="806"/>
      <c r="H13" s="806"/>
      <c r="I13" s="806"/>
      <c r="J13" s="806"/>
      <c r="K13" s="806"/>
      <c r="L13" s="806"/>
      <c r="M13" s="806"/>
      <c r="N13" s="806"/>
      <c r="O13" s="806"/>
      <c r="P13" s="806"/>
      <c r="Q13" s="806"/>
      <c r="R13" s="787" t="s">
        <v>20</v>
      </c>
      <c r="S13" s="807" t="s">
        <v>17</v>
      </c>
      <c r="T13" s="808"/>
      <c r="U13" s="808"/>
      <c r="V13" s="808"/>
      <c r="W13" s="808"/>
      <c r="X13" s="808"/>
      <c r="Y13" s="808"/>
      <c r="Z13" s="808"/>
      <c r="AA13" s="808"/>
      <c r="AB13" s="808"/>
      <c r="AC13" s="808"/>
      <c r="AD13" s="808"/>
      <c r="AE13" s="809"/>
      <c r="AF13" s="810" t="s">
        <v>5</v>
      </c>
      <c r="AG13" s="810"/>
      <c r="AH13" s="810"/>
      <c r="AI13" s="810"/>
      <c r="AJ13" s="810"/>
      <c r="AK13" s="810"/>
      <c r="AL13" s="810"/>
      <c r="AM13" s="810"/>
      <c r="AN13" s="810"/>
      <c r="AO13" s="810"/>
      <c r="AP13" s="810"/>
      <c r="AQ13" s="810"/>
      <c r="AR13" s="810"/>
      <c r="AS13" s="810"/>
      <c r="AT13" s="800" t="s">
        <v>32</v>
      </c>
      <c r="AU13" s="801"/>
      <c r="AV13" s="801"/>
      <c r="AW13" s="801"/>
      <c r="AX13" s="801"/>
      <c r="AY13" s="801"/>
      <c r="AZ13" s="801"/>
      <c r="BA13" s="801"/>
      <c r="BB13" s="801"/>
      <c r="BC13" s="801"/>
      <c r="BD13" s="801"/>
      <c r="BE13" s="801"/>
      <c r="BF13" s="802"/>
      <c r="BG13" s="787" t="s">
        <v>29</v>
      </c>
      <c r="BH13" s="787" t="s">
        <v>57</v>
      </c>
      <c r="BI13" s="790" t="s">
        <v>30</v>
      </c>
      <c r="BJ13" s="84"/>
      <c r="BK13" s="17"/>
      <c r="BL13" s="734"/>
      <c r="BM13" s="84"/>
      <c r="BN13" s="84"/>
      <c r="BO13" s="84"/>
      <c r="BP13" s="774" t="s">
        <v>32</v>
      </c>
      <c r="BQ13" s="775"/>
      <c r="BR13" s="775"/>
      <c r="BS13" s="775"/>
      <c r="BT13" s="775"/>
      <c r="BU13" s="775"/>
      <c r="BV13" s="775"/>
      <c r="BW13" s="775"/>
      <c r="BX13" s="775"/>
      <c r="BY13" s="775"/>
      <c r="BZ13" s="775"/>
      <c r="CA13" s="775"/>
      <c r="CB13" s="775"/>
      <c r="CC13" s="775"/>
      <c r="CD13" s="775"/>
      <c r="CE13" s="775"/>
      <c r="CF13" s="775"/>
      <c r="CG13" s="775"/>
      <c r="CH13" s="775"/>
      <c r="CI13" s="775"/>
      <c r="CJ13" s="775"/>
      <c r="CK13" s="775"/>
      <c r="CL13" s="775"/>
      <c r="CM13" s="775"/>
      <c r="CN13" s="775"/>
      <c r="CO13" s="776"/>
    </row>
    <row r="14" spans="1:110" s="7" customFormat="1" ht="48.75" customHeight="1" x14ac:dyDescent="0.2">
      <c r="A14" s="814"/>
      <c r="B14" s="788"/>
      <c r="C14" s="788"/>
      <c r="D14" s="793" t="s">
        <v>18</v>
      </c>
      <c r="E14" s="795" t="s">
        <v>19</v>
      </c>
      <c r="F14" s="796"/>
      <c r="G14" s="796"/>
      <c r="H14" s="796"/>
      <c r="I14" s="796"/>
      <c r="J14" s="796"/>
      <c r="K14" s="796"/>
      <c r="L14" s="796"/>
      <c r="M14" s="796"/>
      <c r="N14" s="796"/>
      <c r="O14" s="796"/>
      <c r="P14" s="796"/>
      <c r="Q14" s="796"/>
      <c r="R14" s="788"/>
      <c r="S14" s="797" t="s">
        <v>18</v>
      </c>
      <c r="T14" s="795" t="s">
        <v>19</v>
      </c>
      <c r="U14" s="796"/>
      <c r="V14" s="796"/>
      <c r="W14" s="796"/>
      <c r="X14" s="796"/>
      <c r="Y14" s="796"/>
      <c r="Z14" s="796"/>
      <c r="AA14" s="796"/>
      <c r="AB14" s="796"/>
      <c r="AC14" s="796"/>
      <c r="AD14" s="796"/>
      <c r="AE14" s="799"/>
      <c r="AF14" s="797" t="s">
        <v>18</v>
      </c>
      <c r="AG14" s="795" t="s">
        <v>19</v>
      </c>
      <c r="AH14" s="796"/>
      <c r="AI14" s="796"/>
      <c r="AJ14" s="796"/>
      <c r="AK14" s="796"/>
      <c r="AL14" s="796"/>
      <c r="AM14" s="796"/>
      <c r="AN14" s="796"/>
      <c r="AO14" s="796"/>
      <c r="AP14" s="796"/>
      <c r="AQ14" s="796"/>
      <c r="AR14" s="796"/>
      <c r="AS14" s="799"/>
      <c r="AT14" s="803"/>
      <c r="AU14" s="804"/>
      <c r="AV14" s="804"/>
      <c r="AW14" s="804"/>
      <c r="AX14" s="804"/>
      <c r="AY14" s="804"/>
      <c r="AZ14" s="804"/>
      <c r="BA14" s="804"/>
      <c r="BB14" s="804"/>
      <c r="BC14" s="804"/>
      <c r="BD14" s="804"/>
      <c r="BE14" s="804"/>
      <c r="BF14" s="805"/>
      <c r="BG14" s="788"/>
      <c r="BH14" s="788"/>
      <c r="BI14" s="791"/>
      <c r="BJ14" s="84"/>
      <c r="BK14" s="17"/>
      <c r="BL14" s="777">
        <f>SUM(BL16/60)</f>
        <v>6042.666666666667</v>
      </c>
      <c r="BM14" s="777"/>
      <c r="BN14" s="777"/>
      <c r="BO14" s="17"/>
      <c r="BP14" s="778" t="s">
        <v>230</v>
      </c>
      <c r="BQ14" s="779"/>
      <c r="BR14" s="779"/>
      <c r="BS14" s="779"/>
      <c r="BT14" s="779"/>
      <c r="BU14" s="779"/>
      <c r="BV14" s="779"/>
      <c r="BW14" s="779"/>
      <c r="BX14" s="779"/>
      <c r="BY14" s="779"/>
      <c r="BZ14" s="779"/>
      <c r="CA14" s="779"/>
      <c r="CB14" s="780"/>
      <c r="CC14" s="781" t="s">
        <v>231</v>
      </c>
      <c r="CD14" s="782"/>
      <c r="CE14" s="782"/>
      <c r="CF14" s="782"/>
      <c r="CG14" s="782"/>
      <c r="CH14" s="782"/>
      <c r="CI14" s="782"/>
      <c r="CJ14" s="782"/>
      <c r="CK14" s="782"/>
      <c r="CL14" s="782"/>
      <c r="CM14" s="782"/>
      <c r="CN14" s="782"/>
      <c r="CO14" s="783"/>
    </row>
    <row r="15" spans="1:110" s="5" customFormat="1" ht="28.5" customHeight="1" x14ac:dyDescent="0.2">
      <c r="A15" s="815"/>
      <c r="B15" s="789"/>
      <c r="C15" s="789"/>
      <c r="D15" s="794"/>
      <c r="E15" s="20">
        <v>1</v>
      </c>
      <c r="F15" s="20">
        <v>2</v>
      </c>
      <c r="G15" s="20">
        <v>3</v>
      </c>
      <c r="H15" s="20">
        <v>4</v>
      </c>
      <c r="I15" s="20">
        <v>5</v>
      </c>
      <c r="J15" s="20">
        <v>6</v>
      </c>
      <c r="K15" s="20">
        <v>7</v>
      </c>
      <c r="L15" s="20">
        <v>8</v>
      </c>
      <c r="M15" s="20">
        <v>9</v>
      </c>
      <c r="N15" s="20">
        <v>10</v>
      </c>
      <c r="O15" s="20">
        <v>11</v>
      </c>
      <c r="P15" s="20">
        <v>12</v>
      </c>
      <c r="Q15" s="20" t="s">
        <v>21</v>
      </c>
      <c r="R15" s="789"/>
      <c r="S15" s="798"/>
      <c r="T15" s="20">
        <v>1</v>
      </c>
      <c r="U15" s="20">
        <v>2</v>
      </c>
      <c r="V15" s="20">
        <v>3</v>
      </c>
      <c r="W15" s="20">
        <v>4</v>
      </c>
      <c r="X15" s="20">
        <v>5</v>
      </c>
      <c r="Y15" s="20">
        <v>6</v>
      </c>
      <c r="Z15" s="20">
        <v>7</v>
      </c>
      <c r="AA15" s="20">
        <v>8</v>
      </c>
      <c r="AB15" s="20">
        <v>9</v>
      </c>
      <c r="AC15" s="20">
        <v>10</v>
      </c>
      <c r="AD15" s="20">
        <v>11</v>
      </c>
      <c r="AE15" s="20">
        <v>12</v>
      </c>
      <c r="AF15" s="798"/>
      <c r="AG15" s="20">
        <v>1</v>
      </c>
      <c r="AH15" s="20">
        <v>2</v>
      </c>
      <c r="AI15" s="20">
        <v>3</v>
      </c>
      <c r="AJ15" s="20">
        <v>4</v>
      </c>
      <c r="AK15" s="20">
        <v>5</v>
      </c>
      <c r="AL15" s="20">
        <v>6</v>
      </c>
      <c r="AM15" s="20">
        <v>7</v>
      </c>
      <c r="AN15" s="20">
        <v>8</v>
      </c>
      <c r="AO15" s="20">
        <v>9</v>
      </c>
      <c r="AP15" s="20">
        <v>10</v>
      </c>
      <c r="AQ15" s="20">
        <v>11</v>
      </c>
      <c r="AR15" s="20">
        <v>12</v>
      </c>
      <c r="AS15" s="20" t="s">
        <v>13</v>
      </c>
      <c r="AT15" s="111">
        <v>1</v>
      </c>
      <c r="AU15" s="111">
        <v>2</v>
      </c>
      <c r="AV15" s="111">
        <v>3</v>
      </c>
      <c r="AW15" s="111">
        <v>4</v>
      </c>
      <c r="AX15" s="111">
        <v>5</v>
      </c>
      <c r="AY15" s="111">
        <v>6</v>
      </c>
      <c r="AZ15" s="111">
        <v>7</v>
      </c>
      <c r="BA15" s="111">
        <v>8</v>
      </c>
      <c r="BB15" s="111">
        <v>9</v>
      </c>
      <c r="BC15" s="111">
        <v>10</v>
      </c>
      <c r="BD15" s="111">
        <v>11</v>
      </c>
      <c r="BE15" s="111">
        <v>12</v>
      </c>
      <c r="BF15" s="20" t="s">
        <v>13</v>
      </c>
      <c r="BG15" s="789"/>
      <c r="BH15" s="789"/>
      <c r="BI15" s="792"/>
      <c r="BJ15" s="6"/>
      <c r="BK15" s="21"/>
      <c r="BL15" s="784" t="s">
        <v>19</v>
      </c>
      <c r="BM15" s="785"/>
      <c r="BN15" s="786"/>
      <c r="BO15" s="337"/>
      <c r="BP15" s="111">
        <v>1</v>
      </c>
      <c r="BQ15" s="111">
        <v>2</v>
      </c>
      <c r="BR15" s="111">
        <v>3</v>
      </c>
      <c r="BS15" s="111">
        <v>4</v>
      </c>
      <c r="BT15" s="111">
        <v>5</v>
      </c>
      <c r="BU15" s="111">
        <v>6</v>
      </c>
      <c r="BV15" s="111">
        <v>7</v>
      </c>
      <c r="BW15" s="111">
        <v>8</v>
      </c>
      <c r="BX15" s="111">
        <v>9</v>
      </c>
      <c r="BY15" s="111">
        <v>10</v>
      </c>
      <c r="BZ15" s="111">
        <v>11</v>
      </c>
      <c r="CA15" s="111">
        <v>12</v>
      </c>
      <c r="CB15" s="20" t="s">
        <v>13</v>
      </c>
      <c r="CC15" s="111">
        <v>1</v>
      </c>
      <c r="CD15" s="111">
        <v>2</v>
      </c>
      <c r="CE15" s="111">
        <v>3</v>
      </c>
      <c r="CF15" s="111">
        <v>4</v>
      </c>
      <c r="CG15" s="111">
        <v>5</v>
      </c>
      <c r="CH15" s="111">
        <v>6</v>
      </c>
      <c r="CI15" s="111">
        <v>7</v>
      </c>
      <c r="CJ15" s="111">
        <v>8</v>
      </c>
      <c r="CK15" s="111">
        <v>9</v>
      </c>
      <c r="CL15" s="111">
        <v>10</v>
      </c>
      <c r="CM15" s="111">
        <v>11</v>
      </c>
      <c r="CN15" s="111">
        <v>12</v>
      </c>
      <c r="CO15" s="20" t="s">
        <v>13</v>
      </c>
    </row>
    <row r="16" spans="1:110" s="6" customFormat="1" ht="24.75" customHeight="1" x14ac:dyDescent="0.2">
      <c r="A16" s="29"/>
      <c r="B16" s="91" t="s">
        <v>90</v>
      </c>
      <c r="C16" s="22" t="s">
        <v>73</v>
      </c>
      <c r="D16" s="140">
        <v>120</v>
      </c>
      <c r="E16" s="613">
        <v>40</v>
      </c>
      <c r="F16" s="613">
        <v>40</v>
      </c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24">
        <f>SUM(E16:P16)</f>
        <v>80</v>
      </c>
      <c r="R16" s="62" t="s">
        <v>26</v>
      </c>
      <c r="S16" s="92">
        <v>10300</v>
      </c>
      <c r="T16" s="614">
        <v>10300</v>
      </c>
      <c r="U16" s="680">
        <v>10300</v>
      </c>
      <c r="V16" s="614"/>
      <c r="W16" s="614"/>
      <c r="X16" s="615"/>
      <c r="Y16" s="615"/>
      <c r="Z16" s="615"/>
      <c r="AA16" s="615"/>
      <c r="AB16" s="615"/>
      <c r="AC16" s="615"/>
      <c r="AD16" s="615"/>
      <c r="AE16" s="615"/>
      <c r="AF16" s="51">
        <f>Q16*S16</f>
        <v>824000</v>
      </c>
      <c r="AG16" s="616">
        <f t="shared" ref="AG16:AH17" si="42">T16*E16</f>
        <v>412000</v>
      </c>
      <c r="AH16" s="580">
        <f t="shared" si="42"/>
        <v>412000</v>
      </c>
      <c r="AI16" s="583">
        <f t="shared" ref="AI16:AR17" si="43">V16*G16</f>
        <v>0</v>
      </c>
      <c r="AJ16" s="583">
        <f t="shared" si="43"/>
        <v>0</v>
      </c>
      <c r="AK16" s="583">
        <f t="shared" si="43"/>
        <v>0</v>
      </c>
      <c r="AL16" s="583">
        <f t="shared" si="43"/>
        <v>0</v>
      </c>
      <c r="AM16" s="583">
        <f t="shared" si="43"/>
        <v>0</v>
      </c>
      <c r="AN16" s="583">
        <f t="shared" si="43"/>
        <v>0</v>
      </c>
      <c r="AO16" s="583">
        <f t="shared" si="43"/>
        <v>0</v>
      </c>
      <c r="AP16" s="583">
        <f t="shared" si="43"/>
        <v>0</v>
      </c>
      <c r="AQ16" s="583">
        <f t="shared" si="43"/>
        <v>0</v>
      </c>
      <c r="AR16" s="583">
        <f t="shared" si="43"/>
        <v>0</v>
      </c>
      <c r="AS16" s="53">
        <f>SUM(AG16:AR16)</f>
        <v>824000</v>
      </c>
      <c r="AT16" s="570">
        <f>SUM(AG16*12%)</f>
        <v>49440</v>
      </c>
      <c r="AU16" s="323">
        <f>SUM(AH16*12%)</f>
        <v>49440</v>
      </c>
      <c r="AV16" s="52">
        <f t="shared" ref="AV16:AV17" si="44">SUM(AI16*4%)</f>
        <v>0</v>
      </c>
      <c r="AW16" s="52">
        <f>SUM(AJ16*4%)</f>
        <v>0</v>
      </c>
      <c r="AX16" s="52">
        <f t="shared" ref="AX16:BE17" si="45">SUM(AK16*14%)</f>
        <v>0</v>
      </c>
      <c r="AY16" s="52">
        <f t="shared" si="45"/>
        <v>0</v>
      </c>
      <c r="AZ16" s="52">
        <f t="shared" si="45"/>
        <v>0</v>
      </c>
      <c r="BA16" s="52">
        <f t="shared" si="45"/>
        <v>0</v>
      </c>
      <c r="BB16" s="52">
        <f t="shared" si="45"/>
        <v>0</v>
      </c>
      <c r="BC16" s="52">
        <f t="shared" si="45"/>
        <v>0</v>
      </c>
      <c r="BD16" s="52">
        <f t="shared" si="45"/>
        <v>0</v>
      </c>
      <c r="BE16" s="52">
        <f t="shared" si="45"/>
        <v>0</v>
      </c>
      <c r="BF16" s="54">
        <f>SUM(AT16:BE16)</f>
        <v>98880</v>
      </c>
      <c r="BG16" s="55">
        <f>AF16-AS16</f>
        <v>0</v>
      </c>
      <c r="BH16" s="56">
        <f>S16*D16</f>
        <v>1236000</v>
      </c>
      <c r="BI16" s="57">
        <f>BH16-AS16</f>
        <v>412000</v>
      </c>
      <c r="BJ16" s="112">
        <f>SUM(Q16/D16)</f>
        <v>0.66666666666666663</v>
      </c>
      <c r="BK16" s="26"/>
      <c r="BL16" s="556">
        <f>AH16-AU16</f>
        <v>362560</v>
      </c>
      <c r="BM16" s="556">
        <f>9000*40</f>
        <v>360000</v>
      </c>
      <c r="BN16" s="567">
        <f>SUM(BL16-BM16)</f>
        <v>2560</v>
      </c>
      <c r="BO16" s="561"/>
      <c r="BP16" s="323"/>
      <c r="BQ16" s="323"/>
      <c r="BR16" s="556">
        <f t="shared" ref="BR16:BR17" si="46">SUM(AI16*12.5%)</f>
        <v>0</v>
      </c>
      <c r="BS16" s="323">
        <f t="shared" ref="BS16:BS17" si="47">SUM(AJ16*12.5%)</f>
        <v>0</v>
      </c>
      <c r="BT16" s="323">
        <f t="shared" ref="BT16:BT17" si="48">SUM(AK16*12.5%)</f>
        <v>0</v>
      </c>
      <c r="BU16" s="323">
        <f t="shared" ref="BU16:BU17" si="49">SUM(AL16*12.5%)</f>
        <v>0</v>
      </c>
      <c r="BV16" s="323">
        <f t="shared" ref="BV16:BV17" si="50">SUM(AM16*12.5%)</f>
        <v>0</v>
      </c>
      <c r="BW16" s="323">
        <f t="shared" ref="BW16:BW17" si="51">SUM(AN16*12.5%)</f>
        <v>0</v>
      </c>
      <c r="BX16" s="323">
        <f t="shared" ref="BX16:BX17" si="52">SUM(AO16*12.5%)</f>
        <v>0</v>
      </c>
      <c r="BY16" s="323">
        <f t="shared" ref="BY16:BY17" si="53">SUM(AP16*12.5%)</f>
        <v>0</v>
      </c>
      <c r="BZ16" s="323">
        <f t="shared" ref="BZ16:BZ17" si="54">SUM(AQ16*12.5%)</f>
        <v>0</v>
      </c>
      <c r="CA16" s="323">
        <f t="shared" ref="CA16:CA17" si="55">SUM(AR16*12.5%)</f>
        <v>0</v>
      </c>
      <c r="CB16" s="55">
        <f t="shared" ref="CB16" si="56">SUM(BP16:CA16)</f>
        <v>0</v>
      </c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3"/>
      <c r="CN16" s="323"/>
      <c r="CO16" s="55">
        <f t="shared" ref="CO16:CO17" si="57">SUM(CC16:CN16)</f>
        <v>0</v>
      </c>
    </row>
    <row r="17" spans="1:110" s="6" customFormat="1" ht="24.75" customHeight="1" x14ac:dyDescent="0.2">
      <c r="A17" s="29"/>
      <c r="B17" s="91" t="s">
        <v>91</v>
      </c>
      <c r="C17" s="22" t="s">
        <v>73</v>
      </c>
      <c r="D17" s="140">
        <v>120</v>
      </c>
      <c r="E17" s="613">
        <v>40</v>
      </c>
      <c r="F17" s="613">
        <v>40</v>
      </c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24">
        <f>SUM(E17:P17)</f>
        <v>80</v>
      </c>
      <c r="R17" s="62" t="s">
        <v>26</v>
      </c>
      <c r="S17" s="92">
        <v>28500</v>
      </c>
      <c r="T17" s="614">
        <v>28000</v>
      </c>
      <c r="U17" s="680">
        <v>28000</v>
      </c>
      <c r="V17" s="614"/>
      <c r="W17" s="614"/>
      <c r="X17" s="615"/>
      <c r="Y17" s="615"/>
      <c r="Z17" s="615"/>
      <c r="AA17" s="615"/>
      <c r="AB17" s="615"/>
      <c r="AC17" s="615"/>
      <c r="AD17" s="615"/>
      <c r="AE17" s="615"/>
      <c r="AF17" s="51">
        <f t="shared" ref="AF17:AF19" si="58">Q17*S17</f>
        <v>2280000</v>
      </c>
      <c r="AG17" s="616">
        <f t="shared" si="42"/>
        <v>1120000</v>
      </c>
      <c r="AH17" s="580">
        <f t="shared" si="42"/>
        <v>1120000</v>
      </c>
      <c r="AI17" s="583">
        <f t="shared" si="43"/>
        <v>0</v>
      </c>
      <c r="AJ17" s="583">
        <f t="shared" si="43"/>
        <v>0</v>
      </c>
      <c r="AK17" s="583">
        <f t="shared" si="43"/>
        <v>0</v>
      </c>
      <c r="AL17" s="583">
        <f t="shared" si="43"/>
        <v>0</v>
      </c>
      <c r="AM17" s="583">
        <f t="shared" si="43"/>
        <v>0</v>
      </c>
      <c r="AN17" s="583">
        <f t="shared" si="43"/>
        <v>0</v>
      </c>
      <c r="AO17" s="583">
        <f t="shared" si="43"/>
        <v>0</v>
      </c>
      <c r="AP17" s="583">
        <f t="shared" si="43"/>
        <v>0</v>
      </c>
      <c r="AQ17" s="583">
        <f t="shared" si="43"/>
        <v>0</v>
      </c>
      <c r="AR17" s="583">
        <f t="shared" si="43"/>
        <v>0</v>
      </c>
      <c r="AS17" s="53">
        <f>SUM(AG17:AR17)</f>
        <v>2240000</v>
      </c>
      <c r="AT17" s="570">
        <f>SUM(AG17*12%)</f>
        <v>134400</v>
      </c>
      <c r="AU17" s="323">
        <f>SUM(AH17*12%)</f>
        <v>134400</v>
      </c>
      <c r="AV17" s="52">
        <f t="shared" si="44"/>
        <v>0</v>
      </c>
      <c r="AW17" s="52">
        <f>SUM(AJ17*4%)</f>
        <v>0</v>
      </c>
      <c r="AX17" s="52">
        <f t="shared" si="45"/>
        <v>0</v>
      </c>
      <c r="AY17" s="52">
        <f t="shared" si="45"/>
        <v>0</v>
      </c>
      <c r="AZ17" s="52">
        <f t="shared" si="45"/>
        <v>0</v>
      </c>
      <c r="BA17" s="52">
        <f t="shared" si="45"/>
        <v>0</v>
      </c>
      <c r="BB17" s="52">
        <f t="shared" si="45"/>
        <v>0</v>
      </c>
      <c r="BC17" s="52">
        <f t="shared" si="45"/>
        <v>0</v>
      </c>
      <c r="BD17" s="52">
        <f t="shared" si="45"/>
        <v>0</v>
      </c>
      <c r="BE17" s="52">
        <f t="shared" si="45"/>
        <v>0</v>
      </c>
      <c r="BF17" s="54">
        <f>SUM(AT17:BE17)</f>
        <v>268800</v>
      </c>
      <c r="BG17" s="55">
        <f t="shared" ref="BG17:BG19" si="59">AF17-AS17</f>
        <v>40000</v>
      </c>
      <c r="BH17" s="56">
        <f>S17*D17</f>
        <v>3420000</v>
      </c>
      <c r="BI17" s="57">
        <f t="shared" ref="BI17:BI19" si="60">BH17-AS17</f>
        <v>1180000</v>
      </c>
      <c r="BJ17" s="112">
        <f>SUM(Q17/D17)</f>
        <v>0.66666666666666663</v>
      </c>
      <c r="BK17" s="26"/>
      <c r="BL17" s="556">
        <f t="shared" ref="BL17:BL19" si="61">AH17-AU17</f>
        <v>985600</v>
      </c>
      <c r="BM17" s="556">
        <f>24000*40</f>
        <v>960000</v>
      </c>
      <c r="BN17" s="567">
        <f t="shared" ref="BN17:BN19" si="62">SUM(BL17-BM17)</f>
        <v>25600</v>
      </c>
      <c r="BO17" s="561"/>
      <c r="BP17" s="323"/>
      <c r="BQ17" s="323"/>
      <c r="BR17" s="556">
        <f t="shared" si="46"/>
        <v>0</v>
      </c>
      <c r="BS17" s="323">
        <f t="shared" si="47"/>
        <v>0</v>
      </c>
      <c r="BT17" s="323">
        <f t="shared" si="48"/>
        <v>0</v>
      </c>
      <c r="BU17" s="323">
        <f t="shared" si="49"/>
        <v>0</v>
      </c>
      <c r="BV17" s="323">
        <f t="shared" si="50"/>
        <v>0</v>
      </c>
      <c r="BW17" s="323">
        <f t="shared" si="51"/>
        <v>0</v>
      </c>
      <c r="BX17" s="323">
        <f t="shared" si="52"/>
        <v>0</v>
      </c>
      <c r="BY17" s="323">
        <f t="shared" si="53"/>
        <v>0</v>
      </c>
      <c r="BZ17" s="323">
        <f t="shared" si="54"/>
        <v>0</v>
      </c>
      <c r="CA17" s="323">
        <f t="shared" si="55"/>
        <v>0</v>
      </c>
      <c r="CB17" s="55">
        <f t="shared" ref="CB17" si="63">SUM(BP17:CA17)</f>
        <v>0</v>
      </c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55">
        <f t="shared" si="57"/>
        <v>0</v>
      </c>
    </row>
    <row r="18" spans="1:110" s="6" customFormat="1" ht="24.75" customHeight="1" x14ac:dyDescent="0.2">
      <c r="A18" s="29"/>
      <c r="B18" s="91" t="s">
        <v>92</v>
      </c>
      <c r="C18" s="22" t="s">
        <v>73</v>
      </c>
      <c r="D18" s="140">
        <v>3</v>
      </c>
      <c r="E18" s="613">
        <v>1</v>
      </c>
      <c r="F18" s="613">
        <v>1</v>
      </c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24">
        <f>SUM(E18:P18)</f>
        <v>2</v>
      </c>
      <c r="R18" s="62" t="s">
        <v>2</v>
      </c>
      <c r="S18" s="92">
        <v>15000</v>
      </c>
      <c r="T18" s="614">
        <v>15000</v>
      </c>
      <c r="U18" s="680">
        <v>15000</v>
      </c>
      <c r="V18" s="614"/>
      <c r="W18" s="614"/>
      <c r="X18" s="615"/>
      <c r="Y18" s="615"/>
      <c r="Z18" s="615"/>
      <c r="AA18" s="615"/>
      <c r="AB18" s="615"/>
      <c r="AC18" s="615"/>
      <c r="AD18" s="615"/>
      <c r="AE18" s="615"/>
      <c r="AF18" s="51">
        <f t="shared" si="58"/>
        <v>30000</v>
      </c>
      <c r="AG18" s="616">
        <f t="shared" ref="AG18:AG19" si="64">T18*E18</f>
        <v>15000</v>
      </c>
      <c r="AH18" s="580">
        <f t="shared" ref="AH18:AH19" si="65">U18*F18</f>
        <v>15000</v>
      </c>
      <c r="AI18" s="583">
        <f t="shared" ref="AI18:AI19" si="66">V18*G18</f>
        <v>0</v>
      </c>
      <c r="AJ18" s="583">
        <f t="shared" ref="AJ18:AJ19" si="67">W18*H18</f>
        <v>0</v>
      </c>
      <c r="AK18" s="583">
        <f t="shared" ref="AK18:AK19" si="68">X18*I18</f>
        <v>0</v>
      </c>
      <c r="AL18" s="583">
        <f t="shared" ref="AL18:AL19" si="69">Y18*J18</f>
        <v>0</v>
      </c>
      <c r="AM18" s="583">
        <f t="shared" ref="AM18:AM19" si="70">Z18*K18</f>
        <v>0</v>
      </c>
      <c r="AN18" s="583">
        <f t="shared" ref="AN18:AN19" si="71">AA18*L18</f>
        <v>0</v>
      </c>
      <c r="AO18" s="583">
        <f t="shared" ref="AO18:AO19" si="72">AB18*M18</f>
        <v>0</v>
      </c>
      <c r="AP18" s="583">
        <f t="shared" ref="AP18:AP19" si="73">AC18*N18</f>
        <v>0</v>
      </c>
      <c r="AQ18" s="583">
        <f t="shared" ref="AQ18:AQ19" si="74">AD18*O18</f>
        <v>0</v>
      </c>
      <c r="AR18" s="583">
        <f t="shared" ref="AR18:AR19" si="75">AE18*P18</f>
        <v>0</v>
      </c>
      <c r="AS18" s="53">
        <f>SUM(AG18:AR18)</f>
        <v>30000</v>
      </c>
      <c r="AT18" s="570"/>
      <c r="AU18" s="323"/>
      <c r="AV18" s="52">
        <f t="shared" ref="AV18:AV19" si="76">SUM(AI18*4%)</f>
        <v>0</v>
      </c>
      <c r="AW18" s="52">
        <f>SUM(AJ18*4%)</f>
        <v>0</v>
      </c>
      <c r="AX18" s="52">
        <f t="shared" ref="AX18:AX19" si="77">SUM(AK18*14%)</f>
        <v>0</v>
      </c>
      <c r="AY18" s="52">
        <f t="shared" ref="AY18:AY19" si="78">SUM(AL18*14%)</f>
        <v>0</v>
      </c>
      <c r="AZ18" s="52">
        <f t="shared" ref="AZ18:AZ19" si="79">SUM(AM18*14%)</f>
        <v>0</v>
      </c>
      <c r="BA18" s="52">
        <f t="shared" ref="BA18:BA19" si="80">SUM(AN18*14%)</f>
        <v>0</v>
      </c>
      <c r="BB18" s="52">
        <f t="shared" ref="BB18:BB19" si="81">SUM(AO18*14%)</f>
        <v>0</v>
      </c>
      <c r="BC18" s="52">
        <f t="shared" ref="BC18:BC19" si="82">SUM(AP18*14%)</f>
        <v>0</v>
      </c>
      <c r="BD18" s="52">
        <f t="shared" ref="BD18:BD19" si="83">SUM(AQ18*14%)</f>
        <v>0</v>
      </c>
      <c r="BE18" s="52">
        <f t="shared" ref="BE18:BE19" si="84">SUM(AR18*14%)</f>
        <v>0</v>
      </c>
      <c r="BF18" s="54">
        <f>SUM(AT18:BE18)</f>
        <v>0</v>
      </c>
      <c r="BG18" s="55">
        <f t="shared" si="59"/>
        <v>0</v>
      </c>
      <c r="BH18" s="56">
        <f>S18*D18</f>
        <v>45000</v>
      </c>
      <c r="BI18" s="57">
        <f t="shared" si="60"/>
        <v>15000</v>
      </c>
      <c r="BJ18" s="112">
        <f>SUM(Q18/D18)</f>
        <v>0.66666666666666663</v>
      </c>
      <c r="BK18" s="26"/>
      <c r="BL18" s="556">
        <f t="shared" si="61"/>
        <v>15000</v>
      </c>
      <c r="BM18" s="556">
        <f>15000*1</f>
        <v>15000</v>
      </c>
      <c r="BN18" s="567">
        <f t="shared" si="62"/>
        <v>0</v>
      </c>
      <c r="BO18" s="561"/>
      <c r="BP18" s="323"/>
      <c r="BQ18" s="323"/>
      <c r="BR18" s="556">
        <f t="shared" ref="BR18:BR20" si="85">SUM(AI18*12.5%)</f>
        <v>0</v>
      </c>
      <c r="BS18" s="323">
        <f t="shared" ref="BS18:BS20" si="86">SUM(AJ18*12.5%)</f>
        <v>0</v>
      </c>
      <c r="BT18" s="323">
        <f t="shared" ref="BT18:BT20" si="87">SUM(AK18*12.5%)</f>
        <v>0</v>
      </c>
      <c r="BU18" s="323">
        <f t="shared" ref="BU18:BU20" si="88">SUM(AL18*12.5%)</f>
        <v>0</v>
      </c>
      <c r="BV18" s="323">
        <f t="shared" ref="BV18:BV20" si="89">SUM(AM18*12.5%)</f>
        <v>0</v>
      </c>
      <c r="BW18" s="323">
        <f t="shared" ref="BW18:BW20" si="90">SUM(AN18*12.5%)</f>
        <v>0</v>
      </c>
      <c r="BX18" s="323">
        <f t="shared" ref="BX18:BX20" si="91">SUM(AO18*12.5%)</f>
        <v>0</v>
      </c>
      <c r="BY18" s="323">
        <f t="shared" ref="BY18:BY20" si="92">SUM(AP18*12.5%)</f>
        <v>0</v>
      </c>
      <c r="BZ18" s="323">
        <f t="shared" ref="BZ18:BZ20" si="93">SUM(AQ18*12.5%)</f>
        <v>0</v>
      </c>
      <c r="CA18" s="323">
        <f t="shared" ref="CA18:CA20" si="94">SUM(AR18*12.5%)</f>
        <v>0</v>
      </c>
      <c r="CB18" s="55">
        <f t="shared" ref="CB18:CB20" si="95">SUM(BP18:CA18)</f>
        <v>0</v>
      </c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3"/>
      <c r="CN18" s="323"/>
      <c r="CO18" s="55">
        <f t="shared" ref="CO18:CO20" si="96">SUM(CC18:CN18)</f>
        <v>0</v>
      </c>
    </row>
    <row r="19" spans="1:110" s="6" customFormat="1" ht="24.75" customHeight="1" thickBot="1" x14ac:dyDescent="0.25">
      <c r="A19" s="29"/>
      <c r="B19" s="91" t="s">
        <v>27</v>
      </c>
      <c r="C19" s="22" t="s">
        <v>73</v>
      </c>
      <c r="D19" s="140">
        <v>6</v>
      </c>
      <c r="E19" s="613">
        <v>2</v>
      </c>
      <c r="F19" s="613">
        <v>2</v>
      </c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24">
        <f>SUM(E19:P19)</f>
        <v>4</v>
      </c>
      <c r="R19" s="62" t="s">
        <v>93</v>
      </c>
      <c r="S19" s="92">
        <v>35000</v>
      </c>
      <c r="T19" s="614">
        <v>35000</v>
      </c>
      <c r="U19" s="680">
        <v>35000</v>
      </c>
      <c r="V19" s="614"/>
      <c r="W19" s="614"/>
      <c r="X19" s="615"/>
      <c r="Y19" s="615"/>
      <c r="Z19" s="615"/>
      <c r="AA19" s="615"/>
      <c r="AB19" s="615"/>
      <c r="AC19" s="615"/>
      <c r="AD19" s="615"/>
      <c r="AE19" s="615"/>
      <c r="AF19" s="51">
        <f t="shared" si="58"/>
        <v>140000</v>
      </c>
      <c r="AG19" s="616">
        <f t="shared" si="64"/>
        <v>70000</v>
      </c>
      <c r="AH19" s="580">
        <f t="shared" si="65"/>
        <v>70000</v>
      </c>
      <c r="AI19" s="583">
        <f t="shared" si="66"/>
        <v>0</v>
      </c>
      <c r="AJ19" s="583">
        <f t="shared" si="67"/>
        <v>0</v>
      </c>
      <c r="AK19" s="583">
        <f t="shared" si="68"/>
        <v>0</v>
      </c>
      <c r="AL19" s="583">
        <f t="shared" si="69"/>
        <v>0</v>
      </c>
      <c r="AM19" s="583">
        <f t="shared" si="70"/>
        <v>0</v>
      </c>
      <c r="AN19" s="583">
        <f t="shared" si="71"/>
        <v>0</v>
      </c>
      <c r="AO19" s="583">
        <f t="shared" si="72"/>
        <v>0</v>
      </c>
      <c r="AP19" s="583">
        <f t="shared" si="73"/>
        <v>0</v>
      </c>
      <c r="AQ19" s="583">
        <f t="shared" si="74"/>
        <v>0</v>
      </c>
      <c r="AR19" s="583">
        <f t="shared" si="75"/>
        <v>0</v>
      </c>
      <c r="AS19" s="53">
        <f>SUM(AG19:AR19)</f>
        <v>140000</v>
      </c>
      <c r="AT19" s="570">
        <f>SUM(AG19*2%)</f>
        <v>1400</v>
      </c>
      <c r="AU19" s="323">
        <f>SUM(AH19*2%)</f>
        <v>1400</v>
      </c>
      <c r="AV19" s="52">
        <f t="shared" si="76"/>
        <v>0</v>
      </c>
      <c r="AW19" s="52">
        <f>SUM(AJ19*4%)</f>
        <v>0</v>
      </c>
      <c r="AX19" s="52">
        <f t="shared" si="77"/>
        <v>0</v>
      </c>
      <c r="AY19" s="52">
        <f t="shared" si="78"/>
        <v>0</v>
      </c>
      <c r="AZ19" s="52">
        <f t="shared" si="79"/>
        <v>0</v>
      </c>
      <c r="BA19" s="52">
        <f t="shared" si="80"/>
        <v>0</v>
      </c>
      <c r="BB19" s="52">
        <f t="shared" si="81"/>
        <v>0</v>
      </c>
      <c r="BC19" s="52">
        <f t="shared" si="82"/>
        <v>0</v>
      </c>
      <c r="BD19" s="52">
        <f t="shared" si="83"/>
        <v>0</v>
      </c>
      <c r="BE19" s="52">
        <f t="shared" si="84"/>
        <v>0</v>
      </c>
      <c r="BF19" s="54">
        <f>SUM(AT19:BE19)</f>
        <v>2800</v>
      </c>
      <c r="BG19" s="55">
        <f t="shared" si="59"/>
        <v>0</v>
      </c>
      <c r="BH19" s="56">
        <f>S19*D19</f>
        <v>210000</v>
      </c>
      <c r="BI19" s="57">
        <f t="shared" si="60"/>
        <v>70000</v>
      </c>
      <c r="BJ19" s="112">
        <f>SUM(Q19/D19)</f>
        <v>0.66666666666666663</v>
      </c>
      <c r="BK19" s="26"/>
      <c r="BL19" s="556">
        <f t="shared" si="61"/>
        <v>68600</v>
      </c>
      <c r="BM19" s="556">
        <f>30000*2</f>
        <v>60000</v>
      </c>
      <c r="BN19" s="567">
        <f t="shared" si="62"/>
        <v>8600</v>
      </c>
      <c r="BO19" s="561"/>
      <c r="BP19" s="323"/>
      <c r="BQ19" s="323"/>
      <c r="BR19" s="556">
        <f t="shared" si="85"/>
        <v>0</v>
      </c>
      <c r="BS19" s="323">
        <f t="shared" si="86"/>
        <v>0</v>
      </c>
      <c r="BT19" s="323">
        <f t="shared" si="87"/>
        <v>0</v>
      </c>
      <c r="BU19" s="323">
        <f t="shared" si="88"/>
        <v>0</v>
      </c>
      <c r="BV19" s="323">
        <f t="shared" si="89"/>
        <v>0</v>
      </c>
      <c r="BW19" s="323">
        <f t="shared" si="90"/>
        <v>0</v>
      </c>
      <c r="BX19" s="323">
        <f t="shared" si="91"/>
        <v>0</v>
      </c>
      <c r="BY19" s="323">
        <f t="shared" si="92"/>
        <v>0</v>
      </c>
      <c r="BZ19" s="323">
        <f t="shared" si="93"/>
        <v>0</v>
      </c>
      <c r="CA19" s="323">
        <f t="shared" si="94"/>
        <v>0</v>
      </c>
      <c r="CB19" s="55">
        <f t="shared" si="95"/>
        <v>0</v>
      </c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55">
        <f t="shared" si="96"/>
        <v>0</v>
      </c>
    </row>
    <row r="20" spans="1:110" s="27" customFormat="1" ht="24.75" customHeight="1" thickBot="1" x14ac:dyDescent="0.25">
      <c r="A20" s="30"/>
      <c r="B20" s="31" t="s">
        <v>4</v>
      </c>
      <c r="C20" s="31"/>
      <c r="D20" s="136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  <c r="R20" s="58"/>
      <c r="S20" s="32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59">
        <f t="shared" ref="AF20:BE20" si="97">SUM(AF16:AF19)</f>
        <v>3274000</v>
      </c>
      <c r="AG20" s="59">
        <f t="shared" si="97"/>
        <v>1617000</v>
      </c>
      <c r="AH20" s="59">
        <f t="shared" si="97"/>
        <v>1617000</v>
      </c>
      <c r="AI20" s="59">
        <f t="shared" si="97"/>
        <v>0</v>
      </c>
      <c r="AJ20" s="59">
        <f t="shared" si="97"/>
        <v>0</v>
      </c>
      <c r="AK20" s="59">
        <f t="shared" si="97"/>
        <v>0</v>
      </c>
      <c r="AL20" s="59">
        <f t="shared" si="97"/>
        <v>0</v>
      </c>
      <c r="AM20" s="59">
        <f t="shared" si="97"/>
        <v>0</v>
      </c>
      <c r="AN20" s="59">
        <f t="shared" si="97"/>
        <v>0</v>
      </c>
      <c r="AO20" s="59">
        <f t="shared" si="97"/>
        <v>0</v>
      </c>
      <c r="AP20" s="59">
        <f t="shared" si="97"/>
        <v>0</v>
      </c>
      <c r="AQ20" s="59">
        <f t="shared" si="97"/>
        <v>0</v>
      </c>
      <c r="AR20" s="59">
        <f t="shared" si="97"/>
        <v>0</v>
      </c>
      <c r="AS20" s="59">
        <f t="shared" si="97"/>
        <v>3234000</v>
      </c>
      <c r="AT20" s="59">
        <f t="shared" si="97"/>
        <v>185240</v>
      </c>
      <c r="AU20" s="681">
        <f t="shared" si="97"/>
        <v>185240</v>
      </c>
      <c r="AV20" s="59">
        <f t="shared" si="97"/>
        <v>0</v>
      </c>
      <c r="AW20" s="59">
        <f t="shared" si="97"/>
        <v>0</v>
      </c>
      <c r="AX20" s="59">
        <f t="shared" si="97"/>
        <v>0</v>
      </c>
      <c r="AY20" s="59">
        <f t="shared" si="97"/>
        <v>0</v>
      </c>
      <c r="AZ20" s="59">
        <f t="shared" si="97"/>
        <v>0</v>
      </c>
      <c r="BA20" s="59">
        <f t="shared" si="97"/>
        <v>0</v>
      </c>
      <c r="BB20" s="59">
        <f t="shared" si="97"/>
        <v>0</v>
      </c>
      <c r="BC20" s="59">
        <f t="shared" si="97"/>
        <v>0</v>
      </c>
      <c r="BD20" s="59">
        <f t="shared" si="97"/>
        <v>0</v>
      </c>
      <c r="BE20" s="59">
        <f t="shared" si="97"/>
        <v>0</v>
      </c>
      <c r="BF20" s="59">
        <f>SUM(BF16:BF19)</f>
        <v>370480</v>
      </c>
      <c r="BG20" s="60">
        <f>SUM(BG16:BG19)</f>
        <v>40000</v>
      </c>
      <c r="BH20" s="60">
        <f t="shared" ref="BH20:BI20" si="98">SUM(BH16:BH19)</f>
        <v>4911000</v>
      </c>
      <c r="BI20" s="60">
        <f t="shared" si="98"/>
        <v>1677000</v>
      </c>
      <c r="BJ20" s="113">
        <v>1</v>
      </c>
      <c r="BK20" s="36"/>
      <c r="BL20" s="556">
        <f>SUM(BL16:BL19)</f>
        <v>1431760</v>
      </c>
      <c r="BM20" s="556">
        <f t="shared" ref="BM20:BN20" si="99">SUM(BM16:BM19)</f>
        <v>1395000</v>
      </c>
      <c r="BN20" s="567">
        <f t="shared" si="99"/>
        <v>36760</v>
      </c>
      <c r="BO20" s="561"/>
      <c r="BP20" s="323"/>
      <c r="BQ20" s="323"/>
      <c r="BR20" s="556">
        <f t="shared" si="85"/>
        <v>0</v>
      </c>
      <c r="BS20" s="323">
        <f t="shared" si="86"/>
        <v>0</v>
      </c>
      <c r="BT20" s="323">
        <f t="shared" si="87"/>
        <v>0</v>
      </c>
      <c r="BU20" s="323">
        <f t="shared" si="88"/>
        <v>0</v>
      </c>
      <c r="BV20" s="323">
        <f t="shared" si="89"/>
        <v>0</v>
      </c>
      <c r="BW20" s="323">
        <f t="shared" si="90"/>
        <v>0</v>
      </c>
      <c r="BX20" s="323">
        <f t="shared" si="91"/>
        <v>0</v>
      </c>
      <c r="BY20" s="323">
        <f t="shared" si="92"/>
        <v>0</v>
      </c>
      <c r="BZ20" s="323">
        <f t="shared" si="93"/>
        <v>0</v>
      </c>
      <c r="CA20" s="323">
        <f t="shared" si="94"/>
        <v>0</v>
      </c>
      <c r="CB20" s="55">
        <f t="shared" si="95"/>
        <v>0</v>
      </c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3"/>
      <c r="CN20" s="323"/>
      <c r="CO20" s="55">
        <f t="shared" si="96"/>
        <v>0</v>
      </c>
    </row>
    <row r="21" spans="1:110" s="167" customFormat="1" ht="24.75" customHeight="1" x14ac:dyDescent="0.2">
      <c r="A21" s="185"/>
      <c r="D21" s="185"/>
      <c r="E21" s="185"/>
      <c r="F21" s="185"/>
      <c r="G21" s="241"/>
      <c r="H21" s="185"/>
      <c r="I21" s="291"/>
      <c r="J21" s="291"/>
      <c r="K21" s="185"/>
      <c r="L21" s="185"/>
      <c r="M21" s="185"/>
      <c r="N21" s="185"/>
      <c r="O21" s="185"/>
      <c r="P21" s="185"/>
      <c r="Q21" s="185"/>
      <c r="R21" s="185"/>
      <c r="AS21" s="191"/>
      <c r="AT21" s="232"/>
      <c r="BF21" s="220">
        <f>SUM(AS20+BF20)</f>
        <v>3604480</v>
      </c>
      <c r="BG21" s="186">
        <f>AF20-AS20</f>
        <v>40000</v>
      </c>
      <c r="BH21" s="221">
        <f>SUM(BI20+AS20)</f>
        <v>4911000</v>
      </c>
      <c r="BI21" s="187">
        <f>SUM(BG20)</f>
        <v>40000</v>
      </c>
      <c r="BJ21" s="183" t="s">
        <v>29</v>
      </c>
      <c r="BK21" s="287"/>
      <c r="BL21" s="164"/>
      <c r="BM21" s="165"/>
      <c r="BN21" s="628">
        <v>36760</v>
      </c>
      <c r="BO21" s="257"/>
      <c r="BP21" s="250"/>
      <c r="BQ21" s="250"/>
      <c r="BR21" s="250"/>
      <c r="BS21" s="257"/>
      <c r="BT21" s="250"/>
      <c r="BU21" s="250"/>
      <c r="BV21" s="250"/>
      <c r="BW21" s="257"/>
      <c r="BX21" s="250"/>
      <c r="BY21" s="250"/>
      <c r="BZ21" s="250"/>
      <c r="CA21" s="257"/>
      <c r="CB21" s="250"/>
      <c r="CC21" s="250"/>
      <c r="CD21" s="250"/>
      <c r="CE21" s="257"/>
      <c r="CF21" s="250"/>
      <c r="CG21" s="250"/>
      <c r="CH21" s="250"/>
      <c r="CI21" s="257"/>
      <c r="CJ21" s="250"/>
      <c r="CK21" s="250"/>
      <c r="CL21" s="250"/>
      <c r="CM21" s="257"/>
      <c r="CN21" s="250"/>
      <c r="CO21" s="250"/>
      <c r="CP21" s="250"/>
      <c r="CQ21" s="257"/>
      <c r="CR21" s="250"/>
      <c r="CS21" s="250"/>
      <c r="CT21" s="250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</row>
    <row r="22" spans="1:110" s="183" customFormat="1" ht="24.75" customHeight="1" x14ac:dyDescent="0.2">
      <c r="A22" s="230"/>
      <c r="D22" s="230"/>
      <c r="E22" s="230"/>
      <c r="F22" s="230"/>
      <c r="G22" s="164"/>
      <c r="H22" s="230"/>
      <c r="I22" s="294"/>
      <c r="J22" s="294"/>
      <c r="K22" s="230"/>
      <c r="L22" s="230"/>
      <c r="M22" s="230"/>
      <c r="N22" s="230"/>
      <c r="O22" s="230"/>
      <c r="P22" s="230"/>
      <c r="Q22" s="230"/>
      <c r="R22" s="230"/>
      <c r="AM22" s="233"/>
      <c r="AT22" s="233">
        <f>SUM(AG20+AT20)</f>
        <v>1802240</v>
      </c>
      <c r="AU22" s="233">
        <f>SUM(AH20+AU20)</f>
        <v>1802240</v>
      </c>
      <c r="AV22" s="233">
        <f>SUM(AI20+AV20)</f>
        <v>0</v>
      </c>
      <c r="AW22" s="233">
        <f t="shared" ref="AW22" si="100">SUM(AJ20+AW20)</f>
        <v>0</v>
      </c>
      <c r="AX22" s="233">
        <f>SUM(AK20+AX20)</f>
        <v>0</v>
      </c>
      <c r="AY22" s="233">
        <f t="shared" ref="AY22:BE22" si="101">SUM(AL20+AY20)</f>
        <v>0</v>
      </c>
      <c r="AZ22" s="233">
        <f t="shared" si="101"/>
        <v>0</v>
      </c>
      <c r="BA22" s="233">
        <f t="shared" si="101"/>
        <v>0</v>
      </c>
      <c r="BB22" s="233">
        <f t="shared" si="101"/>
        <v>0</v>
      </c>
      <c r="BC22" s="233">
        <f t="shared" si="101"/>
        <v>0</v>
      </c>
      <c r="BD22" s="233">
        <f t="shared" si="101"/>
        <v>0</v>
      </c>
      <c r="BE22" s="233">
        <f t="shared" si="101"/>
        <v>0</v>
      </c>
      <c r="BF22" s="233">
        <f>SUM(AT22:AY22)</f>
        <v>3604480</v>
      </c>
      <c r="BH22" s="231"/>
      <c r="BI22" s="189">
        <f>SUM(BI20-BI21)</f>
        <v>1637000</v>
      </c>
      <c r="BJ22" s="183" t="s">
        <v>28</v>
      </c>
      <c r="BK22" s="287"/>
      <c r="BL22" s="164"/>
      <c r="BM22" s="166"/>
      <c r="BN22" s="629">
        <v>36760</v>
      </c>
      <c r="BO22" s="629">
        <f>BN21+BN22</f>
        <v>73520</v>
      </c>
      <c r="BP22" s="251"/>
      <c r="BQ22" s="251"/>
      <c r="BR22" s="251"/>
      <c r="BS22" s="260"/>
      <c r="BT22" s="251"/>
      <c r="BU22" s="251"/>
      <c r="BV22" s="251"/>
      <c r="BW22" s="260"/>
      <c r="BX22" s="251"/>
      <c r="BY22" s="251"/>
      <c r="BZ22" s="251"/>
      <c r="CA22" s="260"/>
      <c r="CB22" s="251"/>
      <c r="CC22" s="251"/>
      <c r="CD22" s="251"/>
      <c r="CE22" s="260"/>
      <c r="CF22" s="251"/>
      <c r="CG22" s="251"/>
      <c r="CH22" s="251"/>
      <c r="CI22" s="260"/>
      <c r="CJ22" s="251"/>
      <c r="CK22" s="251"/>
      <c r="CL22" s="251"/>
      <c r="CM22" s="260"/>
      <c r="CN22" s="251"/>
      <c r="CO22" s="251"/>
      <c r="CP22" s="251"/>
      <c r="CQ22" s="260"/>
      <c r="CR22" s="251"/>
      <c r="CS22" s="251"/>
      <c r="CT22" s="251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</row>
    <row r="26" spans="1:110" s="16" customFormat="1" ht="16.5" customHeight="1" x14ac:dyDescent="0.2">
      <c r="A26" s="811" t="s">
        <v>7</v>
      </c>
      <c r="B26" s="812"/>
      <c r="C26" s="83" t="s">
        <v>96</v>
      </c>
      <c r="D26" s="134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6"/>
      <c r="AF26" s="17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7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7"/>
      <c r="BG26" s="87"/>
      <c r="BH26" s="84"/>
      <c r="BI26" s="88"/>
      <c r="BJ26" s="84"/>
      <c r="BK26" s="85"/>
      <c r="BL26" s="85"/>
      <c r="BM26" s="85"/>
      <c r="BN26" s="85"/>
      <c r="BO26" s="85"/>
      <c r="BP26" s="86"/>
      <c r="BQ26" s="85"/>
      <c r="BR26" s="85"/>
      <c r="BS26" s="85"/>
      <c r="BT26" s="85"/>
      <c r="BU26" s="85"/>
      <c r="BV26" s="87"/>
      <c r="BW26" s="87"/>
      <c r="BX26" s="87"/>
      <c r="BY26" s="84"/>
      <c r="BZ26" s="88"/>
      <c r="CA26" s="87"/>
      <c r="CB26" s="87"/>
      <c r="CC26" s="18"/>
      <c r="CD26" s="18"/>
      <c r="CE26" s="18"/>
      <c r="CF26" s="18"/>
      <c r="CG26" s="18"/>
      <c r="CH26" s="89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</row>
    <row r="27" spans="1:110" s="7" customFormat="1" ht="48.75" customHeight="1" x14ac:dyDescent="0.2">
      <c r="A27" s="813" t="s">
        <v>8</v>
      </c>
      <c r="B27" s="787" t="s">
        <v>9</v>
      </c>
      <c r="C27" s="787" t="s">
        <v>22</v>
      </c>
      <c r="D27" s="806" t="s">
        <v>10</v>
      </c>
      <c r="E27" s="806"/>
      <c r="F27" s="806"/>
      <c r="G27" s="806"/>
      <c r="H27" s="806"/>
      <c r="I27" s="806"/>
      <c r="J27" s="806"/>
      <c r="K27" s="806"/>
      <c r="L27" s="806"/>
      <c r="M27" s="806"/>
      <c r="N27" s="806"/>
      <c r="O27" s="806"/>
      <c r="P27" s="806"/>
      <c r="Q27" s="806"/>
      <c r="R27" s="787" t="s">
        <v>20</v>
      </c>
      <c r="S27" s="807" t="s">
        <v>17</v>
      </c>
      <c r="T27" s="808"/>
      <c r="U27" s="808"/>
      <c r="V27" s="808"/>
      <c r="W27" s="808"/>
      <c r="X27" s="808"/>
      <c r="Y27" s="808"/>
      <c r="Z27" s="808"/>
      <c r="AA27" s="808"/>
      <c r="AB27" s="808"/>
      <c r="AC27" s="808"/>
      <c r="AD27" s="808"/>
      <c r="AE27" s="809"/>
      <c r="AF27" s="810" t="s">
        <v>5</v>
      </c>
      <c r="AG27" s="810"/>
      <c r="AH27" s="810"/>
      <c r="AI27" s="810"/>
      <c r="AJ27" s="810"/>
      <c r="AK27" s="810"/>
      <c r="AL27" s="810"/>
      <c r="AM27" s="810"/>
      <c r="AN27" s="810"/>
      <c r="AO27" s="810"/>
      <c r="AP27" s="810"/>
      <c r="AQ27" s="810"/>
      <c r="AR27" s="810"/>
      <c r="AS27" s="810"/>
      <c r="AT27" s="800" t="s">
        <v>32</v>
      </c>
      <c r="AU27" s="801"/>
      <c r="AV27" s="801"/>
      <c r="AW27" s="801"/>
      <c r="AX27" s="801"/>
      <c r="AY27" s="801"/>
      <c r="AZ27" s="801"/>
      <c r="BA27" s="801"/>
      <c r="BB27" s="801"/>
      <c r="BC27" s="801"/>
      <c r="BD27" s="801"/>
      <c r="BE27" s="801"/>
      <c r="BF27" s="802"/>
      <c r="BG27" s="787" t="s">
        <v>29</v>
      </c>
      <c r="BH27" s="787" t="s">
        <v>57</v>
      </c>
      <c r="BI27" s="790" t="s">
        <v>30</v>
      </c>
      <c r="BJ27" s="84"/>
      <c r="BK27" s="17"/>
      <c r="BL27" s="84"/>
      <c r="BM27" s="84"/>
      <c r="BN27" s="84"/>
      <c r="BO27" s="84"/>
      <c r="BP27" s="774" t="s">
        <v>32</v>
      </c>
      <c r="BQ27" s="775"/>
      <c r="BR27" s="775"/>
      <c r="BS27" s="775"/>
      <c r="BT27" s="775"/>
      <c r="BU27" s="775"/>
      <c r="BV27" s="775"/>
      <c r="BW27" s="775"/>
      <c r="BX27" s="775"/>
      <c r="BY27" s="775"/>
      <c r="BZ27" s="775"/>
      <c r="CA27" s="775"/>
      <c r="CB27" s="775"/>
      <c r="CC27" s="775"/>
      <c r="CD27" s="775"/>
      <c r="CE27" s="775"/>
      <c r="CF27" s="775"/>
      <c r="CG27" s="775"/>
      <c r="CH27" s="775"/>
      <c r="CI27" s="775"/>
      <c r="CJ27" s="775"/>
      <c r="CK27" s="775"/>
      <c r="CL27" s="775"/>
      <c r="CM27" s="775"/>
      <c r="CN27" s="775"/>
      <c r="CO27" s="776"/>
    </row>
    <row r="28" spans="1:110" s="7" customFormat="1" ht="48.75" customHeight="1" x14ac:dyDescent="0.2">
      <c r="A28" s="814"/>
      <c r="B28" s="788"/>
      <c r="C28" s="788"/>
      <c r="D28" s="793" t="s">
        <v>18</v>
      </c>
      <c r="E28" s="795" t="s">
        <v>19</v>
      </c>
      <c r="F28" s="796"/>
      <c r="G28" s="796"/>
      <c r="H28" s="796"/>
      <c r="I28" s="796"/>
      <c r="J28" s="796"/>
      <c r="K28" s="796"/>
      <c r="L28" s="796"/>
      <c r="M28" s="796"/>
      <c r="N28" s="796"/>
      <c r="O28" s="796"/>
      <c r="P28" s="796"/>
      <c r="Q28" s="796"/>
      <c r="R28" s="788"/>
      <c r="S28" s="797" t="s">
        <v>18</v>
      </c>
      <c r="T28" s="795" t="s">
        <v>19</v>
      </c>
      <c r="U28" s="796"/>
      <c r="V28" s="796"/>
      <c r="W28" s="796"/>
      <c r="X28" s="796"/>
      <c r="Y28" s="796"/>
      <c r="Z28" s="796"/>
      <c r="AA28" s="796"/>
      <c r="AB28" s="796"/>
      <c r="AC28" s="796"/>
      <c r="AD28" s="796"/>
      <c r="AE28" s="799"/>
      <c r="AF28" s="797" t="s">
        <v>18</v>
      </c>
      <c r="AG28" s="795" t="s">
        <v>19</v>
      </c>
      <c r="AH28" s="796"/>
      <c r="AI28" s="796"/>
      <c r="AJ28" s="796"/>
      <c r="AK28" s="796"/>
      <c r="AL28" s="796"/>
      <c r="AM28" s="796"/>
      <c r="AN28" s="796"/>
      <c r="AO28" s="796"/>
      <c r="AP28" s="796"/>
      <c r="AQ28" s="796"/>
      <c r="AR28" s="796"/>
      <c r="AS28" s="799"/>
      <c r="AT28" s="803"/>
      <c r="AU28" s="804"/>
      <c r="AV28" s="804"/>
      <c r="AW28" s="804"/>
      <c r="AX28" s="804"/>
      <c r="AY28" s="804"/>
      <c r="AZ28" s="804"/>
      <c r="BA28" s="804"/>
      <c r="BB28" s="804"/>
      <c r="BC28" s="804"/>
      <c r="BD28" s="804"/>
      <c r="BE28" s="804"/>
      <c r="BF28" s="805"/>
      <c r="BG28" s="788"/>
      <c r="BH28" s="788"/>
      <c r="BI28" s="791"/>
      <c r="BJ28" s="84"/>
      <c r="BK28" s="17"/>
      <c r="BL28" s="777">
        <f>SUM(BL30/60)</f>
        <v>0</v>
      </c>
      <c r="BM28" s="777"/>
      <c r="BN28" s="777"/>
      <c r="BO28" s="17"/>
      <c r="BP28" s="778" t="s">
        <v>230</v>
      </c>
      <c r="BQ28" s="779"/>
      <c r="BR28" s="779"/>
      <c r="BS28" s="779"/>
      <c r="BT28" s="779"/>
      <c r="BU28" s="779"/>
      <c r="BV28" s="779"/>
      <c r="BW28" s="779"/>
      <c r="BX28" s="779"/>
      <c r="BY28" s="779"/>
      <c r="BZ28" s="779"/>
      <c r="CA28" s="779"/>
      <c r="CB28" s="780"/>
      <c r="CC28" s="781" t="s">
        <v>231</v>
      </c>
      <c r="CD28" s="782"/>
      <c r="CE28" s="782"/>
      <c r="CF28" s="782"/>
      <c r="CG28" s="782"/>
      <c r="CH28" s="782"/>
      <c r="CI28" s="782"/>
      <c r="CJ28" s="782"/>
      <c r="CK28" s="782"/>
      <c r="CL28" s="782"/>
      <c r="CM28" s="782"/>
      <c r="CN28" s="782"/>
      <c r="CO28" s="783"/>
    </row>
    <row r="29" spans="1:110" s="5" customFormat="1" ht="28.5" customHeight="1" x14ac:dyDescent="0.2">
      <c r="A29" s="815"/>
      <c r="B29" s="789"/>
      <c r="C29" s="789"/>
      <c r="D29" s="794"/>
      <c r="E29" s="20">
        <v>1</v>
      </c>
      <c r="F29" s="20">
        <v>2</v>
      </c>
      <c r="G29" s="20">
        <v>3</v>
      </c>
      <c r="H29" s="20">
        <v>4</v>
      </c>
      <c r="I29" s="20">
        <v>5</v>
      </c>
      <c r="J29" s="20">
        <v>6</v>
      </c>
      <c r="K29" s="20">
        <v>7</v>
      </c>
      <c r="L29" s="20">
        <v>8</v>
      </c>
      <c r="M29" s="20">
        <v>9</v>
      </c>
      <c r="N29" s="20">
        <v>10</v>
      </c>
      <c r="O29" s="20">
        <v>11</v>
      </c>
      <c r="P29" s="20">
        <v>12</v>
      </c>
      <c r="Q29" s="20" t="s">
        <v>21</v>
      </c>
      <c r="R29" s="789"/>
      <c r="S29" s="798"/>
      <c r="T29" s="20">
        <v>1</v>
      </c>
      <c r="U29" s="20">
        <v>2</v>
      </c>
      <c r="V29" s="20">
        <v>3</v>
      </c>
      <c r="W29" s="20">
        <v>4</v>
      </c>
      <c r="X29" s="20">
        <v>5</v>
      </c>
      <c r="Y29" s="20">
        <v>6</v>
      </c>
      <c r="Z29" s="20">
        <v>7</v>
      </c>
      <c r="AA29" s="20">
        <v>8</v>
      </c>
      <c r="AB29" s="20">
        <v>9</v>
      </c>
      <c r="AC29" s="20">
        <v>10</v>
      </c>
      <c r="AD29" s="20">
        <v>11</v>
      </c>
      <c r="AE29" s="20">
        <v>12</v>
      </c>
      <c r="AF29" s="798"/>
      <c r="AG29" s="20">
        <v>1</v>
      </c>
      <c r="AH29" s="617">
        <v>2</v>
      </c>
      <c r="AI29" s="20">
        <v>3</v>
      </c>
      <c r="AJ29" s="20">
        <v>4</v>
      </c>
      <c r="AK29" s="20">
        <v>5</v>
      </c>
      <c r="AL29" s="20">
        <v>6</v>
      </c>
      <c r="AM29" s="20">
        <v>7</v>
      </c>
      <c r="AN29" s="20">
        <v>8</v>
      </c>
      <c r="AO29" s="20">
        <v>9</v>
      </c>
      <c r="AP29" s="20">
        <v>10</v>
      </c>
      <c r="AQ29" s="20">
        <v>11</v>
      </c>
      <c r="AR29" s="20">
        <v>12</v>
      </c>
      <c r="AS29" s="20" t="s">
        <v>13</v>
      </c>
      <c r="AT29" s="111">
        <v>1</v>
      </c>
      <c r="AU29" s="111">
        <v>2</v>
      </c>
      <c r="AV29" s="111">
        <v>3</v>
      </c>
      <c r="AW29" s="111">
        <v>4</v>
      </c>
      <c r="AX29" s="111">
        <v>5</v>
      </c>
      <c r="AY29" s="111">
        <v>6</v>
      </c>
      <c r="AZ29" s="111">
        <v>7</v>
      </c>
      <c r="BA29" s="111">
        <v>8</v>
      </c>
      <c r="BB29" s="111">
        <v>9</v>
      </c>
      <c r="BC29" s="111">
        <v>10</v>
      </c>
      <c r="BD29" s="111">
        <v>11</v>
      </c>
      <c r="BE29" s="111">
        <v>12</v>
      </c>
      <c r="BF29" s="20" t="s">
        <v>13</v>
      </c>
      <c r="BG29" s="789"/>
      <c r="BH29" s="789"/>
      <c r="BI29" s="792"/>
      <c r="BJ29" s="6"/>
      <c r="BK29" s="21"/>
      <c r="BL29" s="784"/>
      <c r="BM29" s="785"/>
      <c r="BN29" s="786"/>
      <c r="BO29" s="337"/>
      <c r="BP29" s="111">
        <v>1</v>
      </c>
      <c r="BQ29" s="111">
        <v>2</v>
      </c>
      <c r="BR29" s="111">
        <v>3</v>
      </c>
      <c r="BS29" s="111">
        <v>4</v>
      </c>
      <c r="BT29" s="111">
        <v>5</v>
      </c>
      <c r="BU29" s="111">
        <v>6</v>
      </c>
      <c r="BV29" s="111">
        <v>7</v>
      </c>
      <c r="BW29" s="111">
        <v>8</v>
      </c>
      <c r="BX29" s="111">
        <v>9</v>
      </c>
      <c r="BY29" s="111">
        <v>10</v>
      </c>
      <c r="BZ29" s="111">
        <v>11</v>
      </c>
      <c r="CA29" s="111">
        <v>12</v>
      </c>
      <c r="CB29" s="20" t="s">
        <v>13</v>
      </c>
      <c r="CC29" s="111">
        <v>1</v>
      </c>
      <c r="CD29" s="111">
        <v>2</v>
      </c>
      <c r="CE29" s="111">
        <v>3</v>
      </c>
      <c r="CF29" s="111">
        <v>4</v>
      </c>
      <c r="CG29" s="111">
        <v>5</v>
      </c>
      <c r="CH29" s="111">
        <v>6</v>
      </c>
      <c r="CI29" s="111">
        <v>7</v>
      </c>
      <c r="CJ29" s="111">
        <v>8</v>
      </c>
      <c r="CK29" s="111">
        <v>9</v>
      </c>
      <c r="CL29" s="111">
        <v>10</v>
      </c>
      <c r="CM29" s="111">
        <v>11</v>
      </c>
      <c r="CN29" s="111">
        <v>12</v>
      </c>
      <c r="CO29" s="20" t="s">
        <v>13</v>
      </c>
    </row>
    <row r="30" spans="1:110" s="6" customFormat="1" ht="24.75" customHeight="1" x14ac:dyDescent="0.2">
      <c r="A30" s="29"/>
      <c r="B30" s="91" t="s">
        <v>51</v>
      </c>
      <c r="C30" s="22" t="s">
        <v>75</v>
      </c>
      <c r="D30" s="140">
        <v>84</v>
      </c>
      <c r="E30" s="61"/>
      <c r="F30" s="426">
        <v>84</v>
      </c>
      <c r="G30" s="745"/>
      <c r="H30" s="744"/>
      <c r="I30" s="23"/>
      <c r="J30" s="23"/>
      <c r="K30" s="23"/>
      <c r="L30" s="23"/>
      <c r="M30" s="23"/>
      <c r="N30" s="23"/>
      <c r="O30" s="23"/>
      <c r="P30" s="23"/>
      <c r="Q30" s="24">
        <f>SUM(E30:P30)</f>
        <v>84</v>
      </c>
      <c r="R30" s="62" t="s">
        <v>6</v>
      </c>
      <c r="S30" s="92">
        <v>11400</v>
      </c>
      <c r="T30" s="63"/>
      <c r="U30" s="427">
        <v>10000</v>
      </c>
      <c r="V30" s="733"/>
      <c r="W30" s="746"/>
      <c r="X30" s="25"/>
      <c r="Y30" s="25"/>
      <c r="Z30" s="25"/>
      <c r="AA30" s="25"/>
      <c r="AB30" s="25"/>
      <c r="AC30" s="25"/>
      <c r="AD30" s="25"/>
      <c r="AE30" s="25"/>
      <c r="AF30" s="51">
        <f>Q30*S30</f>
        <v>957600</v>
      </c>
      <c r="AG30" s="52">
        <f t="shared" ref="AG30:AG33" si="102">T30*E30</f>
        <v>0</v>
      </c>
      <c r="AH30" s="570">
        <f t="shared" ref="AH30:AH33" si="103">U30*F30</f>
        <v>840000</v>
      </c>
      <c r="AI30" s="729">
        <f t="shared" ref="AI30:AI33" si="104">V30*G30</f>
        <v>0</v>
      </c>
      <c r="AJ30" s="570">
        <f t="shared" ref="AJ30:AJ33" si="105">W30*H30</f>
        <v>0</v>
      </c>
      <c r="AK30" s="52">
        <f t="shared" ref="AK30:AK33" si="106">X30*I30</f>
        <v>0</v>
      </c>
      <c r="AL30" s="52">
        <f t="shared" ref="AL30:AL33" si="107">Y30*J30</f>
        <v>0</v>
      </c>
      <c r="AM30" s="52">
        <f t="shared" ref="AM30:AM33" si="108">Z30*K30</f>
        <v>0</v>
      </c>
      <c r="AN30" s="52">
        <f t="shared" ref="AN30:AN33" si="109">AA30*L30</f>
        <v>0</v>
      </c>
      <c r="AO30" s="52">
        <f t="shared" ref="AO30:AO33" si="110">AB30*M30</f>
        <v>0</v>
      </c>
      <c r="AP30" s="52">
        <f t="shared" ref="AP30:AP33" si="111">AC30*N30</f>
        <v>0</v>
      </c>
      <c r="AQ30" s="52">
        <f t="shared" ref="AQ30:AQ33" si="112">AD30*O30</f>
        <v>0</v>
      </c>
      <c r="AR30" s="52">
        <f t="shared" ref="AR30:AR33" si="113">AE30*P30</f>
        <v>0</v>
      </c>
      <c r="AS30" s="53">
        <f>SUM(AG30:AR30)</f>
        <v>840000</v>
      </c>
      <c r="AT30" s="52">
        <f>SUM(AG30*4%)</f>
        <v>0</v>
      </c>
      <c r="AU30" s="52">
        <v>0</v>
      </c>
      <c r="AV30" s="52">
        <f t="shared" ref="AV30:AV33" si="114">SUM(AI30*4%)</f>
        <v>0</v>
      </c>
      <c r="AW30" s="52">
        <f>SUM(AJ30*4%)</f>
        <v>0</v>
      </c>
      <c r="AX30" s="52">
        <f t="shared" ref="AX30:AX33" si="115">SUM(AK30*14%)</f>
        <v>0</v>
      </c>
      <c r="AY30" s="52">
        <f t="shared" ref="AY30:AY33" si="116">SUM(AL30*14%)</f>
        <v>0</v>
      </c>
      <c r="AZ30" s="52">
        <f t="shared" ref="AZ30:AZ33" si="117">SUM(AM30*14%)</f>
        <v>0</v>
      </c>
      <c r="BA30" s="52">
        <f t="shared" ref="BA30:BA33" si="118">SUM(AN30*14%)</f>
        <v>0</v>
      </c>
      <c r="BB30" s="52">
        <f t="shared" ref="BB30:BB33" si="119">SUM(AO30*14%)</f>
        <v>0</v>
      </c>
      <c r="BC30" s="52">
        <f t="shared" ref="BC30:BC33" si="120">SUM(AP30*14%)</f>
        <v>0</v>
      </c>
      <c r="BD30" s="52">
        <f t="shared" ref="BD30:BD33" si="121">SUM(AQ30*14%)</f>
        <v>0</v>
      </c>
      <c r="BE30" s="52">
        <f t="shared" ref="BE30:BE33" si="122">SUM(AR30*14%)</f>
        <v>0</v>
      </c>
      <c r="BF30" s="54">
        <f>SUM(AT30:BE30)</f>
        <v>0</v>
      </c>
      <c r="BG30" s="55">
        <f>AF30-AS30-BF30</f>
        <v>117600</v>
      </c>
      <c r="BH30" s="56">
        <f>S30*D30</f>
        <v>957600</v>
      </c>
      <c r="BI30" s="57">
        <f>BH30-AS30</f>
        <v>117600</v>
      </c>
      <c r="BJ30" s="112">
        <f>SUM(Q30/D30)</f>
        <v>1</v>
      </c>
      <c r="BK30" s="26"/>
      <c r="BL30" s="556"/>
      <c r="BM30" s="556"/>
      <c r="BN30" s="567"/>
      <c r="BO30" s="561"/>
      <c r="BP30" s="323"/>
      <c r="BQ30" s="323"/>
      <c r="BR30" s="556">
        <f t="shared" ref="BR30:BR31" si="123">SUM(AI30*12.5%)</f>
        <v>0</v>
      </c>
      <c r="BS30" s="323">
        <f t="shared" ref="BS30:CA31" si="124">SUM(AJ30*12.5%)</f>
        <v>0</v>
      </c>
      <c r="BT30" s="323">
        <f t="shared" si="124"/>
        <v>0</v>
      </c>
      <c r="BU30" s="323">
        <f t="shared" si="124"/>
        <v>0</v>
      </c>
      <c r="BV30" s="323">
        <f t="shared" si="124"/>
        <v>0</v>
      </c>
      <c r="BW30" s="323">
        <f t="shared" si="124"/>
        <v>0</v>
      </c>
      <c r="BX30" s="323">
        <f t="shared" si="124"/>
        <v>0</v>
      </c>
      <c r="BY30" s="323">
        <f t="shared" si="124"/>
        <v>0</v>
      </c>
      <c r="BZ30" s="323">
        <f t="shared" si="124"/>
        <v>0</v>
      </c>
      <c r="CA30" s="323">
        <f t="shared" si="124"/>
        <v>0</v>
      </c>
      <c r="CB30" s="55">
        <f t="shared" ref="CB30" si="125">SUM(BP30:CA30)</f>
        <v>0</v>
      </c>
      <c r="CC30" s="323"/>
      <c r="CD30" s="323"/>
      <c r="CE30" s="323"/>
      <c r="CF30" s="323"/>
      <c r="CG30" s="323"/>
      <c r="CH30" s="323"/>
      <c r="CI30" s="323"/>
      <c r="CJ30" s="323"/>
      <c r="CK30" s="323"/>
      <c r="CL30" s="323"/>
      <c r="CM30" s="323"/>
      <c r="CN30" s="323"/>
      <c r="CO30" s="55">
        <f t="shared" ref="CO30:CO31" si="126">SUM(CC30:CN30)</f>
        <v>0</v>
      </c>
    </row>
    <row r="31" spans="1:110" s="6" customFormat="1" ht="24.75" customHeight="1" x14ac:dyDescent="0.2">
      <c r="A31" s="29"/>
      <c r="B31" s="91" t="s">
        <v>97</v>
      </c>
      <c r="C31" s="22" t="s">
        <v>75</v>
      </c>
      <c r="D31" s="140">
        <v>2</v>
      </c>
      <c r="E31" s="61">
        <v>2</v>
      </c>
      <c r="F31" s="426"/>
      <c r="G31" s="745"/>
      <c r="H31" s="744"/>
      <c r="I31" s="23"/>
      <c r="J31" s="23"/>
      <c r="K31" s="23"/>
      <c r="L31" s="23"/>
      <c r="M31" s="23"/>
      <c r="N31" s="23"/>
      <c r="O31" s="23"/>
      <c r="P31" s="23"/>
      <c r="Q31" s="24">
        <f>SUM(E31:P31)</f>
        <v>2</v>
      </c>
      <c r="R31" s="62" t="s">
        <v>15</v>
      </c>
      <c r="S31" s="92">
        <v>275000</v>
      </c>
      <c r="T31" s="92">
        <v>275000</v>
      </c>
      <c r="U31" s="427"/>
      <c r="V31" s="733"/>
      <c r="W31" s="746"/>
      <c r="X31" s="25"/>
      <c r="Y31" s="25"/>
      <c r="Z31" s="25"/>
      <c r="AA31" s="25"/>
      <c r="AB31" s="25"/>
      <c r="AC31" s="25"/>
      <c r="AD31" s="25"/>
      <c r="AE31" s="25"/>
      <c r="AF31" s="51">
        <f t="shared" ref="AF31:AF33" si="127">Q31*S31</f>
        <v>550000</v>
      </c>
      <c r="AG31" s="52">
        <f t="shared" si="102"/>
        <v>550000</v>
      </c>
      <c r="AH31" s="570">
        <f t="shared" si="103"/>
        <v>0</v>
      </c>
      <c r="AI31" s="729">
        <f t="shared" si="104"/>
        <v>0</v>
      </c>
      <c r="AJ31" s="570">
        <f t="shared" si="105"/>
        <v>0</v>
      </c>
      <c r="AK31" s="52">
        <f t="shared" si="106"/>
        <v>0</v>
      </c>
      <c r="AL31" s="52">
        <f t="shared" si="107"/>
        <v>0</v>
      </c>
      <c r="AM31" s="52">
        <f t="shared" si="108"/>
        <v>0</v>
      </c>
      <c r="AN31" s="52">
        <f t="shared" si="109"/>
        <v>0</v>
      </c>
      <c r="AO31" s="52">
        <f t="shared" si="110"/>
        <v>0</v>
      </c>
      <c r="AP31" s="52">
        <f t="shared" si="111"/>
        <v>0</v>
      </c>
      <c r="AQ31" s="52">
        <f t="shared" si="112"/>
        <v>0</v>
      </c>
      <c r="AR31" s="52">
        <f t="shared" si="113"/>
        <v>0</v>
      </c>
      <c r="AS31" s="53">
        <f>SUM(AG31:AR31)</f>
        <v>550000</v>
      </c>
      <c r="AT31" s="52"/>
      <c r="AU31" s="52">
        <f t="shared" ref="AU31:AU33" si="128">SUM(AH31*4%)</f>
        <v>0</v>
      </c>
      <c r="AV31" s="52">
        <f t="shared" si="114"/>
        <v>0</v>
      </c>
      <c r="AW31" s="52">
        <f>SUM(AJ31*4%)</f>
        <v>0</v>
      </c>
      <c r="AX31" s="52">
        <f t="shared" si="115"/>
        <v>0</v>
      </c>
      <c r="AY31" s="52">
        <f t="shared" si="116"/>
        <v>0</v>
      </c>
      <c r="AZ31" s="52">
        <f t="shared" si="117"/>
        <v>0</v>
      </c>
      <c r="BA31" s="52">
        <f t="shared" si="118"/>
        <v>0</v>
      </c>
      <c r="BB31" s="52">
        <f t="shared" si="119"/>
        <v>0</v>
      </c>
      <c r="BC31" s="52">
        <f t="shared" si="120"/>
        <v>0</v>
      </c>
      <c r="BD31" s="52">
        <f t="shared" si="121"/>
        <v>0</v>
      </c>
      <c r="BE31" s="52">
        <f t="shared" si="122"/>
        <v>0</v>
      </c>
      <c r="BF31" s="54">
        <f>SUM(AT31:BE31)</f>
        <v>0</v>
      </c>
      <c r="BG31" s="55">
        <f>AF31-AS31-BF31</f>
        <v>0</v>
      </c>
      <c r="BH31" s="56">
        <f>S31*D31</f>
        <v>550000</v>
      </c>
      <c r="BI31" s="57">
        <f>BH31-AS31-BF31</f>
        <v>0</v>
      </c>
      <c r="BJ31" s="112">
        <f>SUM(Q31/D31)</f>
        <v>1</v>
      </c>
      <c r="BK31" s="26"/>
      <c r="BL31" s="556"/>
      <c r="BM31" s="556"/>
      <c r="BN31" s="567"/>
      <c r="BO31" s="561"/>
      <c r="BP31" s="323"/>
      <c r="BQ31" s="323"/>
      <c r="BR31" s="556">
        <f t="shared" si="123"/>
        <v>0</v>
      </c>
      <c r="BS31" s="323">
        <f t="shared" si="124"/>
        <v>0</v>
      </c>
      <c r="BT31" s="323">
        <f t="shared" si="124"/>
        <v>0</v>
      </c>
      <c r="BU31" s="323">
        <f t="shared" si="124"/>
        <v>0</v>
      </c>
      <c r="BV31" s="323">
        <f t="shared" si="124"/>
        <v>0</v>
      </c>
      <c r="BW31" s="323">
        <f t="shared" si="124"/>
        <v>0</v>
      </c>
      <c r="BX31" s="323">
        <f t="shared" si="124"/>
        <v>0</v>
      </c>
      <c r="BY31" s="323">
        <f t="shared" si="124"/>
        <v>0</v>
      </c>
      <c r="BZ31" s="323">
        <f t="shared" si="124"/>
        <v>0</v>
      </c>
      <c r="CA31" s="323">
        <f t="shared" si="124"/>
        <v>0</v>
      </c>
      <c r="CB31" s="55">
        <f t="shared" ref="CB31" si="129">SUM(BP31:CA31)</f>
        <v>0</v>
      </c>
      <c r="CC31" s="323"/>
      <c r="CD31" s="323"/>
      <c r="CE31" s="323"/>
      <c r="CF31" s="323"/>
      <c r="CG31" s="323"/>
      <c r="CH31" s="323"/>
      <c r="CI31" s="323"/>
      <c r="CJ31" s="323"/>
      <c r="CK31" s="323"/>
      <c r="CL31" s="323"/>
      <c r="CM31" s="323"/>
      <c r="CN31" s="323"/>
      <c r="CO31" s="55">
        <f t="shared" si="126"/>
        <v>0</v>
      </c>
    </row>
    <row r="32" spans="1:110" s="6" customFormat="1" ht="24.75" customHeight="1" x14ac:dyDescent="0.2">
      <c r="A32" s="29"/>
      <c r="B32" s="91" t="s">
        <v>54</v>
      </c>
      <c r="C32" s="22" t="s">
        <v>75</v>
      </c>
      <c r="D32" s="140">
        <v>1</v>
      </c>
      <c r="E32" s="61"/>
      <c r="F32" s="426"/>
      <c r="G32" s="745"/>
      <c r="H32" s="744"/>
      <c r="I32" s="67"/>
      <c r="J32" s="23"/>
      <c r="K32" s="23"/>
      <c r="L32" s="23"/>
      <c r="M32" s="23"/>
      <c r="N32" s="23"/>
      <c r="O32" s="23"/>
      <c r="P32" s="23"/>
      <c r="Q32" s="24">
        <f>SUM(E32:P32)</f>
        <v>0</v>
      </c>
      <c r="R32" s="62" t="s">
        <v>15</v>
      </c>
      <c r="S32" s="92">
        <v>2900</v>
      </c>
      <c r="T32" s="63"/>
      <c r="U32" s="427"/>
      <c r="V32" s="733"/>
      <c r="W32" s="746"/>
      <c r="X32" s="25"/>
      <c r="Y32" s="25"/>
      <c r="Z32" s="25"/>
      <c r="AA32" s="25"/>
      <c r="AB32" s="25"/>
      <c r="AC32" s="25"/>
      <c r="AD32" s="25"/>
      <c r="AE32" s="25"/>
      <c r="AF32" s="51">
        <f t="shared" si="127"/>
        <v>0</v>
      </c>
      <c r="AG32" s="52">
        <f t="shared" si="102"/>
        <v>0</v>
      </c>
      <c r="AH32" s="570">
        <f t="shared" si="103"/>
        <v>0</v>
      </c>
      <c r="AI32" s="729">
        <f t="shared" si="104"/>
        <v>0</v>
      </c>
      <c r="AJ32" s="570">
        <f t="shared" si="105"/>
        <v>0</v>
      </c>
      <c r="AK32" s="52">
        <f t="shared" si="106"/>
        <v>0</v>
      </c>
      <c r="AL32" s="52">
        <f t="shared" si="107"/>
        <v>0</v>
      </c>
      <c r="AM32" s="52">
        <f t="shared" si="108"/>
        <v>0</v>
      </c>
      <c r="AN32" s="52">
        <f t="shared" si="109"/>
        <v>0</v>
      </c>
      <c r="AO32" s="52">
        <f t="shared" si="110"/>
        <v>0</v>
      </c>
      <c r="AP32" s="52">
        <f t="shared" si="111"/>
        <v>0</v>
      </c>
      <c r="AQ32" s="52">
        <f t="shared" si="112"/>
        <v>0</v>
      </c>
      <c r="AR32" s="52">
        <f t="shared" si="113"/>
        <v>0</v>
      </c>
      <c r="AS32" s="53">
        <f>SUM(AG32:AR32)</f>
        <v>0</v>
      </c>
      <c r="AT32" s="52">
        <f>SUM(AG32*4%)</f>
        <v>0</v>
      </c>
      <c r="AU32" s="52">
        <f t="shared" si="128"/>
        <v>0</v>
      </c>
      <c r="AV32" s="52">
        <f t="shared" si="114"/>
        <v>0</v>
      </c>
      <c r="AW32" s="52">
        <f>SUM(AJ32*4%)</f>
        <v>0</v>
      </c>
      <c r="AX32" s="52">
        <f t="shared" si="115"/>
        <v>0</v>
      </c>
      <c r="AY32" s="52">
        <f t="shared" si="116"/>
        <v>0</v>
      </c>
      <c r="AZ32" s="52">
        <f t="shared" si="117"/>
        <v>0</v>
      </c>
      <c r="BA32" s="52">
        <f t="shared" si="118"/>
        <v>0</v>
      </c>
      <c r="BB32" s="52">
        <f t="shared" si="119"/>
        <v>0</v>
      </c>
      <c r="BC32" s="52">
        <f t="shared" si="120"/>
        <v>0</v>
      </c>
      <c r="BD32" s="52">
        <f t="shared" si="121"/>
        <v>0</v>
      </c>
      <c r="BE32" s="52">
        <f t="shared" si="122"/>
        <v>0</v>
      </c>
      <c r="BF32" s="54">
        <f>SUM(AT32:BE32)</f>
        <v>0</v>
      </c>
      <c r="BG32" s="55">
        <f>AF32-AS32-BF32</f>
        <v>0</v>
      </c>
      <c r="BH32" s="56">
        <f>S32*D32</f>
        <v>2900</v>
      </c>
      <c r="BI32" s="57">
        <f>BH32-AS32</f>
        <v>2900</v>
      </c>
      <c r="BJ32" s="112">
        <f>SUM(Q32/D32)</f>
        <v>0</v>
      </c>
      <c r="BK32" s="26"/>
      <c r="BL32" s="556"/>
      <c r="BM32" s="556"/>
      <c r="BN32" s="567"/>
      <c r="BO32" s="561"/>
      <c r="BP32" s="323"/>
      <c r="BQ32" s="323"/>
      <c r="BR32" s="556">
        <f t="shared" ref="BR32:BR34" si="130">SUM(AI32*12.5%)</f>
        <v>0</v>
      </c>
      <c r="BS32" s="323">
        <f t="shared" ref="BS32:BS34" si="131">SUM(AJ32*12.5%)</f>
        <v>0</v>
      </c>
      <c r="BT32" s="323">
        <f t="shared" ref="BT32:BT34" si="132">SUM(AK32*12.5%)</f>
        <v>0</v>
      </c>
      <c r="BU32" s="323">
        <f t="shared" ref="BU32:BU34" si="133">SUM(AL32*12.5%)</f>
        <v>0</v>
      </c>
      <c r="BV32" s="323">
        <f t="shared" ref="BV32:BV34" si="134">SUM(AM32*12.5%)</f>
        <v>0</v>
      </c>
      <c r="BW32" s="323">
        <f t="shared" ref="BW32:BW34" si="135">SUM(AN32*12.5%)</f>
        <v>0</v>
      </c>
      <c r="BX32" s="323">
        <f t="shared" ref="BX32:BX34" si="136">SUM(AO32*12.5%)</f>
        <v>0</v>
      </c>
      <c r="BY32" s="323">
        <f t="shared" ref="BY32:BY34" si="137">SUM(AP32*12.5%)</f>
        <v>0</v>
      </c>
      <c r="BZ32" s="323">
        <f t="shared" ref="BZ32:BZ34" si="138">SUM(AQ32*12.5%)</f>
        <v>0</v>
      </c>
      <c r="CA32" s="323">
        <f t="shared" ref="CA32:CA34" si="139">SUM(AR32*12.5%)</f>
        <v>0</v>
      </c>
      <c r="CB32" s="55">
        <f t="shared" ref="CB32:CB34" si="140">SUM(BP32:CA32)</f>
        <v>0</v>
      </c>
      <c r="CC32" s="323"/>
      <c r="CD32" s="323"/>
      <c r="CE32" s="323"/>
      <c r="CF32" s="323"/>
      <c r="CG32" s="323"/>
      <c r="CH32" s="323"/>
      <c r="CI32" s="323"/>
      <c r="CJ32" s="323"/>
      <c r="CK32" s="323"/>
      <c r="CL32" s="323"/>
      <c r="CM32" s="323"/>
      <c r="CN32" s="323"/>
      <c r="CO32" s="55">
        <f t="shared" ref="CO32:CO34" si="141">SUM(CC32:CN32)</f>
        <v>0</v>
      </c>
    </row>
    <row r="33" spans="1:110" s="6" customFormat="1" ht="24.75" customHeight="1" thickBot="1" x14ac:dyDescent="0.25">
      <c r="A33" s="29"/>
      <c r="B33" s="91" t="s">
        <v>98</v>
      </c>
      <c r="C33" s="22" t="s">
        <v>75</v>
      </c>
      <c r="D33" s="140">
        <v>6</v>
      </c>
      <c r="E33" s="61"/>
      <c r="F33" s="426"/>
      <c r="G33" s="724">
        <v>3</v>
      </c>
      <c r="H33" s="744"/>
      <c r="I33" s="23"/>
      <c r="J33" s="23"/>
      <c r="K33" s="23"/>
      <c r="L33" s="23"/>
      <c r="M33" s="23"/>
      <c r="N33" s="23"/>
      <c r="O33" s="23"/>
      <c r="P33" s="23"/>
      <c r="Q33" s="24">
        <f>SUM(E33:P33)</f>
        <v>3</v>
      </c>
      <c r="R33" s="62" t="s">
        <v>99</v>
      </c>
      <c r="S33" s="92">
        <v>28400</v>
      </c>
      <c r="T33" s="63"/>
      <c r="U33" s="427"/>
      <c r="V33" s="733">
        <v>25500</v>
      </c>
      <c r="W33" s="746"/>
      <c r="X33" s="25"/>
      <c r="Y33" s="25"/>
      <c r="Z33" s="25"/>
      <c r="AA33" s="25"/>
      <c r="AB33" s="25"/>
      <c r="AC33" s="25"/>
      <c r="AD33" s="25"/>
      <c r="AE33" s="25"/>
      <c r="AF33" s="51">
        <f t="shared" si="127"/>
        <v>85200</v>
      </c>
      <c r="AG33" s="52">
        <f t="shared" si="102"/>
        <v>0</v>
      </c>
      <c r="AH33" s="570">
        <f t="shared" si="103"/>
        <v>0</v>
      </c>
      <c r="AI33" s="729">
        <f t="shared" si="104"/>
        <v>76500</v>
      </c>
      <c r="AJ33" s="570">
        <f t="shared" si="105"/>
        <v>0</v>
      </c>
      <c r="AK33" s="52">
        <f t="shared" si="106"/>
        <v>0</v>
      </c>
      <c r="AL33" s="52">
        <f t="shared" si="107"/>
        <v>0</v>
      </c>
      <c r="AM33" s="52">
        <f t="shared" si="108"/>
        <v>0</v>
      </c>
      <c r="AN33" s="52">
        <f t="shared" si="109"/>
        <v>0</v>
      </c>
      <c r="AO33" s="52">
        <f t="shared" si="110"/>
        <v>0</v>
      </c>
      <c r="AP33" s="52">
        <f t="shared" si="111"/>
        <v>0</v>
      </c>
      <c r="AQ33" s="52">
        <f t="shared" si="112"/>
        <v>0</v>
      </c>
      <c r="AR33" s="52">
        <f t="shared" si="113"/>
        <v>0</v>
      </c>
      <c r="AS33" s="53">
        <f>SUM(AG33:AR33)</f>
        <v>76500</v>
      </c>
      <c r="AT33" s="52">
        <f t="shared" ref="AT33" si="142">SUM(AG33*4%)</f>
        <v>0</v>
      </c>
      <c r="AU33" s="52">
        <f t="shared" si="128"/>
        <v>0</v>
      </c>
      <c r="AV33" s="52">
        <f t="shared" si="114"/>
        <v>3060</v>
      </c>
      <c r="AW33" s="52">
        <f>SUM(AJ33*4%)</f>
        <v>0</v>
      </c>
      <c r="AX33" s="52">
        <f t="shared" si="115"/>
        <v>0</v>
      </c>
      <c r="AY33" s="52">
        <f t="shared" si="116"/>
        <v>0</v>
      </c>
      <c r="AZ33" s="52">
        <f t="shared" si="117"/>
        <v>0</v>
      </c>
      <c r="BA33" s="52">
        <f t="shared" si="118"/>
        <v>0</v>
      </c>
      <c r="BB33" s="52">
        <f t="shared" si="119"/>
        <v>0</v>
      </c>
      <c r="BC33" s="52">
        <f t="shared" si="120"/>
        <v>0</v>
      </c>
      <c r="BD33" s="52">
        <f t="shared" si="121"/>
        <v>0</v>
      </c>
      <c r="BE33" s="52">
        <f t="shared" si="122"/>
        <v>0</v>
      </c>
      <c r="BF33" s="54">
        <f>SUM(AT33:BE33)</f>
        <v>3060</v>
      </c>
      <c r="BG33" s="55">
        <f>AF33-AS33-BF33</f>
        <v>5640</v>
      </c>
      <c r="BH33" s="56">
        <f>S33*D33</f>
        <v>170400</v>
      </c>
      <c r="BI33" s="57">
        <f>BH33-AS33</f>
        <v>93900</v>
      </c>
      <c r="BJ33" s="112">
        <f>SUM(Q33/D33)</f>
        <v>0.5</v>
      </c>
      <c r="BK33" s="26"/>
      <c r="BL33" s="556"/>
      <c r="BM33" s="556"/>
      <c r="BN33" s="567"/>
      <c r="BO33" s="561"/>
      <c r="BP33" s="323"/>
      <c r="BQ33" s="323"/>
      <c r="BR33" s="556">
        <f t="shared" si="130"/>
        <v>9562.5</v>
      </c>
      <c r="BS33" s="323">
        <f t="shared" si="131"/>
        <v>0</v>
      </c>
      <c r="BT33" s="323">
        <f t="shared" si="132"/>
        <v>0</v>
      </c>
      <c r="BU33" s="323">
        <f t="shared" si="133"/>
        <v>0</v>
      </c>
      <c r="BV33" s="323">
        <f t="shared" si="134"/>
        <v>0</v>
      </c>
      <c r="BW33" s="323">
        <f t="shared" si="135"/>
        <v>0</v>
      </c>
      <c r="BX33" s="323">
        <f t="shared" si="136"/>
        <v>0</v>
      </c>
      <c r="BY33" s="323">
        <f t="shared" si="137"/>
        <v>0</v>
      </c>
      <c r="BZ33" s="323">
        <f t="shared" si="138"/>
        <v>0</v>
      </c>
      <c r="CA33" s="323">
        <f t="shared" si="139"/>
        <v>0</v>
      </c>
      <c r="CB33" s="55">
        <f t="shared" si="140"/>
        <v>9562.5</v>
      </c>
      <c r="CC33" s="323"/>
      <c r="CD33" s="323"/>
      <c r="CE33" s="323"/>
      <c r="CF33" s="323"/>
      <c r="CG33" s="323"/>
      <c r="CH33" s="323"/>
      <c r="CI33" s="323"/>
      <c r="CJ33" s="323"/>
      <c r="CK33" s="323"/>
      <c r="CL33" s="323"/>
      <c r="CM33" s="323"/>
      <c r="CN33" s="323"/>
      <c r="CO33" s="55">
        <f t="shared" si="141"/>
        <v>0</v>
      </c>
    </row>
    <row r="34" spans="1:110" s="27" customFormat="1" ht="24.75" customHeight="1" thickBot="1" x14ac:dyDescent="0.25">
      <c r="A34" s="30"/>
      <c r="B34" s="31" t="s">
        <v>4</v>
      </c>
      <c r="C34" s="31"/>
      <c r="D34" s="136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4"/>
      <c r="R34" s="58"/>
      <c r="S34" s="32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59">
        <f t="shared" ref="AF34:BF34" si="143">SUM(AF30:AF33)</f>
        <v>1592800</v>
      </c>
      <c r="AG34" s="59">
        <f t="shared" si="143"/>
        <v>550000</v>
      </c>
      <c r="AH34" s="59">
        <f t="shared" si="143"/>
        <v>840000</v>
      </c>
      <c r="AI34" s="732">
        <f t="shared" si="143"/>
        <v>76500</v>
      </c>
      <c r="AJ34" s="747">
        <f t="shared" si="143"/>
        <v>0</v>
      </c>
      <c r="AK34" s="59">
        <f t="shared" si="143"/>
        <v>0</v>
      </c>
      <c r="AL34" s="59">
        <f t="shared" si="143"/>
        <v>0</v>
      </c>
      <c r="AM34" s="59">
        <f t="shared" si="143"/>
        <v>0</v>
      </c>
      <c r="AN34" s="59">
        <f t="shared" si="143"/>
        <v>0</v>
      </c>
      <c r="AO34" s="59">
        <f t="shared" si="143"/>
        <v>0</v>
      </c>
      <c r="AP34" s="59">
        <f t="shared" si="143"/>
        <v>0</v>
      </c>
      <c r="AQ34" s="59">
        <f t="shared" si="143"/>
        <v>0</v>
      </c>
      <c r="AR34" s="59">
        <f t="shared" si="143"/>
        <v>0</v>
      </c>
      <c r="AS34" s="59">
        <f t="shared" si="143"/>
        <v>1466500</v>
      </c>
      <c r="AT34" s="59">
        <f t="shared" si="143"/>
        <v>0</v>
      </c>
      <c r="AU34" s="59">
        <f t="shared" si="143"/>
        <v>0</v>
      </c>
      <c r="AV34" s="59">
        <f t="shared" si="143"/>
        <v>3060</v>
      </c>
      <c r="AW34" s="59">
        <f t="shared" si="143"/>
        <v>0</v>
      </c>
      <c r="AX34" s="59">
        <f t="shared" si="143"/>
        <v>0</v>
      </c>
      <c r="AY34" s="59">
        <f t="shared" si="143"/>
        <v>0</v>
      </c>
      <c r="AZ34" s="59">
        <f t="shared" si="143"/>
        <v>0</v>
      </c>
      <c r="BA34" s="59">
        <f t="shared" si="143"/>
        <v>0</v>
      </c>
      <c r="BB34" s="59">
        <f t="shared" si="143"/>
        <v>0</v>
      </c>
      <c r="BC34" s="59">
        <f t="shared" si="143"/>
        <v>0</v>
      </c>
      <c r="BD34" s="59">
        <f t="shared" si="143"/>
        <v>0</v>
      </c>
      <c r="BE34" s="59">
        <f t="shared" si="143"/>
        <v>0</v>
      </c>
      <c r="BF34" s="59">
        <f t="shared" si="143"/>
        <v>3060</v>
      </c>
      <c r="BG34" s="60">
        <f>AF34-AS34-BF34</f>
        <v>123240</v>
      </c>
      <c r="BH34" s="59">
        <f>SUM(BH30:BH33)</f>
        <v>1680900</v>
      </c>
      <c r="BI34" s="59">
        <f>SUM(BI30:BI33)</f>
        <v>214400</v>
      </c>
      <c r="BJ34" s="113">
        <v>1</v>
      </c>
      <c r="BK34" s="36"/>
      <c r="BL34" s="556"/>
      <c r="BM34" s="556"/>
      <c r="BN34" s="567"/>
      <c r="BO34" s="561"/>
      <c r="BP34" s="323"/>
      <c r="BQ34" s="323"/>
      <c r="BR34" s="556">
        <f t="shared" si="130"/>
        <v>9562.5</v>
      </c>
      <c r="BS34" s="323">
        <f t="shared" si="131"/>
        <v>0</v>
      </c>
      <c r="BT34" s="323">
        <f t="shared" si="132"/>
        <v>0</v>
      </c>
      <c r="BU34" s="323">
        <f t="shared" si="133"/>
        <v>0</v>
      </c>
      <c r="BV34" s="323">
        <f t="shared" si="134"/>
        <v>0</v>
      </c>
      <c r="BW34" s="323">
        <f t="shared" si="135"/>
        <v>0</v>
      </c>
      <c r="BX34" s="323">
        <f t="shared" si="136"/>
        <v>0</v>
      </c>
      <c r="BY34" s="323">
        <f t="shared" si="137"/>
        <v>0</v>
      </c>
      <c r="BZ34" s="323">
        <f t="shared" si="138"/>
        <v>0</v>
      </c>
      <c r="CA34" s="323">
        <f t="shared" si="139"/>
        <v>0</v>
      </c>
      <c r="CB34" s="55">
        <f t="shared" si="140"/>
        <v>9562.5</v>
      </c>
      <c r="CC34" s="323"/>
      <c r="CD34" s="323"/>
      <c r="CE34" s="323"/>
      <c r="CF34" s="323"/>
      <c r="CG34" s="323"/>
      <c r="CH34" s="323"/>
      <c r="CI34" s="323"/>
      <c r="CJ34" s="323"/>
      <c r="CK34" s="323"/>
      <c r="CL34" s="323"/>
      <c r="CM34" s="323"/>
      <c r="CN34" s="323"/>
      <c r="CO34" s="55">
        <f t="shared" si="141"/>
        <v>0</v>
      </c>
    </row>
    <row r="35" spans="1:110" s="167" customFormat="1" ht="24.75" customHeight="1" x14ac:dyDescent="0.2">
      <c r="A35" s="185"/>
      <c r="D35" s="185"/>
      <c r="E35" s="185"/>
      <c r="F35" s="185"/>
      <c r="G35" s="241"/>
      <c r="H35" s="185"/>
      <c r="I35" s="291"/>
      <c r="J35" s="291"/>
      <c r="K35" s="185"/>
      <c r="L35" s="185"/>
      <c r="M35" s="185"/>
      <c r="N35" s="185"/>
      <c r="O35" s="185"/>
      <c r="P35" s="185"/>
      <c r="Q35" s="185"/>
      <c r="R35" s="185"/>
      <c r="AS35" s="191"/>
      <c r="AT35" s="232"/>
      <c r="BF35" s="220">
        <f>SUM(AS34+BF34)</f>
        <v>1469560</v>
      </c>
      <c r="BG35" s="186">
        <f>AF34-AS34-BF34</f>
        <v>123240</v>
      </c>
      <c r="BH35" s="221">
        <f>SUM(BI34+AS34)</f>
        <v>1680900</v>
      </c>
      <c r="BI35" s="187">
        <f>SUM(BG34)</f>
        <v>123240</v>
      </c>
      <c r="BJ35" s="183" t="s">
        <v>29</v>
      </c>
      <c r="BK35" s="287"/>
      <c r="BL35" s="164"/>
      <c r="BM35" s="165"/>
      <c r="BN35" s="250"/>
      <c r="BO35" s="257"/>
      <c r="BP35" s="250"/>
      <c r="BQ35" s="250"/>
      <c r="BR35" s="250"/>
      <c r="BS35" s="257"/>
      <c r="BT35" s="250"/>
      <c r="BU35" s="250"/>
      <c r="BV35" s="250"/>
      <c r="BW35" s="257"/>
      <c r="BX35" s="250"/>
      <c r="BY35" s="250"/>
      <c r="BZ35" s="250"/>
      <c r="CA35" s="257"/>
      <c r="CB35" s="250"/>
      <c r="CC35" s="250"/>
      <c r="CD35" s="250"/>
      <c r="CE35" s="257"/>
      <c r="CF35" s="250"/>
      <c r="CG35" s="250"/>
      <c r="CH35" s="250"/>
      <c r="CI35" s="257"/>
      <c r="CJ35" s="250"/>
      <c r="CK35" s="250"/>
      <c r="CL35" s="250"/>
      <c r="CM35" s="257"/>
      <c r="CN35" s="250"/>
      <c r="CO35" s="250"/>
      <c r="CP35" s="250"/>
      <c r="CQ35" s="257"/>
      <c r="CR35" s="250"/>
      <c r="CS35" s="250"/>
      <c r="CT35" s="250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</row>
    <row r="36" spans="1:110" s="183" customFormat="1" ht="24.75" customHeight="1" x14ac:dyDescent="0.2">
      <c r="A36" s="230"/>
      <c r="D36" s="230"/>
      <c r="E36" s="230"/>
      <c r="F36" s="230"/>
      <c r="G36" s="164"/>
      <c r="H36" s="230"/>
      <c r="I36" s="294"/>
      <c r="J36" s="294"/>
      <c r="K36" s="230"/>
      <c r="L36" s="230"/>
      <c r="M36" s="230"/>
      <c r="N36" s="230"/>
      <c r="O36" s="230"/>
      <c r="P36" s="230"/>
      <c r="Q36" s="230"/>
      <c r="R36" s="230"/>
      <c r="AM36" s="233"/>
      <c r="AT36" s="233">
        <f>SUM(AG34+AT34)</f>
        <v>550000</v>
      </c>
      <c r="AU36" s="233">
        <f>SUM(AH34+AU34)</f>
        <v>840000</v>
      </c>
      <c r="AV36" s="233">
        <f>SUM(AI34+AV34)</f>
        <v>79560</v>
      </c>
      <c r="AW36" s="233">
        <f t="shared" ref="AW36" si="144">SUM(AJ34+AW34)</f>
        <v>0</v>
      </c>
      <c r="AX36" s="233">
        <f>SUM(AK34+AX34)</f>
        <v>0</v>
      </c>
      <c r="AY36" s="233">
        <f t="shared" ref="AY36" si="145">SUM(AL34+AY34)</f>
        <v>0</v>
      </c>
      <c r="AZ36" s="233">
        <f t="shared" ref="AZ36" si="146">SUM(AM34+AZ34)</f>
        <v>0</v>
      </c>
      <c r="BA36" s="233">
        <f t="shared" ref="BA36" si="147">SUM(AN34+BA34)</f>
        <v>0</v>
      </c>
      <c r="BB36" s="233">
        <f t="shared" ref="BB36" si="148">SUM(AO34+BB34)</f>
        <v>0</v>
      </c>
      <c r="BC36" s="233">
        <f t="shared" ref="BC36" si="149">SUM(AP34+BC34)</f>
        <v>0</v>
      </c>
      <c r="BD36" s="233">
        <f t="shared" ref="BD36" si="150">SUM(AQ34+BD34)</f>
        <v>0</v>
      </c>
      <c r="BE36" s="233">
        <f t="shared" ref="BE36" si="151">SUM(AR34+BE34)</f>
        <v>0</v>
      </c>
      <c r="BF36" s="233">
        <f>SUM(AT36:AY36)</f>
        <v>1469560</v>
      </c>
      <c r="BH36" s="231"/>
      <c r="BI36" s="189">
        <f>SUM(BI34-BI35)</f>
        <v>91160</v>
      </c>
      <c r="BJ36" s="183" t="s">
        <v>28</v>
      </c>
      <c r="BK36" s="287"/>
      <c r="BL36" s="164"/>
      <c r="BM36" s="166"/>
      <c r="BN36" s="251"/>
      <c r="BO36" s="260"/>
      <c r="BP36" s="251"/>
      <c r="BQ36" s="251"/>
      <c r="BR36" s="251"/>
      <c r="BS36" s="260"/>
      <c r="BT36" s="251"/>
      <c r="BU36" s="251"/>
      <c r="BV36" s="251"/>
      <c r="BW36" s="260"/>
      <c r="BX36" s="251"/>
      <c r="BY36" s="251"/>
      <c r="BZ36" s="251"/>
      <c r="CA36" s="260"/>
      <c r="CB36" s="251"/>
      <c r="CC36" s="251"/>
      <c r="CD36" s="251"/>
      <c r="CE36" s="260"/>
      <c r="CF36" s="251"/>
      <c r="CG36" s="251"/>
      <c r="CH36" s="251"/>
      <c r="CI36" s="260"/>
      <c r="CJ36" s="251"/>
      <c r="CK36" s="251"/>
      <c r="CL36" s="251"/>
      <c r="CM36" s="260"/>
      <c r="CN36" s="251"/>
      <c r="CO36" s="251"/>
      <c r="CP36" s="251"/>
      <c r="CQ36" s="260"/>
      <c r="CR36" s="251"/>
      <c r="CS36" s="251"/>
      <c r="CT36" s="251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</row>
  </sheetData>
  <mergeCells count="69">
    <mergeCell ref="BG27:BG29"/>
    <mergeCell ref="BH27:BH29"/>
    <mergeCell ref="BI27:BI29"/>
    <mergeCell ref="D28:D29"/>
    <mergeCell ref="E28:Q28"/>
    <mergeCell ref="S28:S29"/>
    <mergeCell ref="T28:AE28"/>
    <mergeCell ref="AF28:AF29"/>
    <mergeCell ref="AG28:AS28"/>
    <mergeCell ref="D27:Q27"/>
    <mergeCell ref="R27:R29"/>
    <mergeCell ref="S27:AE27"/>
    <mergeCell ref="AF27:AS27"/>
    <mergeCell ref="AT27:BF28"/>
    <mergeCell ref="A26:B26"/>
    <mergeCell ref="A27:A29"/>
    <mergeCell ref="B27:B29"/>
    <mergeCell ref="C27:C29"/>
    <mergeCell ref="A2:B2"/>
    <mergeCell ref="A3:A5"/>
    <mergeCell ref="B3:B5"/>
    <mergeCell ref="C3:C5"/>
    <mergeCell ref="A12:B12"/>
    <mergeCell ref="A13:A15"/>
    <mergeCell ref="B13:B15"/>
    <mergeCell ref="C13:C15"/>
    <mergeCell ref="BI3:BI5"/>
    <mergeCell ref="D4:D5"/>
    <mergeCell ref="E4:Q4"/>
    <mergeCell ref="S4:S5"/>
    <mergeCell ref="T4:AE4"/>
    <mergeCell ref="AF4:AF5"/>
    <mergeCell ref="AG4:AS4"/>
    <mergeCell ref="AT3:BF4"/>
    <mergeCell ref="D3:Q3"/>
    <mergeCell ref="R3:R5"/>
    <mergeCell ref="S3:AE3"/>
    <mergeCell ref="AF3:AS3"/>
    <mergeCell ref="BG13:BG15"/>
    <mergeCell ref="BG3:BG5"/>
    <mergeCell ref="BH13:BH15"/>
    <mergeCell ref="BI13:BI15"/>
    <mergeCell ref="D14:D15"/>
    <mergeCell ref="E14:Q14"/>
    <mergeCell ref="S14:S15"/>
    <mergeCell ref="T14:AE14"/>
    <mergeCell ref="AF14:AF15"/>
    <mergeCell ref="AG14:AS14"/>
    <mergeCell ref="AT13:BF14"/>
    <mergeCell ref="D13:Q13"/>
    <mergeCell ref="R13:R15"/>
    <mergeCell ref="S13:AE13"/>
    <mergeCell ref="AF13:AS13"/>
    <mergeCell ref="BH3:BH5"/>
    <mergeCell ref="BP27:CO27"/>
    <mergeCell ref="BL28:BN28"/>
    <mergeCell ref="BP28:CB28"/>
    <mergeCell ref="CC28:CO28"/>
    <mergeCell ref="BL29:BN29"/>
    <mergeCell ref="BP3:CO3"/>
    <mergeCell ref="BL4:BN4"/>
    <mergeCell ref="BP4:CB4"/>
    <mergeCell ref="CC4:CO4"/>
    <mergeCell ref="BL5:BN5"/>
    <mergeCell ref="BP13:CO13"/>
    <mergeCell ref="BL14:BN14"/>
    <mergeCell ref="BP14:CB14"/>
    <mergeCell ref="CC14:CO14"/>
    <mergeCell ref="BL15:BN15"/>
  </mergeCells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DW344"/>
  <sheetViews>
    <sheetView tabSelected="1" topLeftCell="AH10" zoomScale="80" zoomScaleNormal="80" zoomScaleSheetLayoutView="120" workbookViewId="0">
      <selection activeCell="AS19" sqref="AS19"/>
    </sheetView>
  </sheetViews>
  <sheetFormatPr defaultRowHeight="15" x14ac:dyDescent="0.2"/>
  <cols>
    <col min="1" max="1" width="6.5" style="1" customWidth="1"/>
    <col min="2" max="2" width="68.6640625" style="93" customWidth="1"/>
    <col min="3" max="3" width="14" customWidth="1"/>
    <col min="4" max="4" width="12" style="4" customWidth="1"/>
    <col min="5" max="6" width="11.6640625" style="4" customWidth="1"/>
    <col min="7" max="7" width="11.6640625" style="245" customWidth="1"/>
    <col min="8" max="8" width="11.6640625" style="4" customWidth="1"/>
    <col min="9" max="10" width="11.6640625" style="296" customWidth="1"/>
    <col min="11" max="16" width="11.6640625" style="4" customWidth="1"/>
    <col min="17" max="17" width="11.6640625" style="14" customWidth="1"/>
    <col min="18" max="18" width="11.6640625" style="1" customWidth="1"/>
    <col min="19" max="19" width="17" customWidth="1"/>
    <col min="20" max="20" width="17.83203125" customWidth="1"/>
    <col min="21" max="31" width="16.1640625" customWidth="1"/>
    <col min="32" max="32" width="22.1640625" customWidth="1"/>
    <col min="33" max="33" width="22.33203125" customWidth="1"/>
    <col min="34" max="34" width="21.83203125" customWidth="1"/>
    <col min="35" max="35" width="20.5" customWidth="1"/>
    <col min="36" max="36" width="20" customWidth="1"/>
    <col min="37" max="37" width="21.5" customWidth="1"/>
    <col min="38" max="38" width="19.6640625" customWidth="1"/>
    <col min="39" max="39" width="23.1640625" customWidth="1"/>
    <col min="40" max="40" width="19" customWidth="1"/>
    <col min="41" max="41" width="17.83203125" customWidth="1"/>
    <col min="42" max="42" width="20.1640625" customWidth="1"/>
    <col min="43" max="43" width="18" customWidth="1"/>
    <col min="44" max="44" width="16.1640625" customWidth="1"/>
    <col min="45" max="45" width="21.33203125" style="12" customWidth="1"/>
    <col min="46" max="46" width="20.1640625" customWidth="1"/>
    <col min="47" max="47" width="23.33203125" customWidth="1"/>
    <col min="48" max="48" width="21" customWidth="1"/>
    <col min="49" max="49" width="23.33203125" customWidth="1"/>
    <col min="50" max="50" width="17.33203125" customWidth="1"/>
    <col min="51" max="51" width="17.1640625" customWidth="1"/>
    <col min="52" max="52" width="17.83203125" customWidth="1"/>
    <col min="53" max="53" width="19.6640625" customWidth="1"/>
    <col min="54" max="54" width="17.6640625" customWidth="1"/>
    <col min="55" max="55" width="19" customWidth="1"/>
    <col min="56" max="57" width="16.1640625" customWidth="1"/>
    <col min="58" max="58" width="20.83203125" style="11" customWidth="1"/>
    <col min="59" max="59" width="19.5" style="11" customWidth="1"/>
    <col min="60" max="60" width="21.83203125" style="13" customWidth="1"/>
    <col min="61" max="61" width="23" style="13" customWidth="1"/>
    <col min="62" max="62" width="15.6640625" style="12" customWidth="1"/>
    <col min="63" max="63" width="27.33203125" style="289" customWidth="1"/>
    <col min="64" max="64" width="23.83203125" style="110" customWidth="1"/>
    <col min="65" max="65" width="17" style="3" customWidth="1"/>
    <col min="66" max="66" width="21.33203125" style="108" customWidth="1"/>
    <col min="67" max="67" width="11.33203125" style="265" customWidth="1"/>
    <col min="68" max="68" width="4" style="108" customWidth="1"/>
    <col min="69" max="69" width="14.33203125" style="108" customWidth="1"/>
    <col min="70" max="70" width="3.6640625" style="108" customWidth="1"/>
    <col min="71" max="71" width="11.33203125" style="265" customWidth="1"/>
    <col min="72" max="72" width="4" style="108" customWidth="1"/>
    <col min="73" max="73" width="14.33203125" style="108" customWidth="1"/>
    <col min="74" max="74" width="3.6640625" style="108" customWidth="1"/>
    <col min="75" max="75" width="11.33203125" style="265" customWidth="1"/>
    <col min="76" max="76" width="4" style="108" customWidth="1"/>
    <col min="77" max="77" width="14.33203125" style="108" customWidth="1"/>
    <col min="78" max="78" width="3.6640625" style="108" customWidth="1"/>
    <col min="79" max="79" width="11.33203125" style="265" customWidth="1"/>
    <col min="80" max="80" width="4" style="108" customWidth="1"/>
    <col min="81" max="81" width="14.33203125" style="108" customWidth="1"/>
    <col min="82" max="82" width="3.6640625" style="108" customWidth="1"/>
    <col min="83" max="83" width="11.33203125" style="265" customWidth="1"/>
    <col min="84" max="84" width="4" style="108" customWidth="1"/>
    <col min="85" max="85" width="14.33203125" style="108" customWidth="1"/>
    <col min="86" max="86" width="3.6640625" style="108" customWidth="1"/>
    <col min="87" max="87" width="11.33203125" style="265" customWidth="1"/>
    <col min="88" max="88" width="4" style="108" customWidth="1"/>
    <col min="89" max="89" width="14.33203125" style="108" customWidth="1"/>
    <col min="90" max="90" width="3.6640625" style="108" customWidth="1"/>
    <col min="91" max="91" width="11.33203125" style="265" customWidth="1"/>
    <col min="92" max="92" width="4" style="108" customWidth="1"/>
    <col min="93" max="93" width="14.33203125" style="108" customWidth="1"/>
    <col min="94" max="94" width="3.6640625" style="108" customWidth="1"/>
    <col min="95" max="95" width="11.33203125" style="265" customWidth="1"/>
    <col min="96" max="96" width="4" style="108" customWidth="1"/>
    <col min="97" max="97" width="14.33203125" style="108" customWidth="1"/>
    <col min="98" max="98" width="19" style="256" bestFit="1" customWidth="1"/>
    <col min="99" max="99" width="9.33203125" style="3"/>
    <col min="100" max="100" width="28.1640625" style="3" customWidth="1"/>
    <col min="101" max="101" width="24.6640625" style="3" customWidth="1"/>
    <col min="102" max="110" width="9.33203125" style="3"/>
  </cols>
  <sheetData>
    <row r="1" spans="1:127" s="167" customFormat="1" ht="24.75" customHeight="1" x14ac:dyDescent="0.2">
      <c r="A1" s="827" t="s">
        <v>7</v>
      </c>
      <c r="B1" s="828"/>
      <c r="C1" s="151" t="s">
        <v>53</v>
      </c>
      <c r="D1" s="152"/>
      <c r="E1" s="152"/>
      <c r="F1" s="152"/>
      <c r="G1" s="192"/>
      <c r="H1" s="152"/>
      <c r="I1" s="290"/>
      <c r="J1" s="290"/>
      <c r="K1" s="152"/>
      <c r="L1" s="152"/>
      <c r="M1" s="152"/>
      <c r="N1" s="152"/>
      <c r="O1" s="152"/>
      <c r="P1" s="152"/>
      <c r="Q1" s="152"/>
      <c r="R1" s="152"/>
      <c r="S1" s="152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2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233"/>
      <c r="BG1" s="154"/>
      <c r="BH1" s="150"/>
      <c r="BI1" s="155"/>
      <c r="BJ1" s="152"/>
      <c r="BK1" s="192"/>
      <c r="BL1" s="192"/>
      <c r="BM1" s="153"/>
      <c r="BN1" s="192"/>
      <c r="BO1" s="258"/>
      <c r="BP1" s="192"/>
      <c r="BQ1" s="156"/>
      <c r="BR1" s="192"/>
      <c r="BS1" s="258"/>
      <c r="BT1" s="192"/>
      <c r="BU1" s="156"/>
      <c r="BV1" s="192"/>
      <c r="BW1" s="258"/>
      <c r="BX1" s="192"/>
      <c r="BY1" s="156"/>
      <c r="BZ1" s="192"/>
      <c r="CA1" s="258"/>
      <c r="CB1" s="192"/>
      <c r="CC1" s="156"/>
      <c r="CD1" s="192"/>
      <c r="CE1" s="258"/>
      <c r="CF1" s="192"/>
      <c r="CG1" s="156"/>
      <c r="CH1" s="192"/>
      <c r="CI1" s="258"/>
      <c r="CJ1" s="192"/>
      <c r="CK1" s="156"/>
      <c r="CL1" s="192"/>
      <c r="CM1" s="258"/>
      <c r="CN1" s="192"/>
      <c r="CO1" s="156"/>
      <c r="CP1" s="192"/>
      <c r="CQ1" s="258"/>
      <c r="CR1" s="192"/>
      <c r="CS1" s="156"/>
      <c r="CT1" s="192"/>
      <c r="CU1" s="153"/>
      <c r="CV1" s="153"/>
      <c r="CW1" s="153"/>
      <c r="CX1" s="153"/>
      <c r="CY1" s="154"/>
      <c r="CZ1" s="154"/>
      <c r="DA1" s="154"/>
      <c r="DB1" s="150"/>
      <c r="DC1" s="155"/>
      <c r="DD1" s="154"/>
      <c r="DE1" s="154"/>
      <c r="DF1" s="165"/>
      <c r="DG1" s="165"/>
      <c r="DH1" s="165"/>
      <c r="DI1" s="165"/>
      <c r="DJ1" s="165"/>
      <c r="DK1" s="166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</row>
    <row r="2" spans="1:127" s="169" customFormat="1" ht="48.75" customHeight="1" x14ac:dyDescent="0.2">
      <c r="A2" s="829" t="s">
        <v>8</v>
      </c>
      <c r="B2" s="816" t="s">
        <v>9</v>
      </c>
      <c r="C2" s="816" t="s">
        <v>77</v>
      </c>
      <c r="D2" s="832" t="s">
        <v>10</v>
      </c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16" t="s">
        <v>20</v>
      </c>
      <c r="S2" s="833" t="s">
        <v>17</v>
      </c>
      <c r="T2" s="834"/>
      <c r="U2" s="834"/>
      <c r="V2" s="834"/>
      <c r="W2" s="834"/>
      <c r="X2" s="834"/>
      <c r="Y2" s="834"/>
      <c r="Z2" s="834"/>
      <c r="AA2" s="834"/>
      <c r="AB2" s="834"/>
      <c r="AC2" s="834"/>
      <c r="AD2" s="834"/>
      <c r="AE2" s="834"/>
      <c r="AF2" s="835" t="s">
        <v>5</v>
      </c>
      <c r="AG2" s="835"/>
      <c r="AH2" s="835"/>
      <c r="AI2" s="835"/>
      <c r="AJ2" s="835"/>
      <c r="AK2" s="835"/>
      <c r="AL2" s="835"/>
      <c r="AM2" s="835"/>
      <c r="AN2" s="835"/>
      <c r="AO2" s="835"/>
      <c r="AP2" s="835"/>
      <c r="AQ2" s="835"/>
      <c r="AR2" s="835"/>
      <c r="AS2" s="835"/>
      <c r="AT2" s="836" t="s">
        <v>32</v>
      </c>
      <c r="AU2" s="837"/>
      <c r="AV2" s="837"/>
      <c r="AW2" s="837"/>
      <c r="AX2" s="837"/>
      <c r="AY2" s="837"/>
      <c r="AZ2" s="837"/>
      <c r="BA2" s="837"/>
      <c r="BB2" s="837"/>
      <c r="BC2" s="837"/>
      <c r="BD2" s="837"/>
      <c r="BE2" s="837"/>
      <c r="BF2" s="838"/>
      <c r="BG2" s="816" t="s">
        <v>29</v>
      </c>
      <c r="BH2" s="816" t="s">
        <v>57</v>
      </c>
      <c r="BI2" s="819" t="s">
        <v>30</v>
      </c>
      <c r="BJ2" s="150"/>
      <c r="BK2" s="283"/>
      <c r="BL2" s="84"/>
      <c r="BM2" s="84"/>
      <c r="BN2" s="84"/>
      <c r="BO2" s="84"/>
      <c r="BP2" s="774" t="s">
        <v>32</v>
      </c>
      <c r="BQ2" s="775"/>
      <c r="BR2" s="775"/>
      <c r="BS2" s="775"/>
      <c r="BT2" s="775"/>
      <c r="BU2" s="775"/>
      <c r="BV2" s="775"/>
      <c r="BW2" s="775"/>
      <c r="BX2" s="775"/>
      <c r="BY2" s="775"/>
      <c r="BZ2" s="775"/>
      <c r="CA2" s="775"/>
      <c r="CB2" s="775"/>
      <c r="CC2" s="775"/>
      <c r="CD2" s="775"/>
      <c r="CE2" s="775"/>
      <c r="CF2" s="775"/>
      <c r="CG2" s="775"/>
      <c r="CH2" s="775"/>
      <c r="CI2" s="775"/>
      <c r="CJ2" s="775"/>
      <c r="CK2" s="775"/>
      <c r="CL2" s="775"/>
      <c r="CM2" s="775"/>
      <c r="CN2" s="775"/>
      <c r="CO2" s="776"/>
      <c r="CP2" s="192"/>
      <c r="CQ2" s="258"/>
      <c r="CR2" s="192"/>
      <c r="CS2" s="192"/>
      <c r="CT2" s="192"/>
      <c r="CU2" s="152"/>
      <c r="CV2" s="152"/>
      <c r="CW2" s="152"/>
      <c r="CX2" s="152"/>
      <c r="CY2" s="152"/>
      <c r="CZ2" s="152"/>
      <c r="DA2" s="152"/>
      <c r="DB2" s="152"/>
      <c r="DC2" s="152"/>
      <c r="DD2" s="168"/>
      <c r="DE2" s="168"/>
    </row>
    <row r="3" spans="1:127" s="169" customFormat="1" ht="48.75" customHeight="1" x14ac:dyDescent="0.2">
      <c r="A3" s="830"/>
      <c r="B3" s="817"/>
      <c r="C3" s="817"/>
      <c r="D3" s="822" t="s">
        <v>18</v>
      </c>
      <c r="E3" s="824" t="s">
        <v>19</v>
      </c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17"/>
      <c r="S3" s="822" t="s">
        <v>18</v>
      </c>
      <c r="T3" s="824" t="s">
        <v>19</v>
      </c>
      <c r="U3" s="825"/>
      <c r="V3" s="825"/>
      <c r="W3" s="825"/>
      <c r="X3" s="825"/>
      <c r="Y3" s="825"/>
      <c r="Z3" s="825"/>
      <c r="AA3" s="825"/>
      <c r="AB3" s="825"/>
      <c r="AC3" s="825"/>
      <c r="AD3" s="825"/>
      <c r="AE3" s="825"/>
      <c r="AF3" s="822" t="s">
        <v>18</v>
      </c>
      <c r="AG3" s="824" t="s">
        <v>19</v>
      </c>
      <c r="AH3" s="825"/>
      <c r="AI3" s="825"/>
      <c r="AJ3" s="825"/>
      <c r="AK3" s="825"/>
      <c r="AL3" s="825"/>
      <c r="AM3" s="825"/>
      <c r="AN3" s="825"/>
      <c r="AO3" s="825"/>
      <c r="AP3" s="825"/>
      <c r="AQ3" s="825"/>
      <c r="AR3" s="825"/>
      <c r="AS3" s="826"/>
      <c r="AT3" s="839"/>
      <c r="AU3" s="840"/>
      <c r="AV3" s="840"/>
      <c r="AW3" s="840"/>
      <c r="AX3" s="840"/>
      <c r="AY3" s="840"/>
      <c r="AZ3" s="840"/>
      <c r="BA3" s="840"/>
      <c r="BB3" s="840"/>
      <c r="BC3" s="840"/>
      <c r="BD3" s="840"/>
      <c r="BE3" s="840"/>
      <c r="BF3" s="841"/>
      <c r="BG3" s="817"/>
      <c r="BH3" s="817"/>
      <c r="BI3" s="820"/>
      <c r="BJ3" s="150"/>
      <c r="BK3" s="283"/>
      <c r="BL3" s="777">
        <f>SUM(BL5/60)</f>
        <v>0</v>
      </c>
      <c r="BM3" s="777"/>
      <c r="BN3" s="777"/>
      <c r="BO3" s="17"/>
      <c r="BP3" s="778" t="s">
        <v>230</v>
      </c>
      <c r="BQ3" s="779"/>
      <c r="BR3" s="779"/>
      <c r="BS3" s="779"/>
      <c r="BT3" s="779"/>
      <c r="BU3" s="779"/>
      <c r="BV3" s="779"/>
      <c r="BW3" s="779"/>
      <c r="BX3" s="779"/>
      <c r="BY3" s="779"/>
      <c r="BZ3" s="779"/>
      <c r="CA3" s="779"/>
      <c r="CB3" s="780"/>
      <c r="CC3" s="781" t="s">
        <v>231</v>
      </c>
      <c r="CD3" s="782"/>
      <c r="CE3" s="782"/>
      <c r="CF3" s="782"/>
      <c r="CG3" s="782"/>
      <c r="CH3" s="782"/>
      <c r="CI3" s="782"/>
      <c r="CJ3" s="782"/>
      <c r="CK3" s="782"/>
      <c r="CL3" s="782"/>
      <c r="CM3" s="782"/>
      <c r="CN3" s="782"/>
      <c r="CO3" s="783"/>
      <c r="CP3" s="192"/>
      <c r="CQ3" s="258"/>
      <c r="CR3" s="192"/>
      <c r="CS3" s="192"/>
      <c r="CT3" s="192"/>
      <c r="CU3" s="152"/>
      <c r="CV3" s="152"/>
      <c r="CW3" s="152"/>
      <c r="CX3" s="152"/>
      <c r="CY3" s="152"/>
      <c r="CZ3" s="152"/>
      <c r="DA3" s="152"/>
      <c r="DB3" s="152"/>
      <c r="DC3" s="152"/>
      <c r="DD3" s="168"/>
      <c r="DE3" s="168"/>
    </row>
    <row r="4" spans="1:127" s="172" customFormat="1" ht="28.5" customHeight="1" x14ac:dyDescent="0.2">
      <c r="A4" s="831"/>
      <c r="B4" s="818"/>
      <c r="C4" s="818"/>
      <c r="D4" s="823"/>
      <c r="E4" s="170">
        <v>1</v>
      </c>
      <c r="F4" s="170">
        <v>2</v>
      </c>
      <c r="G4" s="240">
        <v>3</v>
      </c>
      <c r="H4" s="170">
        <v>4</v>
      </c>
      <c r="I4" s="170">
        <v>5</v>
      </c>
      <c r="J4" s="170">
        <v>6</v>
      </c>
      <c r="K4" s="170">
        <v>7</v>
      </c>
      <c r="L4" s="170">
        <v>8</v>
      </c>
      <c r="M4" s="170">
        <v>9</v>
      </c>
      <c r="N4" s="170">
        <v>10</v>
      </c>
      <c r="O4" s="170">
        <v>11</v>
      </c>
      <c r="P4" s="170">
        <v>12</v>
      </c>
      <c r="Q4" s="170" t="s">
        <v>21</v>
      </c>
      <c r="R4" s="818"/>
      <c r="S4" s="823"/>
      <c r="T4" s="170">
        <v>1</v>
      </c>
      <c r="U4" s="170">
        <v>2</v>
      </c>
      <c r="V4" s="170">
        <v>3</v>
      </c>
      <c r="W4" s="170">
        <v>4</v>
      </c>
      <c r="X4" s="170">
        <v>5</v>
      </c>
      <c r="Y4" s="170">
        <v>6</v>
      </c>
      <c r="Z4" s="170">
        <v>7</v>
      </c>
      <c r="AA4" s="170">
        <v>8</v>
      </c>
      <c r="AB4" s="170">
        <v>9</v>
      </c>
      <c r="AC4" s="170">
        <v>10</v>
      </c>
      <c r="AD4" s="170">
        <v>11</v>
      </c>
      <c r="AE4" s="170">
        <v>12</v>
      </c>
      <c r="AF4" s="823"/>
      <c r="AG4" s="170">
        <v>1</v>
      </c>
      <c r="AH4" s="170">
        <v>2</v>
      </c>
      <c r="AI4" s="170">
        <v>3</v>
      </c>
      <c r="AJ4" s="170">
        <v>4</v>
      </c>
      <c r="AK4" s="170">
        <v>5</v>
      </c>
      <c r="AL4" s="170">
        <v>6</v>
      </c>
      <c r="AM4" s="170">
        <v>7</v>
      </c>
      <c r="AN4" s="170">
        <v>8</v>
      </c>
      <c r="AO4" s="170">
        <v>9</v>
      </c>
      <c r="AP4" s="170">
        <v>10</v>
      </c>
      <c r="AQ4" s="170">
        <v>11</v>
      </c>
      <c r="AR4" s="170">
        <v>12</v>
      </c>
      <c r="AS4" s="170" t="s">
        <v>13</v>
      </c>
      <c r="AT4" s="171">
        <v>1</v>
      </c>
      <c r="AU4" s="171">
        <v>2</v>
      </c>
      <c r="AV4" s="171">
        <v>3</v>
      </c>
      <c r="AW4" s="171">
        <v>4</v>
      </c>
      <c r="AX4" s="171">
        <v>5</v>
      </c>
      <c r="AY4" s="171">
        <v>6</v>
      </c>
      <c r="AZ4" s="171">
        <v>7</v>
      </c>
      <c r="BA4" s="171">
        <v>8</v>
      </c>
      <c r="BB4" s="171">
        <v>9</v>
      </c>
      <c r="BC4" s="171">
        <v>10</v>
      </c>
      <c r="BD4" s="171">
        <v>11</v>
      </c>
      <c r="BE4" s="171">
        <v>12</v>
      </c>
      <c r="BF4" s="170" t="s">
        <v>13</v>
      </c>
      <c r="BG4" s="818"/>
      <c r="BH4" s="818"/>
      <c r="BI4" s="821"/>
      <c r="BK4" s="284"/>
      <c r="BL4" s="784" t="s">
        <v>19</v>
      </c>
      <c r="BM4" s="785"/>
      <c r="BN4" s="786"/>
      <c r="BO4" s="337"/>
      <c r="BP4" s="111">
        <v>1</v>
      </c>
      <c r="BQ4" s="111">
        <v>2</v>
      </c>
      <c r="BR4" s="111">
        <v>3</v>
      </c>
      <c r="BS4" s="111">
        <v>4</v>
      </c>
      <c r="BT4" s="111">
        <v>5</v>
      </c>
      <c r="BU4" s="111">
        <v>6</v>
      </c>
      <c r="BV4" s="111">
        <v>7</v>
      </c>
      <c r="BW4" s="111">
        <v>8</v>
      </c>
      <c r="BX4" s="111">
        <v>9</v>
      </c>
      <c r="BY4" s="111">
        <v>10</v>
      </c>
      <c r="BZ4" s="111">
        <v>11</v>
      </c>
      <c r="CA4" s="111">
        <v>12</v>
      </c>
      <c r="CB4" s="20" t="s">
        <v>13</v>
      </c>
      <c r="CC4" s="111">
        <v>1</v>
      </c>
      <c r="CD4" s="111">
        <v>2</v>
      </c>
      <c r="CE4" s="111">
        <v>3</v>
      </c>
      <c r="CF4" s="111">
        <v>4</v>
      </c>
      <c r="CG4" s="111">
        <v>5</v>
      </c>
      <c r="CH4" s="111">
        <v>6</v>
      </c>
      <c r="CI4" s="111">
        <v>7</v>
      </c>
      <c r="CJ4" s="111">
        <v>8</v>
      </c>
      <c r="CK4" s="111">
        <v>9</v>
      </c>
      <c r="CL4" s="111">
        <v>10</v>
      </c>
      <c r="CM4" s="111">
        <v>11</v>
      </c>
      <c r="CN4" s="111">
        <v>12</v>
      </c>
      <c r="CO4" s="20" t="s">
        <v>13</v>
      </c>
      <c r="CP4" s="253"/>
      <c r="CQ4" s="261"/>
      <c r="CR4" s="253"/>
      <c r="CS4" s="253"/>
      <c r="CT4" s="253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</row>
    <row r="5" spans="1:127" s="205" customFormat="1" ht="24.75" customHeight="1" x14ac:dyDescent="0.2">
      <c r="A5" s="193">
        <v>1</v>
      </c>
      <c r="B5" s="234" t="s">
        <v>130</v>
      </c>
      <c r="C5" s="304" t="s">
        <v>131</v>
      </c>
      <c r="D5" s="235">
        <v>21</v>
      </c>
      <c r="E5" s="235">
        <v>18</v>
      </c>
      <c r="F5" s="196"/>
      <c r="G5" s="242"/>
      <c r="H5" s="196"/>
      <c r="I5" s="292"/>
      <c r="J5" s="292"/>
      <c r="K5" s="196"/>
      <c r="L5" s="196"/>
      <c r="M5" s="196"/>
      <c r="N5" s="196"/>
      <c r="O5" s="196"/>
      <c r="P5" s="196"/>
      <c r="Q5" s="303">
        <f>SUM(E5:P5)</f>
        <v>18</v>
      </c>
      <c r="R5" s="308" t="s">
        <v>134</v>
      </c>
      <c r="S5" s="237">
        <v>350000</v>
      </c>
      <c r="T5" s="237">
        <v>300000</v>
      </c>
      <c r="U5" s="206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175">
        <f>Q5*S5</f>
        <v>6300000</v>
      </c>
      <c r="AG5" s="246">
        <f t="shared" ref="AG5:AG7" si="0">T5*E5</f>
        <v>5400000</v>
      </c>
      <c r="AH5" s="246">
        <f t="shared" ref="AH5:AH7" si="1">U5*F5</f>
        <v>0</v>
      </c>
      <c r="AI5" s="246">
        <f t="shared" ref="AI5:AI7" si="2">V5*G5</f>
        <v>0</v>
      </c>
      <c r="AJ5" s="246">
        <f t="shared" ref="AJ5:AJ7" si="3">W5*H5</f>
        <v>0</v>
      </c>
      <c r="AK5" s="246">
        <f t="shared" ref="AK5:AK7" si="4">X5*I5</f>
        <v>0</v>
      </c>
      <c r="AL5" s="246">
        <f t="shared" ref="AL5:AL7" si="5">Y5*J5</f>
        <v>0</v>
      </c>
      <c r="AM5" s="246">
        <f t="shared" ref="AM5:AM7" si="6">Z5*K5</f>
        <v>0</v>
      </c>
      <c r="AN5" s="246">
        <f t="shared" ref="AN5:AN7" si="7">AA5*L5</f>
        <v>0</v>
      </c>
      <c r="AO5" s="246">
        <f t="shared" ref="AO5:AO7" si="8">AB5*M5</f>
        <v>0</v>
      </c>
      <c r="AP5" s="246">
        <f t="shared" ref="AP5:AP7" si="9">AC5*N5</f>
        <v>0</v>
      </c>
      <c r="AQ5" s="246">
        <f t="shared" ref="AQ5:AQ7" si="10">AD5*O5</f>
        <v>0</v>
      </c>
      <c r="AR5" s="246">
        <f t="shared" ref="AR5:AR7" si="11">AE5*P5</f>
        <v>0</v>
      </c>
      <c r="AS5" s="177">
        <f t="shared" ref="AS5:AS7" si="12">SUM(AG5:AR5)</f>
        <v>5400000</v>
      </c>
      <c r="AT5" s="246">
        <f>AS5*14%</f>
        <v>756000.00000000012</v>
      </c>
      <c r="AU5" s="246"/>
      <c r="AV5" s="246"/>
      <c r="AW5" s="246">
        <f t="shared" ref="AW5:AW7" si="13">SUM(AJ5*14%)</f>
        <v>0</v>
      </c>
      <c r="AX5" s="246">
        <f t="shared" ref="AX5:AX7" si="14">SUM(AK5*14%)</f>
        <v>0</v>
      </c>
      <c r="AY5" s="246">
        <f t="shared" ref="AY5:AY7" si="15">SUM(AL5*14%)</f>
        <v>0</v>
      </c>
      <c r="AZ5" s="246">
        <f t="shared" ref="AZ5:AZ7" si="16">SUM(AM5*14%)</f>
        <v>0</v>
      </c>
      <c r="BA5" s="246">
        <f t="shared" ref="BA5:BA7" si="17">SUM(AN5*14%)</f>
        <v>0</v>
      </c>
      <c r="BB5" s="246">
        <f t="shared" ref="BB5:BB7" si="18">SUM(AO5*14%)</f>
        <v>0</v>
      </c>
      <c r="BC5" s="246">
        <f t="shared" ref="BC5:BC7" si="19">SUM(AP5*14%)</f>
        <v>0</v>
      </c>
      <c r="BD5" s="246">
        <f t="shared" ref="BD5:BD7" si="20">SUM(AQ5*14%)</f>
        <v>0</v>
      </c>
      <c r="BE5" s="246">
        <f t="shared" ref="BE5:BE7" si="21">SUM(AR5*14%)</f>
        <v>0</v>
      </c>
      <c r="BF5" s="199">
        <f t="shared" ref="BF5:BF7" si="22">SUM(AT5:BE5)</f>
        <v>756000.00000000012</v>
      </c>
      <c r="BG5" s="178">
        <f t="shared" ref="BG5:BG7" si="23">AF5-AS5-BF5</f>
        <v>143999.99999999988</v>
      </c>
      <c r="BH5" s="179">
        <f>S5*D5</f>
        <v>7350000</v>
      </c>
      <c r="BI5" s="180">
        <f>BH5-AS5-BF5</f>
        <v>1194000</v>
      </c>
      <c r="BJ5" s="181">
        <f t="shared" ref="BJ5:BJ7" si="24">SUM(Q5/D5)</f>
        <v>0.8571428571428571</v>
      </c>
      <c r="BK5" s="285"/>
      <c r="BL5" s="556">
        <f>SUM(AI5-BR5)</f>
        <v>0</v>
      </c>
      <c r="BM5" s="556">
        <f>59000*60</f>
        <v>3540000</v>
      </c>
      <c r="BN5" s="567">
        <f>SUM(BL5-BM5)</f>
        <v>-3540000</v>
      </c>
      <c r="BO5" s="561"/>
      <c r="BP5" s="323"/>
      <c r="BQ5" s="323"/>
      <c r="BR5" s="556">
        <f t="shared" ref="BR5:BR8" si="25">SUM(AI5*12.5%)</f>
        <v>0</v>
      </c>
      <c r="BS5" s="323">
        <f t="shared" ref="BS5:CA8" si="26">SUM(AJ5*12.5%)</f>
        <v>0</v>
      </c>
      <c r="BT5" s="323">
        <f t="shared" si="26"/>
        <v>0</v>
      </c>
      <c r="BU5" s="323">
        <f t="shared" si="26"/>
        <v>0</v>
      </c>
      <c r="BV5" s="323">
        <f t="shared" si="26"/>
        <v>0</v>
      </c>
      <c r="BW5" s="323">
        <f t="shared" si="26"/>
        <v>0</v>
      </c>
      <c r="BX5" s="323">
        <f t="shared" si="26"/>
        <v>0</v>
      </c>
      <c r="BY5" s="323">
        <f t="shared" si="26"/>
        <v>0</v>
      </c>
      <c r="BZ5" s="323">
        <f t="shared" si="26"/>
        <v>0</v>
      </c>
      <c r="CA5" s="323">
        <f t="shared" si="26"/>
        <v>0</v>
      </c>
      <c r="CB5" s="55">
        <f t="shared" ref="CB5" si="27">SUM(BP5:CA5)</f>
        <v>0</v>
      </c>
      <c r="CC5" s="323"/>
      <c r="CD5" s="323"/>
      <c r="CE5" s="323"/>
      <c r="CF5" s="323"/>
      <c r="CG5" s="323"/>
      <c r="CH5" s="323"/>
      <c r="CI5" s="323"/>
      <c r="CJ5" s="323"/>
      <c r="CK5" s="323"/>
      <c r="CL5" s="323"/>
      <c r="CM5" s="323"/>
      <c r="CN5" s="323"/>
      <c r="CO5" s="55">
        <f t="shared" ref="CO5:CO8" si="28">SUM(CC5:CN5)</f>
        <v>0</v>
      </c>
      <c r="CP5" s="203"/>
      <c r="CQ5" s="262"/>
      <c r="CR5" s="203"/>
      <c r="CS5" s="203"/>
      <c r="CT5" s="203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</row>
    <row r="6" spans="1:127" s="205" customFormat="1" ht="24.75" customHeight="1" x14ac:dyDescent="0.2">
      <c r="A6" s="193">
        <v>2</v>
      </c>
      <c r="B6" s="234" t="s">
        <v>132</v>
      </c>
      <c r="C6" s="304" t="s">
        <v>131</v>
      </c>
      <c r="D6" s="235">
        <v>1</v>
      </c>
      <c r="E6" s="235">
        <v>1</v>
      </c>
      <c r="F6" s="196"/>
      <c r="G6" s="242"/>
      <c r="H6" s="196"/>
      <c r="I6" s="292"/>
      <c r="J6" s="292"/>
      <c r="K6" s="196"/>
      <c r="L6" s="196"/>
      <c r="M6" s="196"/>
      <c r="N6" s="196"/>
      <c r="O6" s="196"/>
      <c r="P6" s="196"/>
      <c r="Q6" s="197">
        <f t="shared" ref="Q6:Q7" si="29">SUM(E6:P6)</f>
        <v>1</v>
      </c>
      <c r="R6" s="308" t="s">
        <v>133</v>
      </c>
      <c r="S6" s="237">
        <v>3173900</v>
      </c>
      <c r="T6" s="237">
        <v>3173900</v>
      </c>
      <c r="U6" s="276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175">
        <f t="shared" ref="AF6:AF7" si="30">Q6*S6</f>
        <v>3173900</v>
      </c>
      <c r="AG6" s="246">
        <f t="shared" si="0"/>
        <v>3173900</v>
      </c>
      <c r="AH6" s="246">
        <f t="shared" si="1"/>
        <v>0</v>
      </c>
      <c r="AI6" s="246">
        <f t="shared" si="2"/>
        <v>0</v>
      </c>
      <c r="AJ6" s="246">
        <f t="shared" si="3"/>
        <v>0</v>
      </c>
      <c r="AK6" s="246">
        <f t="shared" si="4"/>
        <v>0</v>
      </c>
      <c r="AL6" s="246">
        <f t="shared" si="5"/>
        <v>0</v>
      </c>
      <c r="AM6" s="246">
        <f t="shared" si="6"/>
        <v>0</v>
      </c>
      <c r="AN6" s="246">
        <f t="shared" si="7"/>
        <v>0</v>
      </c>
      <c r="AO6" s="246">
        <f t="shared" si="8"/>
        <v>0</v>
      </c>
      <c r="AP6" s="246">
        <f t="shared" si="9"/>
        <v>0</v>
      </c>
      <c r="AQ6" s="246">
        <f t="shared" si="10"/>
        <v>0</v>
      </c>
      <c r="AR6" s="246">
        <f t="shared" si="11"/>
        <v>0</v>
      </c>
      <c r="AS6" s="177">
        <f t="shared" si="12"/>
        <v>3173900</v>
      </c>
      <c r="AT6" s="246"/>
      <c r="AU6" s="246"/>
      <c r="AV6" s="246"/>
      <c r="AW6" s="246">
        <f t="shared" si="13"/>
        <v>0</v>
      </c>
      <c r="AX6" s="246">
        <f t="shared" si="14"/>
        <v>0</v>
      </c>
      <c r="AY6" s="246">
        <f t="shared" si="15"/>
        <v>0</v>
      </c>
      <c r="AZ6" s="246">
        <f t="shared" si="16"/>
        <v>0</v>
      </c>
      <c r="BA6" s="246">
        <f t="shared" si="17"/>
        <v>0</v>
      </c>
      <c r="BB6" s="246">
        <f t="shared" si="18"/>
        <v>0</v>
      </c>
      <c r="BC6" s="246">
        <f t="shared" si="19"/>
        <v>0</v>
      </c>
      <c r="BD6" s="246">
        <f t="shared" si="20"/>
        <v>0</v>
      </c>
      <c r="BE6" s="246">
        <f t="shared" si="21"/>
        <v>0</v>
      </c>
      <c r="BF6" s="199">
        <f t="shared" si="22"/>
        <v>0</v>
      </c>
      <c r="BG6" s="178">
        <f t="shared" si="23"/>
        <v>0</v>
      </c>
      <c r="BH6" s="179">
        <f>S6*D6</f>
        <v>3173900</v>
      </c>
      <c r="BI6" s="180">
        <f t="shared" ref="BI6:BI7" si="31">BH6-AS6-BF6</f>
        <v>0</v>
      </c>
      <c r="BJ6" s="181">
        <f t="shared" si="24"/>
        <v>1</v>
      </c>
      <c r="BK6" s="285"/>
      <c r="BL6" s="556">
        <f t="shared" ref="BL6:BL8" si="32">SUM(AI6-BR6)</f>
        <v>0</v>
      </c>
      <c r="BM6" s="556">
        <f>SUM(G6*T6)</f>
        <v>0</v>
      </c>
      <c r="BN6" s="567">
        <f t="shared" ref="BN6:BN8" si="33">SUM(BL6-BM6)</f>
        <v>0</v>
      </c>
      <c r="BO6" s="561"/>
      <c r="BP6" s="323"/>
      <c r="BQ6" s="323"/>
      <c r="BR6" s="556">
        <f t="shared" si="25"/>
        <v>0</v>
      </c>
      <c r="BS6" s="323">
        <f t="shared" si="26"/>
        <v>0</v>
      </c>
      <c r="BT6" s="323">
        <f t="shared" si="26"/>
        <v>0</v>
      </c>
      <c r="BU6" s="323">
        <f t="shared" si="26"/>
        <v>0</v>
      </c>
      <c r="BV6" s="323">
        <f t="shared" si="26"/>
        <v>0</v>
      </c>
      <c r="BW6" s="323">
        <f t="shared" si="26"/>
        <v>0</v>
      </c>
      <c r="BX6" s="323">
        <f t="shared" si="26"/>
        <v>0</v>
      </c>
      <c r="BY6" s="323">
        <f t="shared" si="26"/>
        <v>0</v>
      </c>
      <c r="BZ6" s="323">
        <f t="shared" si="26"/>
        <v>0</v>
      </c>
      <c r="CA6" s="323">
        <f t="shared" si="26"/>
        <v>0</v>
      </c>
      <c r="CB6" s="55">
        <f t="shared" ref="CB6:CB8" si="34">SUM(BP6:CA6)</f>
        <v>0</v>
      </c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55">
        <f t="shared" si="28"/>
        <v>0</v>
      </c>
      <c r="CP6" s="203"/>
      <c r="CQ6" s="262"/>
      <c r="CR6" s="203"/>
      <c r="CS6" s="203"/>
      <c r="CT6" s="203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</row>
    <row r="7" spans="1:127" s="205" customFormat="1" ht="24.75" customHeight="1" thickBot="1" x14ac:dyDescent="0.25">
      <c r="A7" s="193">
        <v>3</v>
      </c>
      <c r="B7" s="234" t="s">
        <v>135</v>
      </c>
      <c r="C7" s="304" t="s">
        <v>131</v>
      </c>
      <c r="D7" s="235">
        <v>1</v>
      </c>
      <c r="E7" s="235">
        <v>1</v>
      </c>
      <c r="F7" s="196"/>
      <c r="G7" s="242"/>
      <c r="H7" s="196"/>
      <c r="I7" s="292"/>
      <c r="J7" s="292"/>
      <c r="K7" s="196"/>
      <c r="L7" s="196"/>
      <c r="M7" s="196"/>
      <c r="N7" s="196"/>
      <c r="O7" s="196"/>
      <c r="P7" s="196"/>
      <c r="Q7" s="197">
        <f t="shared" si="29"/>
        <v>1</v>
      </c>
      <c r="R7" s="308" t="s">
        <v>24</v>
      </c>
      <c r="S7" s="237">
        <v>4000000</v>
      </c>
      <c r="T7" s="237">
        <v>3660000</v>
      </c>
      <c r="U7" s="276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175">
        <f t="shared" si="30"/>
        <v>4000000</v>
      </c>
      <c r="AG7" s="246">
        <f t="shared" si="0"/>
        <v>3660000</v>
      </c>
      <c r="AH7" s="246">
        <f t="shared" si="1"/>
        <v>0</v>
      </c>
      <c r="AI7" s="246">
        <f t="shared" si="2"/>
        <v>0</v>
      </c>
      <c r="AJ7" s="246">
        <f t="shared" si="3"/>
        <v>0</v>
      </c>
      <c r="AK7" s="246">
        <f t="shared" si="4"/>
        <v>0</v>
      </c>
      <c r="AL7" s="246">
        <f t="shared" si="5"/>
        <v>0</v>
      </c>
      <c r="AM7" s="246">
        <f t="shared" si="6"/>
        <v>0</v>
      </c>
      <c r="AN7" s="246">
        <f t="shared" si="7"/>
        <v>0</v>
      </c>
      <c r="AO7" s="246">
        <f t="shared" si="8"/>
        <v>0</v>
      </c>
      <c r="AP7" s="246">
        <f t="shared" si="9"/>
        <v>0</v>
      </c>
      <c r="AQ7" s="246">
        <f t="shared" si="10"/>
        <v>0</v>
      </c>
      <c r="AR7" s="246">
        <f t="shared" si="11"/>
        <v>0</v>
      </c>
      <c r="AS7" s="177">
        <f t="shared" si="12"/>
        <v>3660000</v>
      </c>
      <c r="AT7" s="246">
        <f>AS7*4%</f>
        <v>146400</v>
      </c>
      <c r="AU7" s="246"/>
      <c r="AV7" s="246"/>
      <c r="AW7" s="246">
        <f t="shared" si="13"/>
        <v>0</v>
      </c>
      <c r="AX7" s="246">
        <f t="shared" si="14"/>
        <v>0</v>
      </c>
      <c r="AY7" s="246">
        <f t="shared" si="15"/>
        <v>0</v>
      </c>
      <c r="AZ7" s="246">
        <f t="shared" si="16"/>
        <v>0</v>
      </c>
      <c r="BA7" s="246">
        <f t="shared" si="17"/>
        <v>0</v>
      </c>
      <c r="BB7" s="246">
        <f t="shared" si="18"/>
        <v>0</v>
      </c>
      <c r="BC7" s="246">
        <f t="shared" si="19"/>
        <v>0</v>
      </c>
      <c r="BD7" s="246">
        <f t="shared" si="20"/>
        <v>0</v>
      </c>
      <c r="BE7" s="246">
        <f t="shared" si="21"/>
        <v>0</v>
      </c>
      <c r="BF7" s="199">
        <f t="shared" si="22"/>
        <v>146400</v>
      </c>
      <c r="BG7" s="178">
        <f t="shared" si="23"/>
        <v>193600</v>
      </c>
      <c r="BH7" s="179">
        <f>S7*D7</f>
        <v>4000000</v>
      </c>
      <c r="BI7" s="180">
        <f t="shared" si="31"/>
        <v>193600</v>
      </c>
      <c r="BJ7" s="181">
        <f t="shared" si="24"/>
        <v>1</v>
      </c>
      <c r="BK7" s="285"/>
      <c r="BL7" s="556">
        <f t="shared" si="32"/>
        <v>0</v>
      </c>
      <c r="BM7" s="556">
        <f t="shared" ref="BM7:BM8" si="35">SUM(G7*T7)</f>
        <v>0</v>
      </c>
      <c r="BN7" s="567">
        <f t="shared" si="33"/>
        <v>0</v>
      </c>
      <c r="BO7" s="561"/>
      <c r="BP7" s="323"/>
      <c r="BQ7" s="323"/>
      <c r="BR7" s="556">
        <f t="shared" si="25"/>
        <v>0</v>
      </c>
      <c r="BS7" s="323">
        <f t="shared" si="26"/>
        <v>0</v>
      </c>
      <c r="BT7" s="323">
        <f t="shared" si="26"/>
        <v>0</v>
      </c>
      <c r="BU7" s="323">
        <f t="shared" si="26"/>
        <v>0</v>
      </c>
      <c r="BV7" s="323">
        <f t="shared" si="26"/>
        <v>0</v>
      </c>
      <c r="BW7" s="323">
        <f t="shared" si="26"/>
        <v>0</v>
      </c>
      <c r="BX7" s="323">
        <f t="shared" si="26"/>
        <v>0</v>
      </c>
      <c r="BY7" s="323">
        <f t="shared" si="26"/>
        <v>0</v>
      </c>
      <c r="BZ7" s="323">
        <f t="shared" si="26"/>
        <v>0</v>
      </c>
      <c r="CA7" s="323">
        <f t="shared" si="26"/>
        <v>0</v>
      </c>
      <c r="CB7" s="55">
        <f t="shared" si="34"/>
        <v>0</v>
      </c>
      <c r="CC7" s="323"/>
      <c r="CD7" s="323"/>
      <c r="CE7" s="323"/>
      <c r="CF7" s="323"/>
      <c r="CG7" s="323"/>
      <c r="CH7" s="323"/>
      <c r="CI7" s="323"/>
      <c r="CJ7" s="323"/>
      <c r="CK7" s="323"/>
      <c r="CL7" s="323"/>
      <c r="CM7" s="323"/>
      <c r="CN7" s="323"/>
      <c r="CO7" s="55">
        <f t="shared" si="28"/>
        <v>0</v>
      </c>
      <c r="CP7" s="203"/>
      <c r="CQ7" s="262"/>
      <c r="CR7" s="203"/>
      <c r="CS7" s="203"/>
      <c r="CT7" s="203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</row>
    <row r="8" spans="1:127" s="184" customFormat="1" ht="24.75" customHeight="1" thickBot="1" x14ac:dyDescent="0.25">
      <c r="A8" s="208"/>
      <c r="B8" s="209" t="s">
        <v>4</v>
      </c>
      <c r="C8" s="209"/>
      <c r="D8" s="210"/>
      <c r="E8" s="211"/>
      <c r="F8" s="211"/>
      <c r="G8" s="243"/>
      <c r="H8" s="211"/>
      <c r="I8" s="293"/>
      <c r="J8" s="293"/>
      <c r="K8" s="211"/>
      <c r="L8" s="211"/>
      <c r="M8" s="211"/>
      <c r="N8" s="211"/>
      <c r="O8" s="211"/>
      <c r="P8" s="211"/>
      <c r="Q8" s="212"/>
      <c r="R8" s="213"/>
      <c r="S8" s="214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6">
        <f>SUM(AF5:AF7)</f>
        <v>13473900</v>
      </c>
      <c r="AG8" s="216">
        <f>SUM(AG5:AG7)+186960</f>
        <v>12420860</v>
      </c>
      <c r="AH8" s="216">
        <f t="shared" ref="AG8:BF8" si="36">SUM(AH5:AH7)</f>
        <v>0</v>
      </c>
      <c r="AI8" s="216">
        <f t="shared" si="36"/>
        <v>0</v>
      </c>
      <c r="AJ8" s="216">
        <f t="shared" si="36"/>
        <v>0</v>
      </c>
      <c r="AK8" s="216">
        <f t="shared" si="36"/>
        <v>0</v>
      </c>
      <c r="AL8" s="216">
        <f t="shared" si="36"/>
        <v>0</v>
      </c>
      <c r="AM8" s="216">
        <f t="shared" si="36"/>
        <v>0</v>
      </c>
      <c r="AN8" s="216">
        <f t="shared" si="36"/>
        <v>0</v>
      </c>
      <c r="AO8" s="216">
        <f t="shared" si="36"/>
        <v>0</v>
      </c>
      <c r="AP8" s="216">
        <f t="shared" si="36"/>
        <v>0</v>
      </c>
      <c r="AQ8" s="216">
        <f t="shared" si="36"/>
        <v>0</v>
      </c>
      <c r="AR8" s="216">
        <f t="shared" si="36"/>
        <v>0</v>
      </c>
      <c r="AS8" s="216">
        <f>SUM(AS5:AS7)+186960</f>
        <v>12420860</v>
      </c>
      <c r="AT8" s="216">
        <f t="shared" si="36"/>
        <v>902400.00000000012</v>
      </c>
      <c r="AU8" s="216">
        <f t="shared" si="36"/>
        <v>0</v>
      </c>
      <c r="AV8" s="216">
        <f t="shared" si="36"/>
        <v>0</v>
      </c>
      <c r="AW8" s="216">
        <f t="shared" si="36"/>
        <v>0</v>
      </c>
      <c r="AX8" s="216">
        <f t="shared" si="36"/>
        <v>0</v>
      </c>
      <c r="AY8" s="216">
        <f t="shared" si="36"/>
        <v>0</v>
      </c>
      <c r="AZ8" s="216">
        <f t="shared" si="36"/>
        <v>0</v>
      </c>
      <c r="BA8" s="216">
        <f t="shared" si="36"/>
        <v>0</v>
      </c>
      <c r="BB8" s="216">
        <f t="shared" si="36"/>
        <v>0</v>
      </c>
      <c r="BC8" s="216">
        <f t="shared" si="36"/>
        <v>0</v>
      </c>
      <c r="BD8" s="216">
        <f t="shared" si="36"/>
        <v>0</v>
      </c>
      <c r="BE8" s="216">
        <f t="shared" si="36"/>
        <v>0</v>
      </c>
      <c r="BF8" s="216">
        <f t="shared" si="36"/>
        <v>902400.00000000012</v>
      </c>
      <c r="BG8" s="217">
        <f>SUM(BG5:BG7)</f>
        <v>337599.99999999988</v>
      </c>
      <c r="BH8" s="217">
        <f t="shared" ref="BH8:BI8" si="37">SUM(BH5:BH7)</f>
        <v>14523900</v>
      </c>
      <c r="BI8" s="217">
        <f t="shared" si="37"/>
        <v>1387600</v>
      </c>
      <c r="BJ8" s="182">
        <v>1</v>
      </c>
      <c r="BK8" s="286"/>
      <c r="BL8" s="556">
        <f t="shared" si="32"/>
        <v>0</v>
      </c>
      <c r="BM8" s="556">
        <f t="shared" si="35"/>
        <v>0</v>
      </c>
      <c r="BN8" s="567">
        <f t="shared" si="33"/>
        <v>0</v>
      </c>
      <c r="BO8" s="561"/>
      <c r="BP8" s="323"/>
      <c r="BQ8" s="323"/>
      <c r="BR8" s="556">
        <f t="shared" si="25"/>
        <v>0</v>
      </c>
      <c r="BS8" s="323">
        <f t="shared" si="26"/>
        <v>0</v>
      </c>
      <c r="BT8" s="323">
        <f t="shared" si="26"/>
        <v>0</v>
      </c>
      <c r="BU8" s="323">
        <f t="shared" si="26"/>
        <v>0</v>
      </c>
      <c r="BV8" s="323">
        <f t="shared" si="26"/>
        <v>0</v>
      </c>
      <c r="BW8" s="323">
        <f t="shared" si="26"/>
        <v>0</v>
      </c>
      <c r="BX8" s="323">
        <f t="shared" si="26"/>
        <v>0</v>
      </c>
      <c r="BY8" s="323">
        <f t="shared" si="26"/>
        <v>0</v>
      </c>
      <c r="BZ8" s="323">
        <f t="shared" si="26"/>
        <v>0</v>
      </c>
      <c r="CA8" s="323">
        <f t="shared" si="26"/>
        <v>0</v>
      </c>
      <c r="CB8" s="55">
        <f t="shared" si="34"/>
        <v>0</v>
      </c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55">
        <f t="shared" si="28"/>
        <v>0</v>
      </c>
      <c r="CP8" s="218"/>
      <c r="CQ8" s="264"/>
      <c r="CR8" s="218"/>
      <c r="CS8" s="218"/>
      <c r="CT8" s="218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</row>
    <row r="9" spans="1:127" s="167" customFormat="1" ht="24.75" customHeight="1" x14ac:dyDescent="0.2">
      <c r="A9" s="185"/>
      <c r="D9" s="185"/>
      <c r="E9" s="185"/>
      <c r="F9" s="185"/>
      <c r="G9" s="241"/>
      <c r="H9" s="185"/>
      <c r="I9" s="291"/>
      <c r="J9" s="291"/>
      <c r="K9" s="185"/>
      <c r="L9" s="185"/>
      <c r="M9" s="185"/>
      <c r="N9" s="185"/>
      <c r="O9" s="185"/>
      <c r="P9" s="185"/>
      <c r="Q9" s="185"/>
      <c r="R9" s="185"/>
      <c r="AS9" s="191"/>
      <c r="AT9" s="232"/>
      <c r="BF9" s="220">
        <f>SUM(AS8+BF8)</f>
        <v>13323260</v>
      </c>
      <c r="BG9" s="186">
        <f>AF8-AS8-BF8</f>
        <v>150639.99999999988</v>
      </c>
      <c r="BH9" s="221">
        <f>SUM(BI8+AS8+BF8)</f>
        <v>14710860</v>
      </c>
      <c r="BI9" s="187">
        <f>SUM(BG8)</f>
        <v>337599.99999999988</v>
      </c>
      <c r="BJ9" s="183" t="s">
        <v>29</v>
      </c>
      <c r="BK9" s="287"/>
      <c r="BL9" s="164"/>
      <c r="BM9" s="165"/>
      <c r="BN9" s="250"/>
      <c r="BO9" s="257"/>
      <c r="BP9" s="250"/>
      <c r="BQ9" s="250"/>
      <c r="BR9" s="250"/>
      <c r="BS9" s="257"/>
      <c r="BT9" s="250"/>
      <c r="BU9" s="250"/>
      <c r="BV9" s="250"/>
      <c r="BW9" s="257"/>
      <c r="BX9" s="250"/>
      <c r="BY9" s="250"/>
      <c r="BZ9" s="250"/>
      <c r="CA9" s="257"/>
      <c r="CB9" s="250"/>
      <c r="CC9" s="250"/>
      <c r="CD9" s="250"/>
      <c r="CE9" s="257"/>
      <c r="CF9" s="250"/>
      <c r="CG9" s="250"/>
      <c r="CH9" s="250"/>
      <c r="CI9" s="257"/>
      <c r="CJ9" s="250"/>
      <c r="CK9" s="250"/>
      <c r="CL9" s="250"/>
      <c r="CM9" s="257"/>
      <c r="CN9" s="250"/>
      <c r="CO9" s="250"/>
      <c r="CP9" s="250"/>
      <c r="CQ9" s="257"/>
      <c r="CR9" s="250"/>
      <c r="CS9" s="250"/>
      <c r="CT9" s="250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</row>
    <row r="10" spans="1:127" s="183" customFormat="1" ht="24.75" customHeight="1" x14ac:dyDescent="0.2">
      <c r="A10" s="230"/>
      <c r="D10" s="230"/>
      <c r="E10" s="230"/>
      <c r="F10" s="230"/>
      <c r="G10" s="164"/>
      <c r="H10" s="230"/>
      <c r="I10" s="294"/>
      <c r="J10" s="294"/>
      <c r="K10" s="230"/>
      <c r="L10" s="230"/>
      <c r="M10" s="230"/>
      <c r="N10" s="230"/>
      <c r="O10" s="230"/>
      <c r="P10" s="230"/>
      <c r="Q10" s="230"/>
      <c r="R10" s="230"/>
      <c r="AM10" s="233"/>
      <c r="AT10" s="233">
        <f>SUM(AG8+AT8)</f>
        <v>13323260</v>
      </c>
      <c r="AU10" s="233">
        <f>SUM(AH8+AU8)</f>
        <v>0</v>
      </c>
      <c r="AV10" s="233">
        <f>SUM(AI8+AV8)</f>
        <v>0</v>
      </c>
      <c r="AW10" s="233">
        <f t="shared" ref="AW10" si="38">SUM(AJ8+AW8)</f>
        <v>0</v>
      </c>
      <c r="AX10" s="233">
        <f>SUM(AK8+AX8)</f>
        <v>0</v>
      </c>
      <c r="AY10" s="233">
        <f t="shared" ref="AY10" si="39">SUM(AL8+AY8)</f>
        <v>0</v>
      </c>
      <c r="AZ10" s="233">
        <f t="shared" ref="AZ10" si="40">SUM(AM8+AZ8)</f>
        <v>0</v>
      </c>
      <c r="BA10" s="233">
        <f t="shared" ref="BA10" si="41">SUM(AN8+BA8)</f>
        <v>0</v>
      </c>
      <c r="BB10" s="233">
        <f t="shared" ref="BB10" si="42">SUM(AO8+BB8)</f>
        <v>0</v>
      </c>
      <c r="BC10" s="233">
        <f t="shared" ref="BC10" si="43">SUM(AP8+BC8)</f>
        <v>0</v>
      </c>
      <c r="BD10" s="233">
        <f t="shared" ref="BD10" si="44">SUM(AQ8+BD8)</f>
        <v>0</v>
      </c>
      <c r="BE10" s="233">
        <f t="shared" ref="BE10" si="45">SUM(AR8+BE8)</f>
        <v>0</v>
      </c>
      <c r="BF10" s="233">
        <f>SUM(AT10:AY10)</f>
        <v>13323260</v>
      </c>
      <c r="BH10" s="231"/>
      <c r="BI10" s="189">
        <f>SUM(BI8-BI9)</f>
        <v>1050000</v>
      </c>
      <c r="BJ10" s="183" t="s">
        <v>28</v>
      </c>
      <c r="BK10" s="287"/>
      <c r="BL10" s="164"/>
      <c r="BM10" s="166"/>
      <c r="BN10" s="251"/>
      <c r="BO10" s="260"/>
      <c r="BP10" s="251"/>
      <c r="BQ10" s="251"/>
      <c r="BR10" s="251"/>
      <c r="BS10" s="260"/>
      <c r="BT10" s="251"/>
      <c r="BU10" s="251"/>
      <c r="BV10" s="251"/>
      <c r="BW10" s="260"/>
      <c r="BX10" s="251"/>
      <c r="BY10" s="251"/>
      <c r="BZ10" s="251"/>
      <c r="CA10" s="260"/>
      <c r="CB10" s="251"/>
      <c r="CC10" s="251"/>
      <c r="CD10" s="251"/>
      <c r="CE10" s="260"/>
      <c r="CF10" s="251"/>
      <c r="CG10" s="251"/>
      <c r="CH10" s="251"/>
      <c r="CI10" s="260"/>
      <c r="CJ10" s="251"/>
      <c r="CK10" s="251"/>
      <c r="CL10" s="251"/>
      <c r="CM10" s="260"/>
      <c r="CN10" s="251"/>
      <c r="CO10" s="251"/>
      <c r="CP10" s="251"/>
      <c r="CQ10" s="260"/>
      <c r="CR10" s="251"/>
      <c r="CS10" s="251"/>
      <c r="CT10" s="251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</row>
    <row r="11" spans="1:127" s="167" customFormat="1" ht="24.75" customHeight="1" x14ac:dyDescent="0.2">
      <c r="A11" s="827" t="s">
        <v>7</v>
      </c>
      <c r="B11" s="828"/>
      <c r="C11" s="151" t="s">
        <v>53</v>
      </c>
      <c r="D11" s="152"/>
      <c r="E11" s="152"/>
      <c r="F11" s="152"/>
      <c r="G11" s="192"/>
      <c r="H11" s="152"/>
      <c r="I11" s="290"/>
      <c r="J11" s="290"/>
      <c r="K11" s="152"/>
      <c r="L11" s="152"/>
      <c r="M11" s="152"/>
      <c r="N11" s="152"/>
      <c r="O11" s="152"/>
      <c r="P11" s="152"/>
      <c r="Q11" s="152"/>
      <c r="R11" s="152"/>
      <c r="S11" s="152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2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4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233"/>
      <c r="BG11" s="154"/>
      <c r="BH11" s="150"/>
      <c r="BI11" s="155"/>
      <c r="BJ11" s="152"/>
      <c r="BK11" s="192"/>
      <c r="BL11" s="192"/>
      <c r="BM11" s="153"/>
      <c r="BN11" s="192"/>
      <c r="BO11" s="258"/>
      <c r="BP11" s="192"/>
      <c r="BQ11" s="156"/>
      <c r="BR11" s="192"/>
      <c r="BS11" s="258"/>
      <c r="BT11" s="192"/>
      <c r="BU11" s="156"/>
      <c r="BV11" s="192"/>
      <c r="BW11" s="258"/>
      <c r="BX11" s="192"/>
      <c r="BY11" s="156"/>
      <c r="BZ11" s="192"/>
      <c r="CA11" s="258"/>
      <c r="CB11" s="192"/>
      <c r="CC11" s="156"/>
      <c r="CD11" s="192"/>
      <c r="CE11" s="258"/>
      <c r="CF11" s="192"/>
      <c r="CG11" s="156"/>
      <c r="CH11" s="192"/>
      <c r="CI11" s="258"/>
      <c r="CJ11" s="192"/>
      <c r="CK11" s="156"/>
      <c r="CL11" s="192"/>
      <c r="CM11" s="258"/>
      <c r="CN11" s="192"/>
      <c r="CO11" s="156"/>
      <c r="CP11" s="192"/>
      <c r="CQ11" s="258"/>
      <c r="CR11" s="192"/>
      <c r="CS11" s="156"/>
      <c r="CT11" s="192"/>
      <c r="CU11" s="153"/>
      <c r="CV11" s="153"/>
      <c r="CW11" s="153"/>
      <c r="CX11" s="153"/>
      <c r="CY11" s="154"/>
      <c r="CZ11" s="154"/>
      <c r="DA11" s="154"/>
      <c r="DB11" s="150"/>
      <c r="DC11" s="155"/>
      <c r="DD11" s="154"/>
      <c r="DE11" s="154"/>
      <c r="DF11" s="165"/>
      <c r="DG11" s="165"/>
      <c r="DH11" s="165"/>
      <c r="DI11" s="165"/>
      <c r="DJ11" s="165"/>
      <c r="DK11" s="166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</row>
    <row r="12" spans="1:127" s="169" customFormat="1" ht="48.75" customHeight="1" x14ac:dyDescent="0.2">
      <c r="A12" s="829" t="s">
        <v>8</v>
      </c>
      <c r="B12" s="816" t="s">
        <v>9</v>
      </c>
      <c r="C12" s="816" t="s">
        <v>77</v>
      </c>
      <c r="D12" s="832" t="s">
        <v>10</v>
      </c>
      <c r="E12" s="832"/>
      <c r="F12" s="832"/>
      <c r="G12" s="832"/>
      <c r="H12" s="832"/>
      <c r="I12" s="832"/>
      <c r="J12" s="832"/>
      <c r="K12" s="832"/>
      <c r="L12" s="832"/>
      <c r="M12" s="832"/>
      <c r="N12" s="832"/>
      <c r="O12" s="832"/>
      <c r="P12" s="832"/>
      <c r="Q12" s="832"/>
      <c r="R12" s="816" t="s">
        <v>20</v>
      </c>
      <c r="S12" s="833" t="s">
        <v>17</v>
      </c>
      <c r="T12" s="834"/>
      <c r="U12" s="834"/>
      <c r="V12" s="834"/>
      <c r="W12" s="834"/>
      <c r="X12" s="834"/>
      <c r="Y12" s="834"/>
      <c r="Z12" s="834"/>
      <c r="AA12" s="834"/>
      <c r="AB12" s="834"/>
      <c r="AC12" s="834"/>
      <c r="AD12" s="834"/>
      <c r="AE12" s="834"/>
      <c r="AF12" s="835" t="s">
        <v>5</v>
      </c>
      <c r="AG12" s="835"/>
      <c r="AH12" s="835"/>
      <c r="AI12" s="835"/>
      <c r="AJ12" s="835"/>
      <c r="AK12" s="835"/>
      <c r="AL12" s="835"/>
      <c r="AM12" s="835"/>
      <c r="AN12" s="835"/>
      <c r="AO12" s="835"/>
      <c r="AP12" s="835"/>
      <c r="AQ12" s="835"/>
      <c r="AR12" s="835"/>
      <c r="AS12" s="835"/>
      <c r="AT12" s="836" t="s">
        <v>32</v>
      </c>
      <c r="AU12" s="837"/>
      <c r="AV12" s="837"/>
      <c r="AW12" s="837"/>
      <c r="AX12" s="837"/>
      <c r="AY12" s="837"/>
      <c r="AZ12" s="837"/>
      <c r="BA12" s="837"/>
      <c r="BB12" s="837"/>
      <c r="BC12" s="837"/>
      <c r="BD12" s="837"/>
      <c r="BE12" s="837"/>
      <c r="BF12" s="838"/>
      <c r="BG12" s="816" t="s">
        <v>29</v>
      </c>
      <c r="BH12" s="816" t="s">
        <v>57</v>
      </c>
      <c r="BI12" s="819" t="s">
        <v>30</v>
      </c>
      <c r="BJ12" s="150"/>
      <c r="BK12" s="283"/>
      <c r="BL12" s="84"/>
      <c r="BM12" s="84"/>
      <c r="BN12" s="84"/>
      <c r="BO12" s="84"/>
      <c r="BP12" s="774" t="s">
        <v>32</v>
      </c>
      <c r="BQ12" s="775"/>
      <c r="BR12" s="775"/>
      <c r="BS12" s="775"/>
      <c r="BT12" s="775"/>
      <c r="BU12" s="775"/>
      <c r="BV12" s="775"/>
      <c r="BW12" s="775"/>
      <c r="BX12" s="775"/>
      <c r="BY12" s="775"/>
      <c r="BZ12" s="775"/>
      <c r="CA12" s="775"/>
      <c r="CB12" s="775"/>
      <c r="CC12" s="775"/>
      <c r="CD12" s="775"/>
      <c r="CE12" s="775"/>
      <c r="CF12" s="775"/>
      <c r="CG12" s="775"/>
      <c r="CH12" s="775"/>
      <c r="CI12" s="775"/>
      <c r="CJ12" s="775"/>
      <c r="CK12" s="775"/>
      <c r="CL12" s="775"/>
      <c r="CM12" s="775"/>
      <c r="CN12" s="775"/>
      <c r="CO12" s="776"/>
      <c r="CP12" s="192"/>
      <c r="CQ12" s="258"/>
      <c r="CR12" s="192"/>
      <c r="CS12" s="192"/>
      <c r="CT12" s="192"/>
      <c r="CU12" s="152"/>
      <c r="CV12" s="152"/>
      <c r="CW12" s="152"/>
      <c r="CX12" s="152"/>
      <c r="CY12" s="152"/>
      <c r="CZ12" s="152"/>
      <c r="DA12" s="152"/>
      <c r="DB12" s="152"/>
      <c r="DC12" s="152"/>
      <c r="DD12" s="168"/>
      <c r="DE12" s="168"/>
    </row>
    <row r="13" spans="1:127" s="169" customFormat="1" ht="48.75" customHeight="1" x14ac:dyDescent="0.2">
      <c r="A13" s="830"/>
      <c r="B13" s="817"/>
      <c r="C13" s="817"/>
      <c r="D13" s="822" t="s">
        <v>18</v>
      </c>
      <c r="E13" s="824" t="s">
        <v>19</v>
      </c>
      <c r="F13" s="825"/>
      <c r="G13" s="825"/>
      <c r="H13" s="825"/>
      <c r="I13" s="825"/>
      <c r="J13" s="825"/>
      <c r="K13" s="825"/>
      <c r="L13" s="825"/>
      <c r="M13" s="825"/>
      <c r="N13" s="825"/>
      <c r="O13" s="825"/>
      <c r="P13" s="825"/>
      <c r="Q13" s="825"/>
      <c r="R13" s="817"/>
      <c r="S13" s="822" t="s">
        <v>18</v>
      </c>
      <c r="T13" s="824" t="s">
        <v>19</v>
      </c>
      <c r="U13" s="825"/>
      <c r="V13" s="825"/>
      <c r="W13" s="825"/>
      <c r="X13" s="825"/>
      <c r="Y13" s="825"/>
      <c r="Z13" s="825"/>
      <c r="AA13" s="825"/>
      <c r="AB13" s="825"/>
      <c r="AC13" s="825"/>
      <c r="AD13" s="825"/>
      <c r="AE13" s="825"/>
      <c r="AF13" s="822" t="s">
        <v>18</v>
      </c>
      <c r="AG13" s="824" t="s">
        <v>19</v>
      </c>
      <c r="AH13" s="825"/>
      <c r="AI13" s="825"/>
      <c r="AJ13" s="825"/>
      <c r="AK13" s="825"/>
      <c r="AL13" s="825"/>
      <c r="AM13" s="825"/>
      <c r="AN13" s="825"/>
      <c r="AO13" s="825"/>
      <c r="AP13" s="825"/>
      <c r="AQ13" s="825"/>
      <c r="AR13" s="825"/>
      <c r="AS13" s="826"/>
      <c r="AT13" s="839"/>
      <c r="AU13" s="840"/>
      <c r="AV13" s="840"/>
      <c r="AW13" s="840"/>
      <c r="AX13" s="840"/>
      <c r="AY13" s="840"/>
      <c r="AZ13" s="840"/>
      <c r="BA13" s="840"/>
      <c r="BB13" s="840"/>
      <c r="BC13" s="840"/>
      <c r="BD13" s="840"/>
      <c r="BE13" s="840"/>
      <c r="BF13" s="841"/>
      <c r="BG13" s="817"/>
      <c r="BH13" s="817"/>
      <c r="BI13" s="820"/>
      <c r="BJ13" s="150"/>
      <c r="BK13" s="283"/>
      <c r="BL13" s="777">
        <f>SUM(BL15/60)</f>
        <v>0</v>
      </c>
      <c r="BM13" s="777"/>
      <c r="BN13" s="777"/>
      <c r="BO13" s="17"/>
      <c r="BP13" s="778" t="s">
        <v>230</v>
      </c>
      <c r="BQ13" s="779"/>
      <c r="BR13" s="779"/>
      <c r="BS13" s="779"/>
      <c r="BT13" s="779"/>
      <c r="BU13" s="779"/>
      <c r="BV13" s="779"/>
      <c r="BW13" s="779"/>
      <c r="BX13" s="779"/>
      <c r="BY13" s="779"/>
      <c r="BZ13" s="779"/>
      <c r="CA13" s="779"/>
      <c r="CB13" s="780"/>
      <c r="CC13" s="781" t="s">
        <v>231</v>
      </c>
      <c r="CD13" s="782"/>
      <c r="CE13" s="782"/>
      <c r="CF13" s="782"/>
      <c r="CG13" s="782"/>
      <c r="CH13" s="782"/>
      <c r="CI13" s="782"/>
      <c r="CJ13" s="782"/>
      <c r="CK13" s="782"/>
      <c r="CL13" s="782"/>
      <c r="CM13" s="782"/>
      <c r="CN13" s="782"/>
      <c r="CO13" s="783"/>
      <c r="CP13" s="192"/>
      <c r="CQ13" s="258"/>
      <c r="CR13" s="192"/>
      <c r="CS13" s="192"/>
      <c r="CT13" s="192"/>
      <c r="CU13" s="152"/>
      <c r="CV13" s="152"/>
      <c r="CW13" s="152"/>
      <c r="CX13" s="152"/>
      <c r="CY13" s="152"/>
      <c r="CZ13" s="152"/>
      <c r="DA13" s="152"/>
      <c r="DB13" s="152"/>
      <c r="DC13" s="152"/>
      <c r="DD13" s="168"/>
      <c r="DE13" s="168"/>
    </row>
    <row r="14" spans="1:127" s="172" customFormat="1" ht="28.5" customHeight="1" x14ac:dyDescent="0.2">
      <c r="A14" s="831"/>
      <c r="B14" s="818"/>
      <c r="C14" s="818"/>
      <c r="D14" s="823"/>
      <c r="E14" s="170">
        <v>1</v>
      </c>
      <c r="F14" s="170">
        <v>2</v>
      </c>
      <c r="G14" s="240">
        <v>3</v>
      </c>
      <c r="H14" s="170">
        <v>4</v>
      </c>
      <c r="I14" s="170">
        <v>5</v>
      </c>
      <c r="J14" s="170">
        <v>6</v>
      </c>
      <c r="K14" s="170">
        <v>7</v>
      </c>
      <c r="L14" s="170">
        <v>8</v>
      </c>
      <c r="M14" s="170">
        <v>9</v>
      </c>
      <c r="N14" s="170">
        <v>10</v>
      </c>
      <c r="O14" s="170">
        <v>11</v>
      </c>
      <c r="P14" s="170">
        <v>12</v>
      </c>
      <c r="Q14" s="170" t="s">
        <v>21</v>
      </c>
      <c r="R14" s="818"/>
      <c r="S14" s="823"/>
      <c r="T14" s="170">
        <v>1</v>
      </c>
      <c r="U14" s="170">
        <v>2</v>
      </c>
      <c r="V14" s="170">
        <v>3</v>
      </c>
      <c r="W14" s="170">
        <v>4</v>
      </c>
      <c r="X14" s="170">
        <v>5</v>
      </c>
      <c r="Y14" s="170">
        <v>6</v>
      </c>
      <c r="Z14" s="170">
        <v>7</v>
      </c>
      <c r="AA14" s="170">
        <v>8</v>
      </c>
      <c r="AB14" s="170">
        <v>9</v>
      </c>
      <c r="AC14" s="170">
        <v>10</v>
      </c>
      <c r="AD14" s="170">
        <v>11</v>
      </c>
      <c r="AE14" s="170">
        <v>12</v>
      </c>
      <c r="AF14" s="823"/>
      <c r="AG14" s="170">
        <v>1</v>
      </c>
      <c r="AH14" s="170">
        <v>2</v>
      </c>
      <c r="AI14" s="170">
        <v>3</v>
      </c>
      <c r="AJ14" s="170">
        <v>4</v>
      </c>
      <c r="AK14" s="266">
        <v>5</v>
      </c>
      <c r="AL14" s="170">
        <v>6</v>
      </c>
      <c r="AM14" s="170">
        <v>7</v>
      </c>
      <c r="AN14" s="170">
        <v>8</v>
      </c>
      <c r="AO14" s="170">
        <v>9</v>
      </c>
      <c r="AP14" s="170">
        <v>10</v>
      </c>
      <c r="AQ14" s="170">
        <v>11</v>
      </c>
      <c r="AR14" s="170">
        <v>12</v>
      </c>
      <c r="AS14" s="170" t="s">
        <v>13</v>
      </c>
      <c r="AT14" s="171">
        <v>1</v>
      </c>
      <c r="AU14" s="171">
        <v>2</v>
      </c>
      <c r="AV14" s="171">
        <v>3</v>
      </c>
      <c r="AW14" s="171">
        <v>4</v>
      </c>
      <c r="AX14" s="171">
        <v>5</v>
      </c>
      <c r="AY14" s="171">
        <v>6</v>
      </c>
      <c r="AZ14" s="171">
        <v>7</v>
      </c>
      <c r="BA14" s="171">
        <v>8</v>
      </c>
      <c r="BB14" s="171">
        <v>9</v>
      </c>
      <c r="BC14" s="171">
        <v>10</v>
      </c>
      <c r="BD14" s="171">
        <v>11</v>
      </c>
      <c r="BE14" s="171">
        <v>12</v>
      </c>
      <c r="BF14" s="170" t="s">
        <v>13</v>
      </c>
      <c r="BG14" s="818"/>
      <c r="BH14" s="818"/>
      <c r="BI14" s="821"/>
      <c r="BK14" s="284"/>
      <c r="BL14" s="784" t="s">
        <v>19</v>
      </c>
      <c r="BM14" s="785"/>
      <c r="BN14" s="786"/>
      <c r="BO14" s="337"/>
      <c r="BP14" s="111">
        <v>1</v>
      </c>
      <c r="BQ14" s="111">
        <v>2</v>
      </c>
      <c r="BR14" s="111">
        <v>3</v>
      </c>
      <c r="BS14" s="111">
        <v>4</v>
      </c>
      <c r="BT14" s="111">
        <v>5</v>
      </c>
      <c r="BU14" s="111">
        <v>6</v>
      </c>
      <c r="BV14" s="111">
        <v>7</v>
      </c>
      <c r="BW14" s="111">
        <v>8</v>
      </c>
      <c r="BX14" s="111">
        <v>9</v>
      </c>
      <c r="BY14" s="111">
        <v>10</v>
      </c>
      <c r="BZ14" s="111">
        <v>11</v>
      </c>
      <c r="CA14" s="111">
        <v>12</v>
      </c>
      <c r="CB14" s="20" t="s">
        <v>13</v>
      </c>
      <c r="CC14" s="111">
        <v>1</v>
      </c>
      <c r="CD14" s="111">
        <v>2</v>
      </c>
      <c r="CE14" s="111">
        <v>3</v>
      </c>
      <c r="CF14" s="111">
        <v>4</v>
      </c>
      <c r="CG14" s="111">
        <v>5</v>
      </c>
      <c r="CH14" s="111">
        <v>6</v>
      </c>
      <c r="CI14" s="111">
        <v>7</v>
      </c>
      <c r="CJ14" s="111">
        <v>8</v>
      </c>
      <c r="CK14" s="111">
        <v>9</v>
      </c>
      <c r="CL14" s="111">
        <v>10</v>
      </c>
      <c r="CM14" s="111">
        <v>11</v>
      </c>
      <c r="CN14" s="111">
        <v>12</v>
      </c>
      <c r="CO14" s="20" t="s">
        <v>13</v>
      </c>
      <c r="CP14" s="253"/>
      <c r="CQ14" s="261"/>
      <c r="CR14" s="253"/>
      <c r="CS14" s="253"/>
      <c r="CT14" s="253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</row>
    <row r="15" spans="1:127" s="205" customFormat="1" ht="32.25" customHeight="1" x14ac:dyDescent="0.2">
      <c r="A15" s="193">
        <v>1</v>
      </c>
      <c r="B15" s="234" t="s">
        <v>136</v>
      </c>
      <c r="C15" s="194" t="s">
        <v>86</v>
      </c>
      <c r="D15" s="235">
        <v>30</v>
      </c>
      <c r="E15" s="195">
        <v>30</v>
      </c>
      <c r="F15" s="235"/>
      <c r="G15" s="242"/>
      <c r="H15" s="196"/>
      <c r="I15" s="292"/>
      <c r="J15" s="292"/>
      <c r="K15" s="196"/>
      <c r="L15" s="196"/>
      <c r="M15" s="196"/>
      <c r="N15" s="196"/>
      <c r="O15" s="196"/>
      <c r="P15" s="196"/>
      <c r="Q15" s="197">
        <f t="shared" ref="Q15:Q17" si="46">SUM(E15:P15)</f>
        <v>30</v>
      </c>
      <c r="R15" s="236" t="s">
        <v>26</v>
      </c>
      <c r="S15" s="237">
        <v>10300</v>
      </c>
      <c r="T15" s="206">
        <v>10300</v>
      </c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75">
        <f>Q15*S15</f>
        <v>309000</v>
      </c>
      <c r="AG15" s="176">
        <f t="shared" ref="AG15:AG18" si="47">T15*E15</f>
        <v>309000</v>
      </c>
      <c r="AH15" s="176">
        <f t="shared" ref="AH15:AH18" si="48">U15*F15</f>
        <v>0</v>
      </c>
      <c r="AI15" s="176">
        <f t="shared" ref="AI15:AI17" si="49">V15*G15</f>
        <v>0</v>
      </c>
      <c r="AJ15" s="176">
        <f t="shared" ref="AJ15:AJ17" si="50">W15*H15</f>
        <v>0</v>
      </c>
      <c r="AK15" s="246">
        <f t="shared" ref="AK15:AK17" si="51">X15*I15</f>
        <v>0</v>
      </c>
      <c r="AL15" s="176">
        <f t="shared" ref="AL15:AL17" si="52">Y15*J15</f>
        <v>0</v>
      </c>
      <c r="AM15" s="176">
        <f t="shared" ref="AM15:AM17" si="53">Z15*K15</f>
        <v>0</v>
      </c>
      <c r="AN15" s="176">
        <f t="shared" ref="AN15:AN17" si="54">AA15*L15</f>
        <v>0</v>
      </c>
      <c r="AO15" s="176">
        <f t="shared" ref="AO15:AO17" si="55">AB15*M15</f>
        <v>0</v>
      </c>
      <c r="AP15" s="176">
        <f t="shared" ref="AP15:AP17" si="56">AC15*N15</f>
        <v>0</v>
      </c>
      <c r="AQ15" s="176">
        <f t="shared" ref="AQ15:AQ17" si="57">AD15*O15</f>
        <v>0</v>
      </c>
      <c r="AR15" s="176">
        <f t="shared" ref="AR15:AR17" si="58">AE15*P15</f>
        <v>0</v>
      </c>
      <c r="AS15" s="177">
        <f t="shared" ref="AS15:AS17" si="59">SUM(AG15:AR15)</f>
        <v>309000</v>
      </c>
      <c r="AT15" s="176">
        <f>AS15*4%</f>
        <v>12360</v>
      </c>
      <c r="AU15" s="176"/>
      <c r="AV15" s="176">
        <f t="shared" ref="AV15" si="60">SUM(AI15*14%)</f>
        <v>0</v>
      </c>
      <c r="AW15" s="176">
        <f t="shared" ref="AW15" si="61">SUM(AJ15*14%)</f>
        <v>0</v>
      </c>
      <c r="AX15" s="176">
        <f>SUM(AK15*4%)</f>
        <v>0</v>
      </c>
      <c r="AY15" s="176">
        <f t="shared" ref="AY15" si="62">SUM(AL15*14%)</f>
        <v>0</v>
      </c>
      <c r="AZ15" s="176">
        <f t="shared" ref="AZ15" si="63">SUM(AM15*14%)</f>
        <v>0</v>
      </c>
      <c r="BA15" s="176">
        <f t="shared" ref="BA15" si="64">SUM(AN15*14%)</f>
        <v>0</v>
      </c>
      <c r="BB15" s="176">
        <f t="shared" ref="BB15" si="65">SUM(AO15*14%)</f>
        <v>0</v>
      </c>
      <c r="BC15" s="176">
        <f t="shared" ref="BC15" si="66">SUM(AP15*14%)</f>
        <v>0</v>
      </c>
      <c r="BD15" s="176">
        <f t="shared" ref="BD15" si="67">SUM(AQ15*14%)</f>
        <v>0</v>
      </c>
      <c r="BE15" s="176">
        <f t="shared" ref="BE15" si="68">SUM(AR15*14%)</f>
        <v>0</v>
      </c>
      <c r="BF15" s="199">
        <f t="shared" ref="BF15:BF17" si="69">SUM(AT15:BE15)</f>
        <v>12360</v>
      </c>
      <c r="BG15" s="178">
        <f>AF15-AS15</f>
        <v>0</v>
      </c>
      <c r="BH15" s="179">
        <f t="shared" ref="BH15:BH17" si="70">S15*D15</f>
        <v>309000</v>
      </c>
      <c r="BI15" s="180">
        <f>BH15-AS15</f>
        <v>0</v>
      </c>
      <c r="BJ15" s="181">
        <f>SUM(Q15/D15)</f>
        <v>1</v>
      </c>
      <c r="BK15" s="285"/>
      <c r="BL15" s="556">
        <f>SUM(AI15-BR15)</f>
        <v>0</v>
      </c>
      <c r="BM15" s="556">
        <f>59000*60</f>
        <v>3540000</v>
      </c>
      <c r="BN15" s="567">
        <f>SUM(BL15-BM15)</f>
        <v>-3540000</v>
      </c>
      <c r="BO15" s="561"/>
      <c r="BP15" s="323"/>
      <c r="BQ15" s="323"/>
      <c r="BR15" s="556">
        <f t="shared" ref="BR15:BR16" si="71">SUM(AI15*12.5%)</f>
        <v>0</v>
      </c>
      <c r="BS15" s="323">
        <f t="shared" ref="BS15:BS16" si="72">SUM(AJ15*12.5%)</f>
        <v>0</v>
      </c>
      <c r="BT15" s="323">
        <f t="shared" ref="BT15:BT16" si="73">SUM(AK15*12.5%)</f>
        <v>0</v>
      </c>
      <c r="BU15" s="323">
        <f t="shared" ref="BU15:BU16" si="74">SUM(AL15*12.5%)</f>
        <v>0</v>
      </c>
      <c r="BV15" s="323">
        <f t="shared" ref="BV15:BV16" si="75">SUM(AM15*12.5%)</f>
        <v>0</v>
      </c>
      <c r="BW15" s="323">
        <f t="shared" ref="BW15:BW16" si="76">SUM(AN15*12.5%)</f>
        <v>0</v>
      </c>
      <c r="BX15" s="323">
        <f t="shared" ref="BX15:BX16" si="77">SUM(AO15*12.5%)</f>
        <v>0</v>
      </c>
      <c r="BY15" s="323">
        <f t="shared" ref="BY15:BY16" si="78">SUM(AP15*12.5%)</f>
        <v>0</v>
      </c>
      <c r="BZ15" s="323">
        <f t="shared" ref="BZ15:BZ16" si="79">SUM(AQ15*12.5%)</f>
        <v>0</v>
      </c>
      <c r="CA15" s="323">
        <f t="shared" ref="CA15:CA16" si="80">SUM(AR15*12.5%)</f>
        <v>0</v>
      </c>
      <c r="CB15" s="55">
        <f t="shared" ref="CB15" si="81">SUM(BP15:CA15)</f>
        <v>0</v>
      </c>
      <c r="CC15" s="323"/>
      <c r="CD15" s="323"/>
      <c r="CE15" s="323"/>
      <c r="CF15" s="323"/>
      <c r="CG15" s="323"/>
      <c r="CH15" s="323"/>
      <c r="CI15" s="323"/>
      <c r="CJ15" s="323"/>
      <c r="CK15" s="323"/>
      <c r="CL15" s="323"/>
      <c r="CM15" s="323"/>
      <c r="CN15" s="323"/>
      <c r="CO15" s="55">
        <f t="shared" ref="CO15:CO16" si="82">SUM(CC15:CN15)</f>
        <v>0</v>
      </c>
      <c r="CP15" s="254"/>
      <c r="CQ15" s="263"/>
      <c r="CR15" s="203"/>
      <c r="CS15" s="203"/>
      <c r="CT15" s="203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</row>
    <row r="16" spans="1:127" s="205" customFormat="1" ht="24.75" customHeight="1" x14ac:dyDescent="0.2">
      <c r="A16" s="193">
        <v>2</v>
      </c>
      <c r="B16" s="234" t="s">
        <v>137</v>
      </c>
      <c r="C16" s="194" t="s">
        <v>86</v>
      </c>
      <c r="D16" s="235">
        <v>30</v>
      </c>
      <c r="E16" s="195">
        <v>30</v>
      </c>
      <c r="F16" s="235"/>
      <c r="G16" s="242"/>
      <c r="H16" s="196"/>
      <c r="I16" s="292"/>
      <c r="J16" s="292"/>
      <c r="K16" s="196"/>
      <c r="L16" s="196"/>
      <c r="M16" s="196"/>
      <c r="N16" s="196"/>
      <c r="O16" s="196"/>
      <c r="P16" s="196"/>
      <c r="Q16" s="197">
        <f t="shared" si="46"/>
        <v>30</v>
      </c>
      <c r="R16" s="236" t="s">
        <v>26</v>
      </c>
      <c r="S16" s="237">
        <v>28500</v>
      </c>
      <c r="T16" s="206">
        <v>28000</v>
      </c>
      <c r="U16" s="343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75">
        <f t="shared" ref="AF16:AF18" si="83">Q16*S16</f>
        <v>855000</v>
      </c>
      <c r="AG16" s="207">
        <f t="shared" si="47"/>
        <v>840000</v>
      </c>
      <c r="AH16" s="207">
        <f t="shared" si="48"/>
        <v>0</v>
      </c>
      <c r="AI16" s="207">
        <f t="shared" si="49"/>
        <v>0</v>
      </c>
      <c r="AJ16" s="207">
        <f t="shared" si="50"/>
        <v>0</v>
      </c>
      <c r="AK16" s="267">
        <f t="shared" si="51"/>
        <v>0</v>
      </c>
      <c r="AL16" s="207">
        <f t="shared" si="52"/>
        <v>0</v>
      </c>
      <c r="AM16" s="207">
        <f t="shared" si="53"/>
        <v>0</v>
      </c>
      <c r="AN16" s="207">
        <f t="shared" si="54"/>
        <v>0</v>
      </c>
      <c r="AO16" s="207">
        <f t="shared" si="55"/>
        <v>0</v>
      </c>
      <c r="AP16" s="207">
        <f t="shared" si="56"/>
        <v>0</v>
      </c>
      <c r="AQ16" s="207">
        <f t="shared" si="57"/>
        <v>0</v>
      </c>
      <c r="AR16" s="207">
        <f t="shared" si="58"/>
        <v>0</v>
      </c>
      <c r="AS16" s="177">
        <f t="shared" si="59"/>
        <v>840000</v>
      </c>
      <c r="AT16" s="176">
        <f>AS16*4%</f>
        <v>33600</v>
      </c>
      <c r="AU16" s="207"/>
      <c r="AV16" s="207">
        <f t="shared" ref="AV16" si="84">AI16*T16</f>
        <v>0</v>
      </c>
      <c r="AW16" s="207">
        <f t="shared" ref="AW16" si="85">AJ16*U16</f>
        <v>0</v>
      </c>
      <c r="AX16" s="207">
        <f t="shared" ref="AX16" si="86">AK16*V16</f>
        <v>0</v>
      </c>
      <c r="AY16" s="207">
        <f t="shared" ref="AY16" si="87">AL16*W16</f>
        <v>0</v>
      </c>
      <c r="AZ16" s="207">
        <f t="shared" ref="AZ16" si="88">AM16*X16</f>
        <v>0</v>
      </c>
      <c r="BA16" s="207">
        <f t="shared" ref="BA16" si="89">AN16*Y16</f>
        <v>0</v>
      </c>
      <c r="BB16" s="207">
        <f t="shared" ref="BB16" si="90">AO16*Z16</f>
        <v>0</v>
      </c>
      <c r="BC16" s="207">
        <f t="shared" ref="BC16" si="91">AP16*AA16</f>
        <v>0</v>
      </c>
      <c r="BD16" s="207">
        <f t="shared" ref="BD16" si="92">AQ16*AB16</f>
        <v>0</v>
      </c>
      <c r="BE16" s="207">
        <f t="shared" ref="BE16" si="93">AR16*AC16</f>
        <v>0</v>
      </c>
      <c r="BF16" s="199">
        <f t="shared" si="69"/>
        <v>33600</v>
      </c>
      <c r="BG16" s="178"/>
      <c r="BH16" s="179">
        <f t="shared" si="70"/>
        <v>855000</v>
      </c>
      <c r="BI16" s="180"/>
      <c r="BJ16" s="181">
        <f t="shared" ref="BJ16:BJ18" si="94">SUM(Q16/D16)</f>
        <v>1</v>
      </c>
      <c r="BK16" s="285"/>
      <c r="BL16" s="556">
        <f t="shared" ref="BL16" si="95">SUM(AI16-BR16)</f>
        <v>0</v>
      </c>
      <c r="BM16" s="556">
        <f>SUM(G16*T16)</f>
        <v>0</v>
      </c>
      <c r="BN16" s="567">
        <f t="shared" ref="BN16" si="96">SUM(BL16-BM16)</f>
        <v>0</v>
      </c>
      <c r="BO16" s="561"/>
      <c r="BP16" s="323"/>
      <c r="BQ16" s="323"/>
      <c r="BR16" s="556">
        <f t="shared" si="71"/>
        <v>0</v>
      </c>
      <c r="BS16" s="323">
        <f t="shared" si="72"/>
        <v>0</v>
      </c>
      <c r="BT16" s="323">
        <f t="shared" si="73"/>
        <v>0</v>
      </c>
      <c r="BU16" s="323">
        <f t="shared" si="74"/>
        <v>0</v>
      </c>
      <c r="BV16" s="323">
        <f t="shared" si="75"/>
        <v>0</v>
      </c>
      <c r="BW16" s="323">
        <f t="shared" si="76"/>
        <v>0</v>
      </c>
      <c r="BX16" s="323">
        <f t="shared" si="77"/>
        <v>0</v>
      </c>
      <c r="BY16" s="323">
        <f t="shared" si="78"/>
        <v>0</v>
      </c>
      <c r="BZ16" s="323">
        <f t="shared" si="79"/>
        <v>0</v>
      </c>
      <c r="CA16" s="323">
        <f t="shared" si="80"/>
        <v>0</v>
      </c>
      <c r="CB16" s="55">
        <f t="shared" ref="CB16" si="97">SUM(BP16:CA16)</f>
        <v>0</v>
      </c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3"/>
      <c r="CN16" s="323"/>
      <c r="CO16" s="55">
        <f t="shared" si="82"/>
        <v>0</v>
      </c>
      <c r="CP16" s="254"/>
      <c r="CQ16" s="263"/>
      <c r="CR16" s="203"/>
      <c r="CS16" s="203"/>
      <c r="CT16" s="203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</row>
    <row r="17" spans="1:127" s="205" customFormat="1" ht="32.25" customHeight="1" x14ac:dyDescent="0.2">
      <c r="A17" s="193">
        <v>3</v>
      </c>
      <c r="B17" s="234" t="s">
        <v>138</v>
      </c>
      <c r="C17" s="194" t="s">
        <v>86</v>
      </c>
      <c r="D17" s="235">
        <v>3</v>
      </c>
      <c r="E17" s="195">
        <v>3</v>
      </c>
      <c r="F17" s="235"/>
      <c r="G17" s="242"/>
      <c r="H17" s="196"/>
      <c r="I17" s="292"/>
      <c r="J17" s="292"/>
      <c r="K17" s="196"/>
      <c r="L17" s="196"/>
      <c r="M17" s="196"/>
      <c r="N17" s="196"/>
      <c r="O17" s="196"/>
      <c r="P17" s="196"/>
      <c r="Q17" s="197">
        <f t="shared" si="46"/>
        <v>3</v>
      </c>
      <c r="R17" s="236" t="s">
        <v>0</v>
      </c>
      <c r="S17" s="237">
        <v>20000</v>
      </c>
      <c r="T17" s="206">
        <v>16000</v>
      </c>
      <c r="U17" s="344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75">
        <f t="shared" si="83"/>
        <v>60000</v>
      </c>
      <c r="AG17" s="176">
        <f t="shared" si="47"/>
        <v>48000</v>
      </c>
      <c r="AH17" s="176">
        <f t="shared" si="48"/>
        <v>0</v>
      </c>
      <c r="AI17" s="176">
        <f t="shared" si="49"/>
        <v>0</v>
      </c>
      <c r="AJ17" s="176">
        <f t="shared" si="50"/>
        <v>0</v>
      </c>
      <c r="AK17" s="246">
        <f t="shared" si="51"/>
        <v>0</v>
      </c>
      <c r="AL17" s="176">
        <f t="shared" si="52"/>
        <v>0</v>
      </c>
      <c r="AM17" s="176">
        <f t="shared" si="53"/>
        <v>0</v>
      </c>
      <c r="AN17" s="176">
        <f t="shared" si="54"/>
        <v>0</v>
      </c>
      <c r="AO17" s="176">
        <f t="shared" si="55"/>
        <v>0</v>
      </c>
      <c r="AP17" s="176">
        <f t="shared" si="56"/>
        <v>0</v>
      </c>
      <c r="AQ17" s="176">
        <f t="shared" si="57"/>
        <v>0</v>
      </c>
      <c r="AR17" s="176">
        <f t="shared" si="58"/>
        <v>0</v>
      </c>
      <c r="AS17" s="177">
        <f t="shared" si="59"/>
        <v>48000</v>
      </c>
      <c r="AT17" s="176">
        <v>0</v>
      </c>
      <c r="AU17" s="176"/>
      <c r="AV17" s="176">
        <f t="shared" ref="AV17" si="98">SUM(AI17*14%)</f>
        <v>0</v>
      </c>
      <c r="AW17" s="176">
        <f t="shared" ref="AW17" si="99">SUM(AJ17*14%)</f>
        <v>0</v>
      </c>
      <c r="AX17" s="176">
        <f t="shared" ref="AX17" si="100">SUM(AK17*14%)</f>
        <v>0</v>
      </c>
      <c r="AY17" s="176">
        <f t="shared" ref="AY17" si="101">SUM(AL17*14%)</f>
        <v>0</v>
      </c>
      <c r="AZ17" s="176">
        <f t="shared" ref="AZ17" si="102">SUM(AM17*14%)</f>
        <v>0</v>
      </c>
      <c r="BA17" s="176">
        <f t="shared" ref="BA17" si="103">SUM(AN17*14%)</f>
        <v>0</v>
      </c>
      <c r="BB17" s="176">
        <f t="shared" ref="BB17" si="104">SUM(AO17*14%)</f>
        <v>0</v>
      </c>
      <c r="BC17" s="176">
        <f t="shared" ref="BC17" si="105">SUM(AP17*14%)</f>
        <v>0</v>
      </c>
      <c r="BD17" s="176">
        <f t="shared" ref="BD17" si="106">SUM(AQ17*14%)</f>
        <v>0</v>
      </c>
      <c r="BE17" s="176">
        <f t="shared" ref="BE17" si="107">SUM(AR17*14%)</f>
        <v>0</v>
      </c>
      <c r="BF17" s="199">
        <f t="shared" si="69"/>
        <v>0</v>
      </c>
      <c r="BG17" s="178">
        <f t="shared" ref="BG17:BG18" si="108">AF17-AS17-BF17</f>
        <v>12000</v>
      </c>
      <c r="BH17" s="179">
        <f t="shared" si="70"/>
        <v>60000</v>
      </c>
      <c r="BI17" s="180">
        <f t="shared" ref="BI17:BI18" si="109">BH17-AS17-BF17</f>
        <v>12000</v>
      </c>
      <c r="BJ17" s="181">
        <f>SUM(Q17/D17)</f>
        <v>1</v>
      </c>
      <c r="BK17" s="285"/>
      <c r="BL17" s="556">
        <f t="shared" ref="BL17:BL19" si="110">SUM(AI17-BR17)</f>
        <v>0</v>
      </c>
      <c r="BM17" s="556">
        <f t="shared" ref="BM17:BM19" si="111">SUM(G17*T17)</f>
        <v>0</v>
      </c>
      <c r="BN17" s="567">
        <f t="shared" ref="BN17:BN19" si="112">SUM(BL17-BM17)</f>
        <v>0</v>
      </c>
      <c r="BO17" s="561"/>
      <c r="BP17" s="323"/>
      <c r="BQ17" s="323"/>
      <c r="BR17" s="556">
        <f t="shared" ref="BR17:BR19" si="113">SUM(AI17*12.5%)</f>
        <v>0</v>
      </c>
      <c r="BS17" s="323">
        <f t="shared" ref="BS17:BS19" si="114">SUM(AJ17*12.5%)</f>
        <v>0</v>
      </c>
      <c r="BT17" s="323">
        <f t="shared" ref="BT17:BT19" si="115">SUM(AK17*12.5%)</f>
        <v>0</v>
      </c>
      <c r="BU17" s="323">
        <f t="shared" ref="BU17:BU19" si="116">SUM(AL17*12.5%)</f>
        <v>0</v>
      </c>
      <c r="BV17" s="323">
        <f t="shared" ref="BV17:BV19" si="117">SUM(AM17*12.5%)</f>
        <v>0</v>
      </c>
      <c r="BW17" s="323">
        <f t="shared" ref="BW17:BW19" si="118">SUM(AN17*12.5%)</f>
        <v>0</v>
      </c>
      <c r="BX17" s="323">
        <f t="shared" ref="BX17:BX19" si="119">SUM(AO17*12.5%)</f>
        <v>0</v>
      </c>
      <c r="BY17" s="323">
        <f t="shared" ref="BY17:BY19" si="120">SUM(AP17*12.5%)</f>
        <v>0</v>
      </c>
      <c r="BZ17" s="323">
        <f t="shared" ref="BZ17:BZ19" si="121">SUM(AQ17*12.5%)</f>
        <v>0</v>
      </c>
      <c r="CA17" s="323">
        <f t="shared" ref="CA17:CA19" si="122">SUM(AR17*12.5%)</f>
        <v>0</v>
      </c>
      <c r="CB17" s="55">
        <f t="shared" ref="CB17:CB19" si="123">SUM(BP17:CA17)</f>
        <v>0</v>
      </c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55">
        <f t="shared" ref="CO17:CO19" si="124">SUM(CC17:CN17)</f>
        <v>0</v>
      </c>
      <c r="CP17" s="254"/>
      <c r="CQ17" s="263"/>
      <c r="CR17" s="203"/>
      <c r="CS17" s="203"/>
      <c r="CT17" s="203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</row>
    <row r="18" spans="1:127" s="205" customFormat="1" ht="24.75" customHeight="1" thickBot="1" x14ac:dyDescent="0.25">
      <c r="A18" s="193">
        <v>4</v>
      </c>
      <c r="B18" s="234" t="s">
        <v>92</v>
      </c>
      <c r="C18" s="194" t="s">
        <v>86</v>
      </c>
      <c r="D18" s="235">
        <v>1</v>
      </c>
      <c r="E18" s="195">
        <v>1</v>
      </c>
      <c r="F18" s="235"/>
      <c r="G18" s="242"/>
      <c r="H18" s="196"/>
      <c r="I18" s="292"/>
      <c r="J18" s="292"/>
      <c r="K18" s="196"/>
      <c r="L18" s="196"/>
      <c r="M18" s="196"/>
      <c r="N18" s="196"/>
      <c r="O18" s="196"/>
      <c r="P18" s="196"/>
      <c r="Q18" s="197">
        <f t="shared" ref="Q18" si="125">SUM(E18:P18)</f>
        <v>1</v>
      </c>
      <c r="R18" s="236" t="s">
        <v>2</v>
      </c>
      <c r="S18" s="237">
        <v>10974</v>
      </c>
      <c r="T18" s="206">
        <v>10000</v>
      </c>
      <c r="U18" s="344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75">
        <f t="shared" si="83"/>
        <v>10974</v>
      </c>
      <c r="AG18" s="176">
        <f t="shared" si="47"/>
        <v>10000</v>
      </c>
      <c r="AH18" s="176">
        <f t="shared" si="48"/>
        <v>0</v>
      </c>
      <c r="AI18" s="176"/>
      <c r="AJ18" s="176"/>
      <c r="AK18" s="246"/>
      <c r="AL18" s="176"/>
      <c r="AM18" s="176"/>
      <c r="AN18" s="176"/>
      <c r="AO18" s="176"/>
      <c r="AP18" s="176"/>
      <c r="AQ18" s="176"/>
      <c r="AR18" s="176"/>
      <c r="AS18" s="177">
        <f t="shared" ref="AS18" si="126">SUM(AG18:AR18)</f>
        <v>10000</v>
      </c>
      <c r="AT18" s="176">
        <v>0</v>
      </c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99">
        <f t="shared" ref="BF18" si="127">SUM(AT18:BE18)</f>
        <v>0</v>
      </c>
      <c r="BG18" s="178">
        <f t="shared" si="108"/>
        <v>974</v>
      </c>
      <c r="BH18" s="179">
        <f t="shared" ref="BH18" si="128">S18*D18</f>
        <v>10974</v>
      </c>
      <c r="BI18" s="180">
        <f t="shared" si="109"/>
        <v>974</v>
      </c>
      <c r="BJ18" s="181">
        <f t="shared" si="94"/>
        <v>1</v>
      </c>
      <c r="BK18" s="285"/>
      <c r="BL18" s="556">
        <f t="shared" si="110"/>
        <v>0</v>
      </c>
      <c r="BM18" s="556">
        <f t="shared" si="111"/>
        <v>0</v>
      </c>
      <c r="BN18" s="567">
        <f t="shared" si="112"/>
        <v>0</v>
      </c>
      <c r="BO18" s="561"/>
      <c r="BP18" s="323"/>
      <c r="BQ18" s="323"/>
      <c r="BR18" s="556">
        <f t="shared" si="113"/>
        <v>0</v>
      </c>
      <c r="BS18" s="323">
        <f t="shared" si="114"/>
        <v>0</v>
      </c>
      <c r="BT18" s="323">
        <f t="shared" si="115"/>
        <v>0</v>
      </c>
      <c r="BU18" s="323">
        <f t="shared" si="116"/>
        <v>0</v>
      </c>
      <c r="BV18" s="323">
        <f t="shared" si="117"/>
        <v>0</v>
      </c>
      <c r="BW18" s="323">
        <f t="shared" si="118"/>
        <v>0</v>
      </c>
      <c r="BX18" s="323">
        <f t="shared" si="119"/>
        <v>0</v>
      </c>
      <c r="BY18" s="323">
        <f t="shared" si="120"/>
        <v>0</v>
      </c>
      <c r="BZ18" s="323">
        <f t="shared" si="121"/>
        <v>0</v>
      </c>
      <c r="CA18" s="323">
        <f t="shared" si="122"/>
        <v>0</v>
      </c>
      <c r="CB18" s="55">
        <f t="shared" si="123"/>
        <v>0</v>
      </c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3"/>
      <c r="CN18" s="323"/>
      <c r="CO18" s="55">
        <f t="shared" si="124"/>
        <v>0</v>
      </c>
      <c r="CP18" s="254"/>
      <c r="CQ18" s="263"/>
      <c r="CR18" s="203"/>
      <c r="CS18" s="203"/>
      <c r="CT18" s="203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</row>
    <row r="19" spans="1:127" s="184" customFormat="1" ht="24.75" customHeight="1" thickBot="1" x14ac:dyDescent="0.25">
      <c r="A19" s="208"/>
      <c r="B19" s="209" t="s">
        <v>4</v>
      </c>
      <c r="C19" s="209"/>
      <c r="D19" s="210"/>
      <c r="E19" s="211"/>
      <c r="F19" s="211"/>
      <c r="G19" s="243"/>
      <c r="H19" s="211"/>
      <c r="I19" s="293"/>
      <c r="J19" s="293"/>
      <c r="K19" s="211"/>
      <c r="L19" s="211"/>
      <c r="M19" s="211"/>
      <c r="N19" s="211"/>
      <c r="O19" s="211"/>
      <c r="P19" s="211"/>
      <c r="Q19" s="211"/>
      <c r="R19" s="213"/>
      <c r="S19" s="214"/>
      <c r="T19" s="214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6">
        <f t="shared" ref="AF19:BF19" si="129">SUM(AF15:AF18)</f>
        <v>1234974</v>
      </c>
      <c r="AG19" s="216">
        <f>SUM(AG15:AG18)-29400</f>
        <v>1177600</v>
      </c>
      <c r="AH19" s="216">
        <f t="shared" si="129"/>
        <v>0</v>
      </c>
      <c r="AI19" s="216">
        <f t="shared" si="129"/>
        <v>0</v>
      </c>
      <c r="AJ19" s="216">
        <f t="shared" si="129"/>
        <v>0</v>
      </c>
      <c r="AK19" s="216">
        <f t="shared" si="129"/>
        <v>0</v>
      </c>
      <c r="AL19" s="216">
        <f t="shared" si="129"/>
        <v>0</v>
      </c>
      <c r="AM19" s="216">
        <f t="shared" si="129"/>
        <v>0</v>
      </c>
      <c r="AN19" s="216">
        <f t="shared" si="129"/>
        <v>0</v>
      </c>
      <c r="AO19" s="216">
        <f t="shared" si="129"/>
        <v>0</v>
      </c>
      <c r="AP19" s="216">
        <f t="shared" si="129"/>
        <v>0</v>
      </c>
      <c r="AQ19" s="216">
        <f t="shared" si="129"/>
        <v>0</v>
      </c>
      <c r="AR19" s="216">
        <f t="shared" si="129"/>
        <v>0</v>
      </c>
      <c r="AS19" s="216">
        <f>SUM(AS15:AS18)-29400</f>
        <v>1177600</v>
      </c>
      <c r="AT19" s="216">
        <f t="shared" si="129"/>
        <v>45960</v>
      </c>
      <c r="AU19" s="216">
        <f t="shared" si="129"/>
        <v>0</v>
      </c>
      <c r="AV19" s="216">
        <f t="shared" si="129"/>
        <v>0</v>
      </c>
      <c r="AW19" s="216">
        <f t="shared" si="129"/>
        <v>0</v>
      </c>
      <c r="AX19" s="216">
        <f t="shared" si="129"/>
        <v>0</v>
      </c>
      <c r="AY19" s="216">
        <f t="shared" si="129"/>
        <v>0</v>
      </c>
      <c r="AZ19" s="216">
        <f t="shared" si="129"/>
        <v>0</v>
      </c>
      <c r="BA19" s="216">
        <f t="shared" si="129"/>
        <v>0</v>
      </c>
      <c r="BB19" s="216">
        <f t="shared" si="129"/>
        <v>0</v>
      </c>
      <c r="BC19" s="216">
        <f t="shared" si="129"/>
        <v>0</v>
      </c>
      <c r="BD19" s="216">
        <f t="shared" si="129"/>
        <v>0</v>
      </c>
      <c r="BE19" s="216">
        <f t="shared" si="129"/>
        <v>0</v>
      </c>
      <c r="BF19" s="216">
        <f t="shared" si="129"/>
        <v>45960</v>
      </c>
      <c r="BG19" s="217">
        <f>SUM(BG15:BG18)</f>
        <v>12974</v>
      </c>
      <c r="BH19" s="216">
        <f>SUM(BH15:BH18)</f>
        <v>1234974</v>
      </c>
      <c r="BI19" s="216">
        <f>SUM(BI15:BI18)</f>
        <v>12974</v>
      </c>
      <c r="BJ19" s="182">
        <f>SUM(BJ15:BJ18)/4</f>
        <v>1</v>
      </c>
      <c r="BK19" s="286"/>
      <c r="BL19" s="556">
        <f t="shared" si="110"/>
        <v>0</v>
      </c>
      <c r="BM19" s="556">
        <f t="shared" si="111"/>
        <v>0</v>
      </c>
      <c r="BN19" s="567">
        <f t="shared" si="112"/>
        <v>0</v>
      </c>
      <c r="BO19" s="561"/>
      <c r="BP19" s="323"/>
      <c r="BQ19" s="323"/>
      <c r="BR19" s="556">
        <f t="shared" si="113"/>
        <v>0</v>
      </c>
      <c r="BS19" s="323">
        <f t="shared" si="114"/>
        <v>0</v>
      </c>
      <c r="BT19" s="323">
        <f t="shared" si="115"/>
        <v>0</v>
      </c>
      <c r="BU19" s="323">
        <f t="shared" si="116"/>
        <v>0</v>
      </c>
      <c r="BV19" s="323">
        <f t="shared" si="117"/>
        <v>0</v>
      </c>
      <c r="BW19" s="323">
        <f t="shared" si="118"/>
        <v>0</v>
      </c>
      <c r="BX19" s="323">
        <f t="shared" si="119"/>
        <v>0</v>
      </c>
      <c r="BY19" s="323">
        <f t="shared" si="120"/>
        <v>0</v>
      </c>
      <c r="BZ19" s="323">
        <f t="shared" si="121"/>
        <v>0</v>
      </c>
      <c r="CA19" s="323">
        <f t="shared" si="122"/>
        <v>0</v>
      </c>
      <c r="CB19" s="55">
        <f t="shared" si="123"/>
        <v>0</v>
      </c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55">
        <f t="shared" si="124"/>
        <v>0</v>
      </c>
      <c r="CP19" s="218"/>
      <c r="CQ19" s="264"/>
      <c r="CR19" s="218"/>
      <c r="CS19" s="218"/>
      <c r="CT19" s="218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</row>
    <row r="20" spans="1:127" s="167" customFormat="1" ht="24.75" customHeight="1" x14ac:dyDescent="0.2">
      <c r="A20" s="185"/>
      <c r="D20" s="185"/>
      <c r="E20" s="185"/>
      <c r="F20" s="185"/>
      <c r="G20" s="241"/>
      <c r="H20" s="185"/>
      <c r="I20" s="291"/>
      <c r="J20" s="291"/>
      <c r="K20" s="185"/>
      <c r="L20" s="185"/>
      <c r="M20" s="185"/>
      <c r="N20" s="185"/>
      <c r="O20" s="185"/>
      <c r="P20" s="185"/>
      <c r="Q20" s="185"/>
      <c r="R20" s="185"/>
      <c r="AG20" s="315"/>
      <c r="AS20" s="191"/>
      <c r="AT20" s="232"/>
      <c r="BF20" s="220">
        <f>SUM(AS19+BF19)</f>
        <v>1223560</v>
      </c>
      <c r="BG20" s="186">
        <f>AF19-AS19-BF19</f>
        <v>11414</v>
      </c>
      <c r="BH20" s="221">
        <f>SUM(BI19+AS19+BF19)</f>
        <v>1236534</v>
      </c>
      <c r="BI20" s="187">
        <f>SUM(BG19)</f>
        <v>12974</v>
      </c>
      <c r="BJ20" s="183" t="s">
        <v>29</v>
      </c>
      <c r="BK20" s="287"/>
      <c r="BL20" s="164"/>
      <c r="BM20" s="165"/>
      <c r="BN20" s="250"/>
      <c r="BO20" s="257"/>
      <c r="BP20" s="250"/>
      <c r="BQ20" s="250"/>
      <c r="BR20" s="250"/>
      <c r="BS20" s="257"/>
      <c r="BT20" s="250"/>
      <c r="BU20" s="250"/>
      <c r="BV20" s="250"/>
      <c r="BW20" s="257"/>
      <c r="BX20" s="250"/>
      <c r="BY20" s="250"/>
      <c r="BZ20" s="250"/>
      <c r="CA20" s="257"/>
      <c r="CB20" s="250"/>
      <c r="CC20" s="250"/>
      <c r="CD20" s="250"/>
      <c r="CE20" s="257"/>
      <c r="CF20" s="250"/>
      <c r="CG20" s="250"/>
      <c r="CH20" s="250"/>
      <c r="CI20" s="257"/>
      <c r="CJ20" s="250"/>
      <c r="CK20" s="250"/>
      <c r="CL20" s="250"/>
      <c r="CM20" s="257"/>
      <c r="CN20" s="250"/>
      <c r="CO20" s="250"/>
      <c r="CP20" s="250"/>
      <c r="CQ20" s="257"/>
      <c r="CR20" s="250"/>
      <c r="CS20" s="250"/>
      <c r="CT20" s="250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</row>
    <row r="21" spans="1:127" s="183" customFormat="1" ht="24.75" customHeight="1" x14ac:dyDescent="0.2">
      <c r="A21" s="230"/>
      <c r="D21" s="230"/>
      <c r="E21" s="230"/>
      <c r="F21" s="230"/>
      <c r="G21" s="164"/>
      <c r="H21" s="230"/>
      <c r="I21" s="294"/>
      <c r="J21" s="294"/>
      <c r="K21" s="230"/>
      <c r="L21" s="230"/>
      <c r="M21" s="230"/>
      <c r="N21" s="230"/>
      <c r="O21" s="230"/>
      <c r="P21" s="230"/>
      <c r="Q21" s="230"/>
      <c r="R21" s="230"/>
      <c r="AM21" s="233"/>
      <c r="AT21" s="233">
        <f>SUM(AG19+AT19)</f>
        <v>1223560</v>
      </c>
      <c r="AU21" s="233">
        <f>SUM(AH19+AU19)</f>
        <v>0</v>
      </c>
      <c r="AV21" s="233">
        <f>SUM(AI19+AV19)</f>
        <v>0</v>
      </c>
      <c r="AW21" s="233">
        <f t="shared" ref="AW21" si="130">SUM(AJ19+AW19)</f>
        <v>0</v>
      </c>
      <c r="AX21" s="233">
        <f>SUM(AK19+AX19)</f>
        <v>0</v>
      </c>
      <c r="AY21" s="233">
        <f t="shared" ref="AY21" si="131">SUM(AL19+AY19)</f>
        <v>0</v>
      </c>
      <c r="AZ21" s="233">
        <f t="shared" ref="AZ21" si="132">SUM(AM19+AZ19)</f>
        <v>0</v>
      </c>
      <c r="BA21" s="233">
        <f t="shared" ref="BA21" si="133">SUM(AN19+BA19)</f>
        <v>0</v>
      </c>
      <c r="BB21" s="233">
        <f t="shared" ref="BB21" si="134">SUM(AO19+BB19)</f>
        <v>0</v>
      </c>
      <c r="BC21" s="233">
        <f t="shared" ref="BC21" si="135">SUM(AP19+BC19)</f>
        <v>0</v>
      </c>
      <c r="BD21" s="233">
        <f t="shared" ref="BD21" si="136">SUM(AQ19+BD19)</f>
        <v>0</v>
      </c>
      <c r="BE21" s="233">
        <f t="shared" ref="BE21" si="137">SUM(AR19+BE19)</f>
        <v>0</v>
      </c>
      <c r="BF21" s="233">
        <f>SUM(AT21:AY21)</f>
        <v>1223560</v>
      </c>
      <c r="BH21" s="231"/>
      <c r="BI21" s="189">
        <f>SUM(BI19-BI20)</f>
        <v>0</v>
      </c>
      <c r="BJ21" s="183" t="s">
        <v>28</v>
      </c>
      <c r="BK21" s="287"/>
      <c r="BL21" s="164"/>
      <c r="BM21" s="166"/>
      <c r="BN21" s="251"/>
      <c r="BO21" s="260"/>
      <c r="BP21" s="251"/>
      <c r="BQ21" s="251"/>
      <c r="BR21" s="251"/>
      <c r="BS21" s="260"/>
      <c r="BT21" s="251"/>
      <c r="BU21" s="251"/>
      <c r="BV21" s="251"/>
      <c r="BW21" s="260"/>
      <c r="BX21" s="251"/>
      <c r="BY21" s="251"/>
      <c r="BZ21" s="251"/>
      <c r="CA21" s="260"/>
      <c r="CB21" s="251"/>
      <c r="CC21" s="251"/>
      <c r="CD21" s="251"/>
      <c r="CE21" s="260"/>
      <c r="CF21" s="251"/>
      <c r="CG21" s="251"/>
      <c r="CH21" s="251"/>
      <c r="CI21" s="260"/>
      <c r="CJ21" s="251"/>
      <c r="CK21" s="251"/>
      <c r="CL21" s="251"/>
      <c r="CM21" s="260"/>
      <c r="CN21" s="251"/>
      <c r="CO21" s="251"/>
      <c r="CP21" s="251"/>
      <c r="CQ21" s="260"/>
      <c r="CR21" s="251"/>
      <c r="CS21" s="251"/>
      <c r="CT21" s="251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</row>
    <row r="22" spans="1:127" s="167" customFormat="1" ht="24.75" customHeight="1" x14ac:dyDescent="0.2">
      <c r="A22" s="827" t="s">
        <v>7</v>
      </c>
      <c r="B22" s="828"/>
      <c r="C22" s="151" t="s">
        <v>53</v>
      </c>
      <c r="D22" s="152"/>
      <c r="E22" s="152"/>
      <c r="F22" s="152"/>
      <c r="G22" s="192"/>
      <c r="H22" s="152"/>
      <c r="I22" s="290"/>
      <c r="J22" s="290"/>
      <c r="K22" s="152"/>
      <c r="L22" s="152"/>
      <c r="M22" s="152"/>
      <c r="N22" s="152"/>
      <c r="O22" s="152"/>
      <c r="P22" s="152"/>
      <c r="Q22" s="152"/>
      <c r="R22" s="152"/>
      <c r="S22" s="152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2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4"/>
      <c r="AT22" s="316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233"/>
      <c r="BG22" s="154"/>
      <c r="BH22" s="150"/>
      <c r="BI22" s="155"/>
      <c r="BJ22" s="152"/>
      <c r="BK22" s="192"/>
      <c r="BL22" s="192"/>
      <c r="BM22" s="153"/>
      <c r="BN22" s="192"/>
      <c r="BO22" s="258"/>
      <c r="BP22" s="192"/>
      <c r="BQ22" s="156"/>
      <c r="BR22" s="192"/>
      <c r="BS22" s="258"/>
      <c r="BT22" s="192"/>
      <c r="BU22" s="156"/>
      <c r="BV22" s="192"/>
      <c r="BW22" s="258"/>
      <c r="BX22" s="192"/>
      <c r="BY22" s="156"/>
      <c r="BZ22" s="192"/>
      <c r="CA22" s="258"/>
      <c r="CB22" s="192"/>
      <c r="CC22" s="156"/>
      <c r="CD22" s="192"/>
      <c r="CE22" s="258"/>
      <c r="CF22" s="192"/>
      <c r="CG22" s="156"/>
      <c r="CH22" s="192"/>
      <c r="CI22" s="258"/>
      <c r="CJ22" s="192"/>
      <c r="CK22" s="156"/>
      <c r="CL22" s="192"/>
      <c r="CM22" s="258"/>
      <c r="CN22" s="192"/>
      <c r="CO22" s="156"/>
      <c r="CP22" s="192"/>
      <c r="CQ22" s="258"/>
      <c r="CR22" s="192"/>
      <c r="CS22" s="156"/>
      <c r="CT22" s="192"/>
      <c r="CU22" s="153"/>
      <c r="CV22" s="153"/>
      <c r="CW22" s="153"/>
      <c r="CX22" s="153"/>
      <c r="CY22" s="154"/>
      <c r="CZ22" s="154"/>
      <c r="DA22" s="154"/>
      <c r="DB22" s="150"/>
      <c r="DC22" s="155"/>
      <c r="DD22" s="154"/>
      <c r="DE22" s="154"/>
      <c r="DF22" s="165"/>
      <c r="DG22" s="165"/>
      <c r="DH22" s="165"/>
      <c r="DI22" s="165"/>
      <c r="DJ22" s="165"/>
      <c r="DK22" s="166"/>
      <c r="DL22" s="165"/>
      <c r="DM22" s="165"/>
      <c r="DN22" s="165"/>
      <c r="DO22" s="165"/>
      <c r="DP22" s="165"/>
      <c r="DQ22" s="165"/>
      <c r="DR22" s="165"/>
      <c r="DS22" s="165"/>
      <c r="DT22" s="165"/>
      <c r="DU22" s="165"/>
      <c r="DV22" s="165"/>
      <c r="DW22" s="165"/>
    </row>
    <row r="23" spans="1:127" s="169" customFormat="1" ht="48.75" customHeight="1" x14ac:dyDescent="0.2">
      <c r="A23" s="829" t="s">
        <v>8</v>
      </c>
      <c r="B23" s="816" t="s">
        <v>9</v>
      </c>
      <c r="C23" s="816" t="s">
        <v>77</v>
      </c>
      <c r="D23" s="832" t="s">
        <v>10</v>
      </c>
      <c r="E23" s="832"/>
      <c r="F23" s="832"/>
      <c r="G23" s="832"/>
      <c r="H23" s="832"/>
      <c r="I23" s="832"/>
      <c r="J23" s="832"/>
      <c r="K23" s="832"/>
      <c r="L23" s="832"/>
      <c r="M23" s="832"/>
      <c r="N23" s="832"/>
      <c r="O23" s="832"/>
      <c r="P23" s="832"/>
      <c r="Q23" s="832"/>
      <c r="R23" s="816" t="s">
        <v>20</v>
      </c>
      <c r="S23" s="833" t="s">
        <v>17</v>
      </c>
      <c r="T23" s="834"/>
      <c r="U23" s="834"/>
      <c r="V23" s="834"/>
      <c r="W23" s="834"/>
      <c r="X23" s="834"/>
      <c r="Y23" s="834"/>
      <c r="Z23" s="834"/>
      <c r="AA23" s="834"/>
      <c r="AB23" s="834"/>
      <c r="AC23" s="834"/>
      <c r="AD23" s="834"/>
      <c r="AE23" s="834"/>
      <c r="AF23" s="835" t="s">
        <v>5</v>
      </c>
      <c r="AG23" s="835"/>
      <c r="AH23" s="835"/>
      <c r="AI23" s="835"/>
      <c r="AJ23" s="835"/>
      <c r="AK23" s="835"/>
      <c r="AL23" s="835"/>
      <c r="AM23" s="835"/>
      <c r="AN23" s="835"/>
      <c r="AO23" s="835"/>
      <c r="AP23" s="835"/>
      <c r="AQ23" s="835"/>
      <c r="AR23" s="835"/>
      <c r="AS23" s="835"/>
      <c r="AT23" s="836" t="s">
        <v>32</v>
      </c>
      <c r="AU23" s="837"/>
      <c r="AV23" s="837"/>
      <c r="AW23" s="837"/>
      <c r="AX23" s="837"/>
      <c r="AY23" s="837"/>
      <c r="AZ23" s="837"/>
      <c r="BA23" s="837"/>
      <c r="BB23" s="837"/>
      <c r="BC23" s="837"/>
      <c r="BD23" s="837"/>
      <c r="BE23" s="837"/>
      <c r="BF23" s="838"/>
      <c r="BG23" s="816" t="s">
        <v>29</v>
      </c>
      <c r="BH23" s="816" t="s">
        <v>57</v>
      </c>
      <c r="BI23" s="819" t="s">
        <v>30</v>
      </c>
      <c r="BJ23" s="150"/>
      <c r="BK23" s="283"/>
      <c r="BL23" s="84"/>
      <c r="BM23" s="84"/>
      <c r="BN23" s="84"/>
      <c r="BO23" s="84"/>
      <c r="BP23" s="774" t="s">
        <v>32</v>
      </c>
      <c r="BQ23" s="775"/>
      <c r="BR23" s="775"/>
      <c r="BS23" s="775"/>
      <c r="BT23" s="775"/>
      <c r="BU23" s="775"/>
      <c r="BV23" s="775"/>
      <c r="BW23" s="775"/>
      <c r="BX23" s="775"/>
      <c r="BY23" s="775"/>
      <c r="BZ23" s="775"/>
      <c r="CA23" s="775"/>
      <c r="CB23" s="775"/>
      <c r="CC23" s="775"/>
      <c r="CD23" s="775"/>
      <c r="CE23" s="775"/>
      <c r="CF23" s="775"/>
      <c r="CG23" s="775"/>
      <c r="CH23" s="775"/>
      <c r="CI23" s="775"/>
      <c r="CJ23" s="775"/>
      <c r="CK23" s="775"/>
      <c r="CL23" s="775"/>
      <c r="CM23" s="775"/>
      <c r="CN23" s="775"/>
      <c r="CO23" s="776"/>
      <c r="CP23" s="192"/>
      <c r="CQ23" s="258"/>
      <c r="CR23" s="192"/>
      <c r="CS23" s="192"/>
      <c r="CT23" s="192"/>
      <c r="CU23" s="152"/>
      <c r="CV23" s="152"/>
      <c r="CW23" s="152"/>
      <c r="CX23" s="152"/>
      <c r="CY23" s="152"/>
      <c r="CZ23" s="152"/>
      <c r="DA23" s="152"/>
      <c r="DB23" s="152"/>
      <c r="DC23" s="152"/>
      <c r="DD23" s="168"/>
      <c r="DE23" s="168"/>
    </row>
    <row r="24" spans="1:127" s="169" customFormat="1" ht="48.75" customHeight="1" x14ac:dyDescent="0.2">
      <c r="A24" s="830"/>
      <c r="B24" s="817"/>
      <c r="C24" s="817"/>
      <c r="D24" s="822" t="s">
        <v>18</v>
      </c>
      <c r="E24" s="824" t="s">
        <v>19</v>
      </c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17"/>
      <c r="S24" s="822" t="s">
        <v>18</v>
      </c>
      <c r="T24" s="824" t="s">
        <v>19</v>
      </c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2" t="s">
        <v>18</v>
      </c>
      <c r="AG24" s="824" t="s">
        <v>19</v>
      </c>
      <c r="AH24" s="825"/>
      <c r="AI24" s="825"/>
      <c r="AJ24" s="825"/>
      <c r="AK24" s="825"/>
      <c r="AL24" s="825"/>
      <c r="AM24" s="825"/>
      <c r="AN24" s="825"/>
      <c r="AO24" s="825"/>
      <c r="AP24" s="825"/>
      <c r="AQ24" s="825"/>
      <c r="AR24" s="825"/>
      <c r="AS24" s="826"/>
      <c r="AT24" s="839"/>
      <c r="AU24" s="840"/>
      <c r="AV24" s="840"/>
      <c r="AW24" s="840"/>
      <c r="AX24" s="840"/>
      <c r="AY24" s="840"/>
      <c r="AZ24" s="840"/>
      <c r="BA24" s="840"/>
      <c r="BB24" s="840"/>
      <c r="BC24" s="840"/>
      <c r="BD24" s="840"/>
      <c r="BE24" s="840"/>
      <c r="BF24" s="841"/>
      <c r="BG24" s="817"/>
      <c r="BH24" s="817"/>
      <c r="BI24" s="820"/>
      <c r="BJ24" s="150"/>
      <c r="BK24" s="283"/>
      <c r="BL24" s="777">
        <f>SUM(BL26/60)</f>
        <v>0</v>
      </c>
      <c r="BM24" s="777"/>
      <c r="BN24" s="777"/>
      <c r="BO24" s="17"/>
      <c r="BP24" s="778" t="s">
        <v>230</v>
      </c>
      <c r="BQ24" s="779"/>
      <c r="BR24" s="779"/>
      <c r="BS24" s="779"/>
      <c r="BT24" s="779"/>
      <c r="BU24" s="779"/>
      <c r="BV24" s="779"/>
      <c r="BW24" s="779"/>
      <c r="BX24" s="779"/>
      <c r="BY24" s="779"/>
      <c r="BZ24" s="779"/>
      <c r="CA24" s="779"/>
      <c r="CB24" s="780"/>
      <c r="CC24" s="781" t="s">
        <v>231</v>
      </c>
      <c r="CD24" s="782"/>
      <c r="CE24" s="782"/>
      <c r="CF24" s="782"/>
      <c r="CG24" s="782"/>
      <c r="CH24" s="782"/>
      <c r="CI24" s="782"/>
      <c r="CJ24" s="782"/>
      <c r="CK24" s="782"/>
      <c r="CL24" s="782"/>
      <c r="CM24" s="782"/>
      <c r="CN24" s="782"/>
      <c r="CO24" s="783"/>
      <c r="CP24" s="192"/>
      <c r="CQ24" s="258"/>
      <c r="CR24" s="192"/>
      <c r="CS24" s="192"/>
      <c r="CT24" s="192"/>
      <c r="CU24" s="152"/>
      <c r="CV24" s="152"/>
      <c r="CW24" s="152"/>
      <c r="CX24" s="152"/>
      <c r="CY24" s="152"/>
      <c r="CZ24" s="152"/>
      <c r="DA24" s="152"/>
      <c r="DB24" s="152"/>
      <c r="DC24" s="152"/>
      <c r="DD24" s="168"/>
      <c r="DE24" s="168"/>
    </row>
    <row r="25" spans="1:127" s="172" customFormat="1" ht="28.5" customHeight="1" x14ac:dyDescent="0.2">
      <c r="A25" s="831"/>
      <c r="B25" s="818"/>
      <c r="C25" s="818"/>
      <c r="D25" s="823"/>
      <c r="E25" s="170">
        <v>1</v>
      </c>
      <c r="F25" s="170">
        <v>2</v>
      </c>
      <c r="G25" s="240">
        <v>3</v>
      </c>
      <c r="H25" s="170">
        <v>4</v>
      </c>
      <c r="I25" s="170">
        <v>5</v>
      </c>
      <c r="J25" s="170">
        <v>6</v>
      </c>
      <c r="K25" s="170">
        <v>7</v>
      </c>
      <c r="L25" s="170">
        <v>8</v>
      </c>
      <c r="M25" s="170">
        <v>9</v>
      </c>
      <c r="N25" s="170">
        <v>10</v>
      </c>
      <c r="O25" s="170">
        <v>11</v>
      </c>
      <c r="P25" s="170">
        <v>12</v>
      </c>
      <c r="Q25" s="170" t="s">
        <v>21</v>
      </c>
      <c r="R25" s="818"/>
      <c r="S25" s="823"/>
      <c r="T25" s="170">
        <v>1</v>
      </c>
      <c r="U25" s="170">
        <v>2</v>
      </c>
      <c r="V25" s="170">
        <v>3</v>
      </c>
      <c r="W25" s="170">
        <v>4</v>
      </c>
      <c r="X25" s="170">
        <v>5</v>
      </c>
      <c r="Y25" s="170">
        <v>6</v>
      </c>
      <c r="Z25" s="170">
        <v>7</v>
      </c>
      <c r="AA25" s="170">
        <v>8</v>
      </c>
      <c r="AB25" s="170">
        <v>9</v>
      </c>
      <c r="AC25" s="170">
        <v>10</v>
      </c>
      <c r="AD25" s="170">
        <v>11</v>
      </c>
      <c r="AE25" s="170">
        <v>12</v>
      </c>
      <c r="AF25" s="823"/>
      <c r="AG25" s="170">
        <v>1</v>
      </c>
      <c r="AH25" s="170">
        <v>2</v>
      </c>
      <c r="AI25" s="170">
        <v>3</v>
      </c>
      <c r="AJ25" s="170">
        <v>4</v>
      </c>
      <c r="AK25" s="266">
        <v>5</v>
      </c>
      <c r="AL25" s="170">
        <v>6</v>
      </c>
      <c r="AM25" s="170">
        <v>7</v>
      </c>
      <c r="AN25" s="170">
        <v>8</v>
      </c>
      <c r="AO25" s="170">
        <v>9</v>
      </c>
      <c r="AP25" s="170">
        <v>10</v>
      </c>
      <c r="AQ25" s="170">
        <v>11</v>
      </c>
      <c r="AR25" s="170">
        <v>12</v>
      </c>
      <c r="AS25" s="170" t="s">
        <v>13</v>
      </c>
      <c r="AT25" s="171">
        <v>1</v>
      </c>
      <c r="AU25" s="171">
        <v>2</v>
      </c>
      <c r="AV25" s="171">
        <v>3</v>
      </c>
      <c r="AW25" s="171">
        <v>4</v>
      </c>
      <c r="AX25" s="171">
        <v>5</v>
      </c>
      <c r="AY25" s="171">
        <v>6</v>
      </c>
      <c r="AZ25" s="171">
        <v>7</v>
      </c>
      <c r="BA25" s="171">
        <v>8</v>
      </c>
      <c r="BB25" s="171">
        <v>9</v>
      </c>
      <c r="BC25" s="171">
        <v>10</v>
      </c>
      <c r="BD25" s="171">
        <v>11</v>
      </c>
      <c r="BE25" s="171">
        <v>12</v>
      </c>
      <c r="BF25" s="170" t="s">
        <v>13</v>
      </c>
      <c r="BG25" s="818"/>
      <c r="BH25" s="818"/>
      <c r="BI25" s="821"/>
      <c r="BK25" s="284"/>
      <c r="BL25" s="784" t="s">
        <v>19</v>
      </c>
      <c r="BM25" s="785"/>
      <c r="BN25" s="786"/>
      <c r="BO25" s="337"/>
      <c r="BP25" s="111">
        <v>1</v>
      </c>
      <c r="BQ25" s="111">
        <v>2</v>
      </c>
      <c r="BR25" s="111">
        <v>3</v>
      </c>
      <c r="BS25" s="111">
        <v>4</v>
      </c>
      <c r="BT25" s="111">
        <v>5</v>
      </c>
      <c r="BU25" s="111">
        <v>6</v>
      </c>
      <c r="BV25" s="111">
        <v>7</v>
      </c>
      <c r="BW25" s="111">
        <v>8</v>
      </c>
      <c r="BX25" s="111">
        <v>9</v>
      </c>
      <c r="BY25" s="111">
        <v>10</v>
      </c>
      <c r="BZ25" s="111">
        <v>11</v>
      </c>
      <c r="CA25" s="111">
        <v>12</v>
      </c>
      <c r="CB25" s="20" t="s">
        <v>13</v>
      </c>
      <c r="CC25" s="111">
        <v>1</v>
      </c>
      <c r="CD25" s="111">
        <v>2</v>
      </c>
      <c r="CE25" s="111">
        <v>3</v>
      </c>
      <c r="CF25" s="111">
        <v>4</v>
      </c>
      <c r="CG25" s="111">
        <v>5</v>
      </c>
      <c r="CH25" s="111">
        <v>6</v>
      </c>
      <c r="CI25" s="111">
        <v>7</v>
      </c>
      <c r="CJ25" s="111">
        <v>8</v>
      </c>
      <c r="CK25" s="111">
        <v>9</v>
      </c>
      <c r="CL25" s="111">
        <v>10</v>
      </c>
      <c r="CM25" s="111">
        <v>11</v>
      </c>
      <c r="CN25" s="111">
        <v>12</v>
      </c>
      <c r="CO25" s="20" t="s">
        <v>13</v>
      </c>
      <c r="CP25" s="253"/>
      <c r="CQ25" s="261"/>
      <c r="CR25" s="253"/>
      <c r="CS25" s="253"/>
      <c r="CT25" s="253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</row>
    <row r="26" spans="1:127" s="205" customFormat="1" ht="24.75" customHeight="1" thickBot="1" x14ac:dyDescent="0.25">
      <c r="A26" s="193"/>
      <c r="B26" s="234"/>
      <c r="C26" s="194"/>
      <c r="D26" s="95"/>
      <c r="E26" s="195"/>
      <c r="F26" s="195"/>
      <c r="G26" s="242"/>
      <c r="H26" s="196"/>
      <c r="I26" s="196"/>
      <c r="J26" s="196"/>
      <c r="K26" s="196"/>
      <c r="L26" s="196"/>
      <c r="M26" s="196"/>
      <c r="N26" s="196"/>
      <c r="O26" s="196"/>
      <c r="P26" s="196"/>
      <c r="Q26" s="197"/>
      <c r="R26" s="340"/>
      <c r="S26" s="238"/>
      <c r="T26" s="206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175"/>
      <c r="AG26" s="267"/>
      <c r="AH26" s="267"/>
      <c r="AI26" s="267"/>
      <c r="AJ26" s="267"/>
      <c r="AK26" s="267"/>
      <c r="AL26" s="267"/>
      <c r="AM26" s="267"/>
      <c r="AN26" s="267"/>
      <c r="AO26" s="267"/>
      <c r="AP26" s="267"/>
      <c r="AQ26" s="267"/>
      <c r="AR26" s="267"/>
      <c r="AS26" s="247"/>
      <c r="AT26" s="246"/>
      <c r="AU26" s="267"/>
      <c r="AV26" s="267"/>
      <c r="AW26" s="267"/>
      <c r="AX26" s="246"/>
      <c r="AY26" s="267"/>
      <c r="AZ26" s="267"/>
      <c r="BA26" s="267"/>
      <c r="BB26" s="267"/>
      <c r="BC26" s="267"/>
      <c r="BD26" s="267"/>
      <c r="BE26" s="267"/>
      <c r="BF26" s="222"/>
      <c r="BG26" s="178"/>
      <c r="BH26" s="179"/>
      <c r="BI26" s="180"/>
      <c r="BJ26" s="181"/>
      <c r="BK26" s="285"/>
      <c r="BL26" s="556">
        <f>SUM(AI26-BR26)</f>
        <v>0</v>
      </c>
      <c r="BM26" s="556">
        <f>59000*60</f>
        <v>3540000</v>
      </c>
      <c r="BN26" s="567">
        <f>SUM(BL26-BM26)</f>
        <v>-3540000</v>
      </c>
      <c r="BO26" s="561"/>
      <c r="BP26" s="323"/>
      <c r="BQ26" s="323"/>
      <c r="BR26" s="556">
        <f t="shared" ref="BR26:BR27" si="138">SUM(AI26*12.5%)</f>
        <v>0</v>
      </c>
      <c r="BS26" s="323">
        <f t="shared" ref="BS26:BS27" si="139">SUM(AJ26*12.5%)</f>
        <v>0</v>
      </c>
      <c r="BT26" s="323">
        <f t="shared" ref="BT26:BT27" si="140">SUM(AK26*12.5%)</f>
        <v>0</v>
      </c>
      <c r="BU26" s="323">
        <f t="shared" ref="BU26:BU27" si="141">SUM(AL26*12.5%)</f>
        <v>0</v>
      </c>
      <c r="BV26" s="323">
        <f t="shared" ref="BV26:BV27" si="142">SUM(AM26*12.5%)</f>
        <v>0</v>
      </c>
      <c r="BW26" s="323">
        <f t="shared" ref="BW26:BW27" si="143">SUM(AN26*12.5%)</f>
        <v>0</v>
      </c>
      <c r="BX26" s="323">
        <f t="shared" ref="BX26:BX27" si="144">SUM(AO26*12.5%)</f>
        <v>0</v>
      </c>
      <c r="BY26" s="323">
        <f t="shared" ref="BY26:BY27" si="145">SUM(AP26*12.5%)</f>
        <v>0</v>
      </c>
      <c r="BZ26" s="323">
        <f t="shared" ref="BZ26:BZ27" si="146">SUM(AQ26*12.5%)</f>
        <v>0</v>
      </c>
      <c r="CA26" s="323">
        <f t="shared" ref="CA26:CA27" si="147">SUM(AR26*12.5%)</f>
        <v>0</v>
      </c>
      <c r="CB26" s="55">
        <f t="shared" ref="CB26" si="148">SUM(BP26:CA26)</f>
        <v>0</v>
      </c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3"/>
      <c r="CN26" s="323"/>
      <c r="CO26" s="55">
        <f t="shared" ref="CO26:CO27" si="149">SUM(CC26:CN26)</f>
        <v>0</v>
      </c>
      <c r="CP26" s="203"/>
      <c r="CQ26" s="262"/>
      <c r="CR26" s="203"/>
      <c r="CS26" s="203"/>
      <c r="CT26" s="203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</row>
    <row r="27" spans="1:127" s="184" customFormat="1" ht="24.75" customHeight="1" thickBot="1" x14ac:dyDescent="0.25">
      <c r="A27" s="208"/>
      <c r="B27" s="209" t="s">
        <v>4</v>
      </c>
      <c r="C27" s="209"/>
      <c r="D27" s="210"/>
      <c r="E27" s="211"/>
      <c r="F27" s="211"/>
      <c r="G27" s="243"/>
      <c r="H27" s="211"/>
      <c r="I27" s="293"/>
      <c r="J27" s="293"/>
      <c r="K27" s="211"/>
      <c r="L27" s="211"/>
      <c r="M27" s="211"/>
      <c r="N27" s="211"/>
      <c r="O27" s="211"/>
      <c r="P27" s="211"/>
      <c r="Q27" s="212"/>
      <c r="R27" s="213"/>
      <c r="S27" s="214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6">
        <f>SUM(AF26)</f>
        <v>0</v>
      </c>
      <c r="AG27" s="216">
        <f t="shared" ref="AG27:BF27" si="150">SUM(AG26:AG26)</f>
        <v>0</v>
      </c>
      <c r="AH27" s="216">
        <f t="shared" si="150"/>
        <v>0</v>
      </c>
      <c r="AI27" s="216">
        <f t="shared" si="150"/>
        <v>0</v>
      </c>
      <c r="AJ27" s="216">
        <f t="shared" si="150"/>
        <v>0</v>
      </c>
      <c r="AK27" s="216">
        <f t="shared" si="150"/>
        <v>0</v>
      </c>
      <c r="AL27" s="216">
        <f t="shared" si="150"/>
        <v>0</v>
      </c>
      <c r="AM27" s="216">
        <f t="shared" si="150"/>
        <v>0</v>
      </c>
      <c r="AN27" s="216">
        <f t="shared" si="150"/>
        <v>0</v>
      </c>
      <c r="AO27" s="216">
        <f t="shared" si="150"/>
        <v>0</v>
      </c>
      <c r="AP27" s="216">
        <f t="shared" si="150"/>
        <v>0</v>
      </c>
      <c r="AQ27" s="216">
        <f t="shared" si="150"/>
        <v>0</v>
      </c>
      <c r="AR27" s="216">
        <f t="shared" si="150"/>
        <v>0</v>
      </c>
      <c r="AS27" s="216">
        <f t="shared" si="150"/>
        <v>0</v>
      </c>
      <c r="AT27" s="216">
        <f t="shared" si="150"/>
        <v>0</v>
      </c>
      <c r="AU27" s="216">
        <f t="shared" si="150"/>
        <v>0</v>
      </c>
      <c r="AV27" s="216">
        <f t="shared" si="150"/>
        <v>0</v>
      </c>
      <c r="AW27" s="216">
        <f t="shared" si="150"/>
        <v>0</v>
      </c>
      <c r="AX27" s="216">
        <f t="shared" si="150"/>
        <v>0</v>
      </c>
      <c r="AY27" s="216">
        <f t="shared" si="150"/>
        <v>0</v>
      </c>
      <c r="AZ27" s="216">
        <f t="shared" si="150"/>
        <v>0</v>
      </c>
      <c r="BA27" s="216">
        <f t="shared" si="150"/>
        <v>0</v>
      </c>
      <c r="BB27" s="216">
        <f t="shared" si="150"/>
        <v>0</v>
      </c>
      <c r="BC27" s="216">
        <f t="shared" si="150"/>
        <v>0</v>
      </c>
      <c r="BD27" s="216">
        <f t="shared" si="150"/>
        <v>0</v>
      </c>
      <c r="BE27" s="216">
        <f t="shared" si="150"/>
        <v>0</v>
      </c>
      <c r="BF27" s="216">
        <f t="shared" si="150"/>
        <v>0</v>
      </c>
      <c r="BG27" s="217">
        <f>AF27-AS27-BF27</f>
        <v>0</v>
      </c>
      <c r="BH27" s="216">
        <f>SUM(BH26:BH26)</f>
        <v>0</v>
      </c>
      <c r="BI27" s="216">
        <f>SUM(BI26:BI26)</f>
        <v>0</v>
      </c>
      <c r="BJ27" s="182">
        <f>SUM(BJ26:BJ26)/8</f>
        <v>0</v>
      </c>
      <c r="BK27" s="286"/>
      <c r="BL27" s="556">
        <f t="shared" ref="BL27" si="151">SUM(AI27-BR27)</f>
        <v>0</v>
      </c>
      <c r="BM27" s="556">
        <f>SUM(G27*T27)</f>
        <v>0</v>
      </c>
      <c r="BN27" s="567">
        <f t="shared" ref="BN27" si="152">SUM(BL27-BM27)</f>
        <v>0</v>
      </c>
      <c r="BO27" s="561"/>
      <c r="BP27" s="323"/>
      <c r="BQ27" s="323"/>
      <c r="BR27" s="556">
        <f t="shared" si="138"/>
        <v>0</v>
      </c>
      <c r="BS27" s="323">
        <f t="shared" si="139"/>
        <v>0</v>
      </c>
      <c r="BT27" s="323">
        <f t="shared" si="140"/>
        <v>0</v>
      </c>
      <c r="BU27" s="323">
        <f t="shared" si="141"/>
        <v>0</v>
      </c>
      <c r="BV27" s="323">
        <f t="shared" si="142"/>
        <v>0</v>
      </c>
      <c r="BW27" s="323">
        <f t="shared" si="143"/>
        <v>0</v>
      </c>
      <c r="BX27" s="323">
        <f t="shared" si="144"/>
        <v>0</v>
      </c>
      <c r="BY27" s="323">
        <f t="shared" si="145"/>
        <v>0</v>
      </c>
      <c r="BZ27" s="323">
        <f t="shared" si="146"/>
        <v>0</v>
      </c>
      <c r="CA27" s="323">
        <f t="shared" si="147"/>
        <v>0</v>
      </c>
      <c r="CB27" s="55">
        <f t="shared" ref="CB27" si="153">SUM(BP27:CA27)</f>
        <v>0</v>
      </c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55">
        <f t="shared" si="149"/>
        <v>0</v>
      </c>
      <c r="CP27" s="218"/>
      <c r="CQ27" s="264"/>
      <c r="CR27" s="218"/>
      <c r="CS27" s="218"/>
      <c r="CT27" s="218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</row>
    <row r="28" spans="1:127" s="167" customFormat="1" ht="24.75" customHeight="1" x14ac:dyDescent="0.2">
      <c r="A28" s="185"/>
      <c r="D28" s="185"/>
      <c r="E28" s="185"/>
      <c r="F28" s="185"/>
      <c r="G28" s="241"/>
      <c r="H28" s="185"/>
      <c r="I28" s="291"/>
      <c r="J28" s="291"/>
      <c r="K28" s="185"/>
      <c r="L28" s="185"/>
      <c r="M28" s="185"/>
      <c r="N28" s="185"/>
      <c r="O28" s="185"/>
      <c r="P28" s="185"/>
      <c r="Q28" s="185"/>
      <c r="R28" s="185"/>
      <c r="AS28" s="191"/>
      <c r="AT28" s="232"/>
      <c r="BF28" s="220">
        <f>SUM(AS27+BF27)</f>
        <v>0</v>
      </c>
      <c r="BG28" s="186">
        <f>AF27-AS27-BF27</f>
        <v>0</v>
      </c>
      <c r="BH28" s="221">
        <f>SUM(BI27+AS27+BF27)</f>
        <v>0</v>
      </c>
      <c r="BI28" s="187">
        <f>SUM(BG27)</f>
        <v>0</v>
      </c>
      <c r="BJ28" s="183" t="s">
        <v>29</v>
      </c>
      <c r="BK28" s="287"/>
      <c r="BL28" s="164"/>
      <c r="BM28" s="165"/>
      <c r="BN28" s="250"/>
      <c r="BO28" s="257"/>
      <c r="BP28" s="250"/>
      <c r="BQ28" s="250"/>
      <c r="BR28" s="250"/>
      <c r="BS28" s="257"/>
      <c r="BT28" s="250"/>
      <c r="BU28" s="250"/>
      <c r="BV28" s="250"/>
      <c r="BW28" s="257"/>
      <c r="BX28" s="250"/>
      <c r="BY28" s="250"/>
      <c r="BZ28" s="250"/>
      <c r="CA28" s="257"/>
      <c r="CB28" s="250"/>
      <c r="CC28" s="250"/>
      <c r="CD28" s="250"/>
      <c r="CE28" s="257"/>
      <c r="CF28" s="250"/>
      <c r="CG28" s="250"/>
      <c r="CH28" s="250"/>
      <c r="CI28" s="257"/>
      <c r="CJ28" s="250"/>
      <c r="CK28" s="250"/>
      <c r="CL28" s="250"/>
      <c r="CM28" s="257"/>
      <c r="CN28" s="250"/>
      <c r="CO28" s="250"/>
      <c r="CP28" s="250"/>
      <c r="CQ28" s="257"/>
      <c r="CR28" s="250"/>
      <c r="CS28" s="250"/>
      <c r="CT28" s="250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</row>
    <row r="29" spans="1:127" s="183" customFormat="1" ht="24.75" customHeight="1" x14ac:dyDescent="0.2">
      <c r="A29" s="230"/>
      <c r="D29" s="230"/>
      <c r="E29" s="230"/>
      <c r="F29" s="230"/>
      <c r="G29" s="164"/>
      <c r="H29" s="230"/>
      <c r="I29" s="294"/>
      <c r="J29" s="294"/>
      <c r="K29" s="230"/>
      <c r="L29" s="230"/>
      <c r="M29" s="230"/>
      <c r="N29" s="230"/>
      <c r="O29" s="230"/>
      <c r="P29" s="230"/>
      <c r="Q29" s="230"/>
      <c r="R29" s="230"/>
      <c r="AM29" s="233"/>
      <c r="AT29" s="233">
        <f>SUM(AG27+AT27)</f>
        <v>0</v>
      </c>
      <c r="AU29" s="233">
        <f>SUM(AH27+AU27)</f>
        <v>0</v>
      </c>
      <c r="AV29" s="233">
        <f>SUM(AI27+AV27)</f>
        <v>0</v>
      </c>
      <c r="AW29" s="233">
        <f t="shared" ref="AW29" si="154">SUM(AJ27+AW27)</f>
        <v>0</v>
      </c>
      <c r="AX29" s="233">
        <f>SUM(AK27+AX27)</f>
        <v>0</v>
      </c>
      <c r="AY29" s="233">
        <f t="shared" ref="AY29" si="155">SUM(AL27+AY27)</f>
        <v>0</v>
      </c>
      <c r="AZ29" s="233">
        <f t="shared" ref="AZ29" si="156">SUM(AM27+AZ27)</f>
        <v>0</v>
      </c>
      <c r="BA29" s="233">
        <f t="shared" ref="BA29" si="157">SUM(AN27+BA27)</f>
        <v>0</v>
      </c>
      <c r="BB29" s="233">
        <f t="shared" ref="BB29" si="158">SUM(AO27+BB27)</f>
        <v>0</v>
      </c>
      <c r="BC29" s="233">
        <f t="shared" ref="BC29" si="159">SUM(AP27+BC27)</f>
        <v>0</v>
      </c>
      <c r="BD29" s="233">
        <f t="shared" ref="BD29" si="160">SUM(AQ27+BD27)</f>
        <v>0</v>
      </c>
      <c r="BE29" s="233">
        <f t="shared" ref="BE29" si="161">SUM(AR27+BE27)</f>
        <v>0</v>
      </c>
      <c r="BF29" s="233">
        <f>SUM(AT29:AY29)</f>
        <v>0</v>
      </c>
      <c r="BH29" s="231"/>
      <c r="BI29" s="189">
        <f>SUM(BI27-BI28)</f>
        <v>0</v>
      </c>
      <c r="BJ29" s="183" t="s">
        <v>28</v>
      </c>
      <c r="BK29" s="287"/>
      <c r="BL29" s="164"/>
      <c r="BM29" s="166"/>
      <c r="BN29" s="251"/>
      <c r="BO29" s="260"/>
      <c r="BP29" s="251"/>
      <c r="BQ29" s="251"/>
      <c r="BR29" s="251"/>
      <c r="BS29" s="260"/>
      <c r="BT29" s="251"/>
      <c r="BU29" s="251"/>
      <c r="BV29" s="251"/>
      <c r="BW29" s="260"/>
      <c r="BX29" s="251"/>
      <c r="BY29" s="251"/>
      <c r="BZ29" s="251"/>
      <c r="CA29" s="260"/>
      <c r="CB29" s="251"/>
      <c r="CC29" s="251"/>
      <c r="CD29" s="251"/>
      <c r="CE29" s="260"/>
      <c r="CF29" s="251"/>
      <c r="CG29" s="251"/>
      <c r="CH29" s="251"/>
      <c r="CI29" s="260"/>
      <c r="CJ29" s="251"/>
      <c r="CK29" s="251"/>
      <c r="CL29" s="251"/>
      <c r="CM29" s="260"/>
      <c r="CN29" s="251"/>
      <c r="CO29" s="251"/>
      <c r="CP29" s="251"/>
      <c r="CQ29" s="260"/>
      <c r="CR29" s="251"/>
      <c r="CS29" s="251"/>
      <c r="CT29" s="251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</row>
    <row r="30" spans="1:127" s="167" customFormat="1" ht="24.75" customHeight="1" x14ac:dyDescent="0.2">
      <c r="A30" s="827" t="s">
        <v>7</v>
      </c>
      <c r="B30" s="828"/>
      <c r="C30" s="151" t="s">
        <v>55</v>
      </c>
      <c r="D30" s="152"/>
      <c r="E30" s="152"/>
      <c r="F30" s="152"/>
      <c r="G30" s="192"/>
      <c r="H30" s="152"/>
      <c r="I30" s="290"/>
      <c r="J30" s="290"/>
      <c r="K30" s="152"/>
      <c r="L30" s="152"/>
      <c r="M30" s="152"/>
      <c r="N30" s="152"/>
      <c r="O30" s="152"/>
      <c r="P30" s="152"/>
      <c r="Q30" s="152"/>
      <c r="R30" s="152"/>
      <c r="S30" s="152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2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4"/>
      <c r="AT30" s="153"/>
      <c r="AU30" s="268">
        <f>AU29+AV29+AW29</f>
        <v>0</v>
      </c>
      <c r="AV30" s="153"/>
      <c r="AW30" s="268"/>
      <c r="AX30" s="153"/>
      <c r="AY30" s="153"/>
      <c r="AZ30" s="153"/>
      <c r="BA30" s="153"/>
      <c r="BB30" s="153"/>
      <c r="BC30" s="153"/>
      <c r="BD30" s="153"/>
      <c r="BE30" s="153"/>
      <c r="BF30" s="274"/>
      <c r="BG30" s="154"/>
      <c r="BH30" s="272"/>
      <c r="BI30" s="271"/>
      <c r="BJ30" s="152"/>
      <c r="BK30" s="192"/>
      <c r="BL30" s="192"/>
      <c r="BM30" s="153"/>
      <c r="BN30" s="192"/>
      <c r="BO30" s="258"/>
      <c r="BP30" s="192"/>
      <c r="BQ30" s="156"/>
      <c r="BR30" s="192"/>
      <c r="BS30" s="258"/>
      <c r="BT30" s="192"/>
      <c r="BU30" s="156"/>
      <c r="BV30" s="192"/>
      <c r="BW30" s="258"/>
      <c r="BX30" s="192"/>
      <c r="BY30" s="156"/>
      <c r="BZ30" s="192"/>
      <c r="CA30" s="258"/>
      <c r="CB30" s="192"/>
      <c r="CC30" s="156"/>
      <c r="CD30" s="192"/>
      <c r="CE30" s="258"/>
      <c r="CF30" s="192"/>
      <c r="CG30" s="156"/>
      <c r="CH30" s="192"/>
      <c r="CI30" s="258"/>
      <c r="CJ30" s="192"/>
      <c r="CK30" s="156"/>
      <c r="CL30" s="192"/>
      <c r="CM30" s="258"/>
      <c r="CN30" s="192"/>
      <c r="CO30" s="156"/>
      <c r="CP30" s="192"/>
      <c r="CQ30" s="258"/>
      <c r="CR30" s="192"/>
      <c r="CS30" s="156"/>
      <c r="CT30" s="192"/>
      <c r="CU30" s="153"/>
      <c r="CV30" s="153"/>
      <c r="CW30" s="153"/>
      <c r="CX30" s="153"/>
      <c r="CY30" s="154"/>
      <c r="CZ30" s="154"/>
      <c r="DA30" s="154"/>
      <c r="DB30" s="150"/>
      <c r="DC30" s="155"/>
      <c r="DD30" s="154"/>
      <c r="DE30" s="154"/>
      <c r="DF30" s="165"/>
      <c r="DG30" s="165"/>
      <c r="DH30" s="165"/>
      <c r="DI30" s="165"/>
      <c r="DJ30" s="165"/>
      <c r="DK30" s="166"/>
      <c r="DL30" s="165"/>
      <c r="DM30" s="165"/>
      <c r="DN30" s="165"/>
      <c r="DO30" s="165"/>
      <c r="DP30" s="165"/>
      <c r="DQ30" s="165"/>
      <c r="DR30" s="165"/>
      <c r="DS30" s="165"/>
      <c r="DT30" s="165"/>
      <c r="DU30" s="165"/>
      <c r="DV30" s="165"/>
      <c r="DW30" s="165"/>
    </row>
    <row r="31" spans="1:127" s="169" customFormat="1" ht="48.75" customHeight="1" x14ac:dyDescent="0.2">
      <c r="A31" s="829" t="s">
        <v>8</v>
      </c>
      <c r="B31" s="816" t="s">
        <v>9</v>
      </c>
      <c r="C31" s="816" t="s">
        <v>77</v>
      </c>
      <c r="D31" s="832" t="s">
        <v>10</v>
      </c>
      <c r="E31" s="832"/>
      <c r="F31" s="832"/>
      <c r="G31" s="832"/>
      <c r="H31" s="832"/>
      <c r="I31" s="832"/>
      <c r="J31" s="832"/>
      <c r="K31" s="832"/>
      <c r="L31" s="832"/>
      <c r="M31" s="832"/>
      <c r="N31" s="832"/>
      <c r="O31" s="832"/>
      <c r="P31" s="832"/>
      <c r="Q31" s="832"/>
      <c r="R31" s="816" t="s">
        <v>20</v>
      </c>
      <c r="S31" s="833" t="s">
        <v>17</v>
      </c>
      <c r="T31" s="834"/>
      <c r="U31" s="834"/>
      <c r="V31" s="834"/>
      <c r="W31" s="834"/>
      <c r="X31" s="834"/>
      <c r="Y31" s="834"/>
      <c r="Z31" s="834"/>
      <c r="AA31" s="834"/>
      <c r="AB31" s="834"/>
      <c r="AC31" s="834"/>
      <c r="AD31" s="834"/>
      <c r="AE31" s="834"/>
      <c r="AF31" s="835" t="s">
        <v>5</v>
      </c>
      <c r="AG31" s="835"/>
      <c r="AH31" s="835"/>
      <c r="AI31" s="835"/>
      <c r="AJ31" s="835"/>
      <c r="AK31" s="835"/>
      <c r="AL31" s="835"/>
      <c r="AM31" s="835"/>
      <c r="AN31" s="835"/>
      <c r="AO31" s="835"/>
      <c r="AP31" s="835"/>
      <c r="AQ31" s="835"/>
      <c r="AR31" s="835"/>
      <c r="AS31" s="835"/>
      <c r="AT31" s="836" t="s">
        <v>32</v>
      </c>
      <c r="AU31" s="837"/>
      <c r="AV31" s="837"/>
      <c r="AW31" s="837"/>
      <c r="AX31" s="837"/>
      <c r="AY31" s="837"/>
      <c r="AZ31" s="837"/>
      <c r="BA31" s="837"/>
      <c r="BB31" s="837"/>
      <c r="BC31" s="837"/>
      <c r="BD31" s="837"/>
      <c r="BE31" s="837"/>
      <c r="BF31" s="838"/>
      <c r="BG31" s="816" t="s">
        <v>29</v>
      </c>
      <c r="BH31" s="816" t="s">
        <v>57</v>
      </c>
      <c r="BI31" s="819" t="s">
        <v>30</v>
      </c>
      <c r="BJ31" s="150"/>
      <c r="BK31" s="283"/>
      <c r="BL31" s="84"/>
      <c r="BM31" s="84"/>
      <c r="BN31" s="84"/>
      <c r="BO31" s="84"/>
      <c r="BP31" s="774" t="s">
        <v>32</v>
      </c>
      <c r="BQ31" s="775"/>
      <c r="BR31" s="775"/>
      <c r="BS31" s="775"/>
      <c r="BT31" s="775"/>
      <c r="BU31" s="775"/>
      <c r="BV31" s="775"/>
      <c r="BW31" s="775"/>
      <c r="BX31" s="775"/>
      <c r="BY31" s="775"/>
      <c r="BZ31" s="775"/>
      <c r="CA31" s="775"/>
      <c r="CB31" s="775"/>
      <c r="CC31" s="775"/>
      <c r="CD31" s="775"/>
      <c r="CE31" s="775"/>
      <c r="CF31" s="775"/>
      <c r="CG31" s="775"/>
      <c r="CH31" s="775"/>
      <c r="CI31" s="775"/>
      <c r="CJ31" s="775"/>
      <c r="CK31" s="775"/>
      <c r="CL31" s="775"/>
      <c r="CM31" s="775"/>
      <c r="CN31" s="775"/>
      <c r="CO31" s="776"/>
      <c r="CP31" s="192"/>
      <c r="CQ31" s="258"/>
      <c r="CR31" s="192"/>
      <c r="CS31" s="192"/>
      <c r="CT31" s="192"/>
      <c r="CU31" s="152"/>
      <c r="CV31" s="152"/>
      <c r="CW31" s="152"/>
      <c r="CX31" s="152"/>
      <c r="CY31" s="152"/>
      <c r="CZ31" s="152"/>
      <c r="DA31" s="152"/>
      <c r="DB31" s="152"/>
      <c r="DC31" s="152"/>
      <c r="DD31" s="168"/>
      <c r="DE31" s="168"/>
    </row>
    <row r="32" spans="1:127" s="169" customFormat="1" ht="48.75" customHeight="1" x14ac:dyDescent="0.2">
      <c r="A32" s="830"/>
      <c r="B32" s="817"/>
      <c r="C32" s="817"/>
      <c r="D32" s="822" t="s">
        <v>18</v>
      </c>
      <c r="E32" s="824" t="s">
        <v>19</v>
      </c>
      <c r="F32" s="825"/>
      <c r="G32" s="825"/>
      <c r="H32" s="825"/>
      <c r="I32" s="825"/>
      <c r="J32" s="825"/>
      <c r="K32" s="825"/>
      <c r="L32" s="825"/>
      <c r="M32" s="825"/>
      <c r="N32" s="825"/>
      <c r="O32" s="825"/>
      <c r="P32" s="825"/>
      <c r="Q32" s="825"/>
      <c r="R32" s="817"/>
      <c r="S32" s="822" t="s">
        <v>18</v>
      </c>
      <c r="T32" s="824" t="s">
        <v>19</v>
      </c>
      <c r="U32" s="825"/>
      <c r="V32" s="825"/>
      <c r="W32" s="825"/>
      <c r="X32" s="825"/>
      <c r="Y32" s="825"/>
      <c r="Z32" s="825"/>
      <c r="AA32" s="825"/>
      <c r="AB32" s="825"/>
      <c r="AC32" s="825"/>
      <c r="AD32" s="825"/>
      <c r="AE32" s="825"/>
      <c r="AF32" s="822" t="s">
        <v>18</v>
      </c>
      <c r="AG32" s="824" t="s">
        <v>19</v>
      </c>
      <c r="AH32" s="825"/>
      <c r="AI32" s="825"/>
      <c r="AJ32" s="825"/>
      <c r="AK32" s="825"/>
      <c r="AL32" s="825"/>
      <c r="AM32" s="825"/>
      <c r="AN32" s="825"/>
      <c r="AO32" s="825"/>
      <c r="AP32" s="825"/>
      <c r="AQ32" s="825"/>
      <c r="AR32" s="825"/>
      <c r="AS32" s="826"/>
      <c r="AT32" s="839"/>
      <c r="AU32" s="840"/>
      <c r="AV32" s="840"/>
      <c r="AW32" s="840"/>
      <c r="AX32" s="840"/>
      <c r="AY32" s="840"/>
      <c r="AZ32" s="840"/>
      <c r="BA32" s="840"/>
      <c r="BB32" s="840"/>
      <c r="BC32" s="840"/>
      <c r="BD32" s="840"/>
      <c r="BE32" s="840"/>
      <c r="BF32" s="841"/>
      <c r="BG32" s="817"/>
      <c r="BH32" s="817"/>
      <c r="BI32" s="820"/>
      <c r="BJ32" s="150"/>
      <c r="BK32" s="283"/>
      <c r="BL32" s="777">
        <f>SUM(BL34/60)</f>
        <v>0</v>
      </c>
      <c r="BM32" s="777"/>
      <c r="BN32" s="777"/>
      <c r="BO32" s="17"/>
      <c r="BP32" s="778" t="s">
        <v>230</v>
      </c>
      <c r="BQ32" s="779"/>
      <c r="BR32" s="779"/>
      <c r="BS32" s="779"/>
      <c r="BT32" s="779"/>
      <c r="BU32" s="779"/>
      <c r="BV32" s="779"/>
      <c r="BW32" s="779"/>
      <c r="BX32" s="779"/>
      <c r="BY32" s="779"/>
      <c r="BZ32" s="779"/>
      <c r="CA32" s="779"/>
      <c r="CB32" s="780"/>
      <c r="CC32" s="781" t="s">
        <v>231</v>
      </c>
      <c r="CD32" s="782"/>
      <c r="CE32" s="782"/>
      <c r="CF32" s="782"/>
      <c r="CG32" s="782"/>
      <c r="CH32" s="782"/>
      <c r="CI32" s="782"/>
      <c r="CJ32" s="782"/>
      <c r="CK32" s="782"/>
      <c r="CL32" s="782"/>
      <c r="CM32" s="782"/>
      <c r="CN32" s="782"/>
      <c r="CO32" s="783"/>
      <c r="CP32" s="192"/>
      <c r="CQ32" s="258"/>
      <c r="CR32" s="192"/>
      <c r="CS32" s="192"/>
      <c r="CT32" s="192"/>
      <c r="CU32" s="152"/>
      <c r="CV32" s="152"/>
      <c r="CW32" s="152"/>
      <c r="CX32" s="152"/>
      <c r="CY32" s="152"/>
      <c r="CZ32" s="152"/>
      <c r="DA32" s="152"/>
      <c r="DB32" s="152"/>
      <c r="DC32" s="152"/>
      <c r="DD32" s="168"/>
      <c r="DE32" s="168"/>
    </row>
    <row r="33" spans="1:127" s="172" customFormat="1" ht="28.5" customHeight="1" x14ac:dyDescent="0.2">
      <c r="A33" s="831"/>
      <c r="B33" s="818"/>
      <c r="C33" s="818"/>
      <c r="D33" s="823"/>
      <c r="E33" s="170">
        <v>1</v>
      </c>
      <c r="F33" s="170">
        <v>2</v>
      </c>
      <c r="G33" s="240">
        <v>3</v>
      </c>
      <c r="H33" s="170">
        <v>4</v>
      </c>
      <c r="I33" s="644">
        <v>5</v>
      </c>
      <c r="J33" s="644">
        <v>6</v>
      </c>
      <c r="K33" s="170">
        <v>7</v>
      </c>
      <c r="L33" s="170">
        <v>8</v>
      </c>
      <c r="M33" s="170">
        <v>9</v>
      </c>
      <c r="N33" s="170">
        <v>10</v>
      </c>
      <c r="O33" s="170">
        <v>11</v>
      </c>
      <c r="P33" s="170">
        <v>12</v>
      </c>
      <c r="Q33" s="170" t="s">
        <v>21</v>
      </c>
      <c r="R33" s="818"/>
      <c r="S33" s="823"/>
      <c r="T33" s="170">
        <v>1</v>
      </c>
      <c r="U33" s="170">
        <v>2</v>
      </c>
      <c r="V33" s="170">
        <v>3</v>
      </c>
      <c r="W33" s="170">
        <v>4</v>
      </c>
      <c r="X33" s="170">
        <v>5</v>
      </c>
      <c r="Y33" s="170">
        <v>6</v>
      </c>
      <c r="Z33" s="170">
        <v>7</v>
      </c>
      <c r="AA33" s="170">
        <v>8</v>
      </c>
      <c r="AB33" s="170">
        <v>9</v>
      </c>
      <c r="AC33" s="170">
        <v>10</v>
      </c>
      <c r="AD33" s="170">
        <v>11</v>
      </c>
      <c r="AE33" s="170">
        <v>12</v>
      </c>
      <c r="AF33" s="823"/>
      <c r="AG33" s="170">
        <v>1</v>
      </c>
      <c r="AH33" s="170">
        <v>2</v>
      </c>
      <c r="AI33" s="170">
        <v>3</v>
      </c>
      <c r="AJ33" s="170">
        <v>4</v>
      </c>
      <c r="AK33" s="266">
        <v>5</v>
      </c>
      <c r="AL33" s="170">
        <v>6</v>
      </c>
      <c r="AM33" s="170">
        <v>7</v>
      </c>
      <c r="AN33" s="170">
        <v>8</v>
      </c>
      <c r="AO33" s="170">
        <v>9</v>
      </c>
      <c r="AP33" s="170">
        <v>10</v>
      </c>
      <c r="AQ33" s="170">
        <v>11</v>
      </c>
      <c r="AR33" s="170">
        <v>12</v>
      </c>
      <c r="AS33" s="170" t="s">
        <v>13</v>
      </c>
      <c r="AT33" s="171">
        <v>1</v>
      </c>
      <c r="AU33" s="171">
        <v>2</v>
      </c>
      <c r="AV33" s="171">
        <v>3</v>
      </c>
      <c r="AW33" s="171">
        <v>4</v>
      </c>
      <c r="AX33" s="171">
        <v>5</v>
      </c>
      <c r="AY33" s="171">
        <v>6</v>
      </c>
      <c r="AZ33" s="171">
        <v>7</v>
      </c>
      <c r="BA33" s="171">
        <v>8</v>
      </c>
      <c r="BB33" s="171">
        <v>9</v>
      </c>
      <c r="BC33" s="171">
        <v>10</v>
      </c>
      <c r="BD33" s="171">
        <v>11</v>
      </c>
      <c r="BE33" s="171">
        <v>12</v>
      </c>
      <c r="BF33" s="170" t="s">
        <v>13</v>
      </c>
      <c r="BG33" s="818"/>
      <c r="BH33" s="818"/>
      <c r="BI33" s="821"/>
      <c r="BK33" s="284"/>
      <c r="BL33" s="784" t="s">
        <v>19</v>
      </c>
      <c r="BM33" s="785"/>
      <c r="BN33" s="786"/>
      <c r="BO33" s="337"/>
      <c r="BP33" s="111">
        <v>1</v>
      </c>
      <c r="BQ33" s="111">
        <v>2</v>
      </c>
      <c r="BR33" s="111">
        <v>3</v>
      </c>
      <c r="BS33" s="111">
        <v>4</v>
      </c>
      <c r="BT33" s="111">
        <v>5</v>
      </c>
      <c r="BU33" s="111">
        <v>6</v>
      </c>
      <c r="BV33" s="111">
        <v>7</v>
      </c>
      <c r="BW33" s="111">
        <v>8</v>
      </c>
      <c r="BX33" s="111">
        <v>9</v>
      </c>
      <c r="BY33" s="111">
        <v>10</v>
      </c>
      <c r="BZ33" s="111">
        <v>11</v>
      </c>
      <c r="CA33" s="111">
        <v>12</v>
      </c>
      <c r="CB33" s="20" t="s">
        <v>13</v>
      </c>
      <c r="CC33" s="111">
        <v>1</v>
      </c>
      <c r="CD33" s="111">
        <v>2</v>
      </c>
      <c r="CE33" s="111">
        <v>3</v>
      </c>
      <c r="CF33" s="111">
        <v>4</v>
      </c>
      <c r="CG33" s="111">
        <v>5</v>
      </c>
      <c r="CH33" s="111">
        <v>6</v>
      </c>
      <c r="CI33" s="111">
        <v>7</v>
      </c>
      <c r="CJ33" s="111">
        <v>8</v>
      </c>
      <c r="CK33" s="111">
        <v>9</v>
      </c>
      <c r="CL33" s="111">
        <v>10</v>
      </c>
      <c r="CM33" s="111">
        <v>11</v>
      </c>
      <c r="CN33" s="111">
        <v>12</v>
      </c>
      <c r="CO33" s="20" t="s">
        <v>13</v>
      </c>
      <c r="CP33" s="253"/>
      <c r="CQ33" s="261"/>
      <c r="CR33" s="253"/>
      <c r="CS33" s="253"/>
      <c r="CT33" s="253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</row>
    <row r="34" spans="1:127" s="205" customFormat="1" ht="39" customHeight="1" thickBot="1" x14ac:dyDescent="0.25">
      <c r="A34" s="193"/>
      <c r="B34" s="282" t="s">
        <v>139</v>
      </c>
      <c r="C34" s="302" t="s">
        <v>131</v>
      </c>
      <c r="D34" s="157">
        <v>9</v>
      </c>
      <c r="E34" s="242">
        <v>9</v>
      </c>
      <c r="F34" s="242"/>
      <c r="G34" s="242"/>
      <c r="H34" s="196"/>
      <c r="I34" s="292"/>
      <c r="J34" s="292"/>
      <c r="K34" s="196"/>
      <c r="L34" s="196"/>
      <c r="M34" s="196"/>
      <c r="N34" s="196"/>
      <c r="O34" s="196"/>
      <c r="P34" s="196"/>
      <c r="Q34" s="309">
        <f>SUM(E34:P34)</f>
        <v>9</v>
      </c>
      <c r="R34" s="158" t="s">
        <v>134</v>
      </c>
      <c r="S34" s="159">
        <v>350000</v>
      </c>
      <c r="T34" s="276">
        <v>300000</v>
      </c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175">
        <f>Q34*S34</f>
        <v>3150000</v>
      </c>
      <c r="AG34" s="246">
        <f t="shared" ref="AG34" si="162">T34*E34</f>
        <v>2700000</v>
      </c>
      <c r="AH34" s="246">
        <f t="shared" ref="AH34" si="163">U34*F34</f>
        <v>0</v>
      </c>
      <c r="AI34" s="246">
        <f t="shared" ref="AI34" si="164">V34*G34</f>
        <v>0</v>
      </c>
      <c r="AJ34" s="246">
        <f t="shared" ref="AJ34" si="165">W34*H34</f>
        <v>0</v>
      </c>
      <c r="AK34" s="246">
        <f t="shared" ref="AK34" si="166">X34*I34</f>
        <v>0</v>
      </c>
      <c r="AL34" s="246">
        <f t="shared" ref="AL34" si="167">Y34*J34</f>
        <v>0</v>
      </c>
      <c r="AM34" s="246">
        <f t="shared" ref="AM34" si="168">Z34*K34</f>
        <v>0</v>
      </c>
      <c r="AN34" s="246">
        <f t="shared" ref="AN34" si="169">AA34*L34</f>
        <v>0</v>
      </c>
      <c r="AO34" s="246">
        <f t="shared" ref="AO34" si="170">AB34*M34</f>
        <v>0</v>
      </c>
      <c r="AP34" s="246">
        <f t="shared" ref="AP34" si="171">AC34*N34</f>
        <v>0</v>
      </c>
      <c r="AQ34" s="246">
        <f t="shared" ref="AQ34" si="172">AD34*O34</f>
        <v>0</v>
      </c>
      <c r="AR34" s="246">
        <f t="shared" ref="AR34" si="173">AE34*P34</f>
        <v>0</v>
      </c>
      <c r="AS34" s="247">
        <f t="shared" ref="AS34" si="174">SUM(AG34:AR34)</f>
        <v>2700000</v>
      </c>
      <c r="AT34" s="246">
        <f>AS34*14%</f>
        <v>378000.00000000006</v>
      </c>
      <c r="AU34" s="246"/>
      <c r="AV34" s="246"/>
      <c r="AW34" s="246">
        <f t="shared" ref="AW34" si="175">SUM(AJ34*14%)</f>
        <v>0</v>
      </c>
      <c r="AX34" s="246">
        <f t="shared" ref="AX34" si="176">SUM(AK34*14%)</f>
        <v>0</v>
      </c>
      <c r="AY34" s="246">
        <f t="shared" ref="AY34" si="177">SUM(AL34*14%)</f>
        <v>0</v>
      </c>
      <c r="AZ34" s="246">
        <f t="shared" ref="AZ34" si="178">SUM(AM34*14%)</f>
        <v>0</v>
      </c>
      <c r="BA34" s="246">
        <f t="shared" ref="BA34" si="179">SUM(AN34*14%)</f>
        <v>0</v>
      </c>
      <c r="BB34" s="246">
        <f t="shared" ref="BB34" si="180">SUM(AO34*14%)</f>
        <v>0</v>
      </c>
      <c r="BC34" s="246">
        <f t="shared" ref="BC34" si="181">SUM(AP34*14%)</f>
        <v>0</v>
      </c>
      <c r="BD34" s="246">
        <f t="shared" ref="BD34" si="182">SUM(AQ34*14%)</f>
        <v>0</v>
      </c>
      <c r="BE34" s="246">
        <f t="shared" ref="BE34" si="183">SUM(AR34*14%)</f>
        <v>0</v>
      </c>
      <c r="BF34" s="222">
        <f t="shared" ref="BF34" si="184">SUM(AT34:BE34)</f>
        <v>378000.00000000006</v>
      </c>
      <c r="BG34" s="200">
        <f>AF34-AS34-BF34</f>
        <v>71999.999999999942</v>
      </c>
      <c r="BH34" s="201">
        <f t="shared" ref="BH34" si="185">S34*D34</f>
        <v>3150000</v>
      </c>
      <c r="BI34" s="202">
        <f t="shared" ref="BI34" si="186">BH34-AS34-BF34</f>
        <v>71999.999999999942</v>
      </c>
      <c r="BJ34" s="181">
        <f t="shared" ref="BJ34" si="187">SUM(Q34/D34)</f>
        <v>1</v>
      </c>
      <c r="BK34" s="285" t="e">
        <f>#REF!+1</f>
        <v>#REF!</v>
      </c>
      <c r="BL34" s="556">
        <f>SUM(AI34-BR34)</f>
        <v>0</v>
      </c>
      <c r="BM34" s="556">
        <f>59000*60</f>
        <v>3540000</v>
      </c>
      <c r="BN34" s="567">
        <f>SUM(BL34-BM34)</f>
        <v>-3540000</v>
      </c>
      <c r="BO34" s="561"/>
      <c r="BP34" s="323"/>
      <c r="BQ34" s="323"/>
      <c r="BR34" s="556">
        <f t="shared" ref="BR34:BR35" si="188">SUM(AI34*12.5%)</f>
        <v>0</v>
      </c>
      <c r="BS34" s="323">
        <f t="shared" ref="BS34:BS35" si="189">SUM(AJ34*12.5%)</f>
        <v>0</v>
      </c>
      <c r="BT34" s="323">
        <f t="shared" ref="BT34:BT35" si="190">SUM(AK34*12.5%)</f>
        <v>0</v>
      </c>
      <c r="BU34" s="323">
        <f t="shared" ref="BU34:BU35" si="191">SUM(AL34*12.5%)</f>
        <v>0</v>
      </c>
      <c r="BV34" s="323">
        <f t="shared" ref="BV34:BV35" si="192">SUM(AM34*12.5%)</f>
        <v>0</v>
      </c>
      <c r="BW34" s="323">
        <f t="shared" ref="BW34:BW35" si="193">SUM(AN34*12.5%)</f>
        <v>0</v>
      </c>
      <c r="BX34" s="323">
        <f t="shared" ref="BX34:BX35" si="194">SUM(AO34*12.5%)</f>
        <v>0</v>
      </c>
      <c r="BY34" s="323">
        <f t="shared" ref="BY34:BY35" si="195">SUM(AP34*12.5%)</f>
        <v>0</v>
      </c>
      <c r="BZ34" s="323">
        <f t="shared" ref="BZ34:BZ35" si="196">SUM(AQ34*12.5%)</f>
        <v>0</v>
      </c>
      <c r="CA34" s="323">
        <f t="shared" ref="CA34:CA35" si="197">SUM(AR34*12.5%)</f>
        <v>0</v>
      </c>
      <c r="CB34" s="55">
        <f t="shared" ref="CB34" si="198">SUM(BP34:CA34)</f>
        <v>0</v>
      </c>
      <c r="CC34" s="323"/>
      <c r="CD34" s="323"/>
      <c r="CE34" s="323"/>
      <c r="CF34" s="323"/>
      <c r="CG34" s="323"/>
      <c r="CH34" s="323"/>
      <c r="CI34" s="323"/>
      <c r="CJ34" s="323"/>
      <c r="CK34" s="323"/>
      <c r="CL34" s="323"/>
      <c r="CM34" s="323"/>
      <c r="CN34" s="323"/>
      <c r="CO34" s="55">
        <f t="shared" ref="CO34:CO35" si="199">SUM(CC34:CN34)</f>
        <v>0</v>
      </c>
      <c r="CP34" s="203"/>
      <c r="CQ34" s="262"/>
      <c r="CR34" s="203"/>
      <c r="CS34" s="203"/>
      <c r="CT34" s="203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</row>
    <row r="35" spans="1:127" s="184" customFormat="1" ht="24.75" customHeight="1" thickBot="1" x14ac:dyDescent="0.25">
      <c r="A35" s="208"/>
      <c r="B35" s="209" t="s">
        <v>4</v>
      </c>
      <c r="C35" s="209"/>
      <c r="D35" s="210"/>
      <c r="E35" s="211"/>
      <c r="F35" s="211"/>
      <c r="G35" s="243"/>
      <c r="H35" s="211"/>
      <c r="I35" s="293"/>
      <c r="J35" s="293"/>
      <c r="K35" s="211"/>
      <c r="L35" s="211"/>
      <c r="M35" s="211"/>
      <c r="N35" s="211"/>
      <c r="O35" s="211"/>
      <c r="P35" s="211"/>
      <c r="Q35" s="212"/>
      <c r="R35" s="213"/>
      <c r="S35" s="214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6">
        <f>SUM(AF34)</f>
        <v>3150000</v>
      </c>
      <c r="AG35" s="216">
        <f>SUM(AG34)</f>
        <v>2700000</v>
      </c>
      <c r="AH35" s="216">
        <f t="shared" ref="AH35:AR35" si="200">SUM(AH34)</f>
        <v>0</v>
      </c>
      <c r="AI35" s="216">
        <f t="shared" si="200"/>
        <v>0</v>
      </c>
      <c r="AJ35" s="216">
        <f t="shared" si="200"/>
        <v>0</v>
      </c>
      <c r="AK35" s="216">
        <f t="shared" si="200"/>
        <v>0</v>
      </c>
      <c r="AL35" s="216">
        <f t="shared" si="200"/>
        <v>0</v>
      </c>
      <c r="AM35" s="216">
        <f t="shared" si="200"/>
        <v>0</v>
      </c>
      <c r="AN35" s="216">
        <f t="shared" si="200"/>
        <v>0</v>
      </c>
      <c r="AO35" s="216">
        <f t="shared" si="200"/>
        <v>0</v>
      </c>
      <c r="AP35" s="216">
        <f t="shared" si="200"/>
        <v>0</v>
      </c>
      <c r="AQ35" s="216">
        <f t="shared" si="200"/>
        <v>0</v>
      </c>
      <c r="AR35" s="216">
        <f t="shared" si="200"/>
        <v>0</v>
      </c>
      <c r="AS35" s="216">
        <f>SUM(AS34)+500000</f>
        <v>3200000</v>
      </c>
      <c r="AT35" s="216">
        <f>SUM(AT34)</f>
        <v>378000.00000000006</v>
      </c>
      <c r="AU35" s="216">
        <f>SUM(AU34)</f>
        <v>0</v>
      </c>
      <c r="AV35" s="216">
        <f t="shared" ref="AV35:BF35" si="201">SUM(AV34)</f>
        <v>0</v>
      </c>
      <c r="AW35" s="216">
        <f t="shared" si="201"/>
        <v>0</v>
      </c>
      <c r="AX35" s="216">
        <f t="shared" si="201"/>
        <v>0</v>
      </c>
      <c r="AY35" s="216">
        <f t="shared" si="201"/>
        <v>0</v>
      </c>
      <c r="AZ35" s="216">
        <f t="shared" si="201"/>
        <v>0</v>
      </c>
      <c r="BA35" s="216">
        <f t="shared" si="201"/>
        <v>0</v>
      </c>
      <c r="BB35" s="216">
        <f t="shared" si="201"/>
        <v>0</v>
      </c>
      <c r="BC35" s="216">
        <f t="shared" si="201"/>
        <v>0</v>
      </c>
      <c r="BD35" s="216">
        <f t="shared" si="201"/>
        <v>0</v>
      </c>
      <c r="BE35" s="216">
        <f t="shared" si="201"/>
        <v>0</v>
      </c>
      <c r="BF35" s="216">
        <f t="shared" si="201"/>
        <v>378000.00000000006</v>
      </c>
      <c r="BG35" s="217">
        <f>SUM(BG34)</f>
        <v>71999.999999999942</v>
      </c>
      <c r="BH35" s="216">
        <f>SUM(BH34)</f>
        <v>3150000</v>
      </c>
      <c r="BI35" s="216">
        <f>SUM(BI34)</f>
        <v>71999.999999999942</v>
      </c>
      <c r="BJ35" s="182">
        <f>SUM(BJ34)/1</f>
        <v>1</v>
      </c>
      <c r="BK35" s="285"/>
      <c r="BL35" s="556">
        <f t="shared" ref="BL35" si="202">SUM(AI35-BR35)</f>
        <v>0</v>
      </c>
      <c r="BM35" s="556">
        <f>SUM(G35*T35)</f>
        <v>0</v>
      </c>
      <c r="BN35" s="567">
        <f t="shared" ref="BN35" si="203">SUM(BL35-BM35)</f>
        <v>0</v>
      </c>
      <c r="BO35" s="561"/>
      <c r="BP35" s="323"/>
      <c r="BQ35" s="323"/>
      <c r="BR35" s="556">
        <f t="shared" si="188"/>
        <v>0</v>
      </c>
      <c r="BS35" s="323">
        <f t="shared" si="189"/>
        <v>0</v>
      </c>
      <c r="BT35" s="323">
        <f t="shared" si="190"/>
        <v>0</v>
      </c>
      <c r="BU35" s="323">
        <f t="shared" si="191"/>
        <v>0</v>
      </c>
      <c r="BV35" s="323">
        <f t="shared" si="192"/>
        <v>0</v>
      </c>
      <c r="BW35" s="323">
        <f t="shared" si="193"/>
        <v>0</v>
      </c>
      <c r="BX35" s="323">
        <f t="shared" si="194"/>
        <v>0</v>
      </c>
      <c r="BY35" s="323">
        <f t="shared" si="195"/>
        <v>0</v>
      </c>
      <c r="BZ35" s="323">
        <f t="shared" si="196"/>
        <v>0</v>
      </c>
      <c r="CA35" s="323">
        <f t="shared" si="197"/>
        <v>0</v>
      </c>
      <c r="CB35" s="55">
        <f t="shared" ref="CB35" si="204">SUM(BP35:CA35)</f>
        <v>0</v>
      </c>
      <c r="CC35" s="323"/>
      <c r="CD35" s="323"/>
      <c r="CE35" s="323"/>
      <c r="CF35" s="323"/>
      <c r="CG35" s="323"/>
      <c r="CH35" s="323"/>
      <c r="CI35" s="323"/>
      <c r="CJ35" s="323"/>
      <c r="CK35" s="323"/>
      <c r="CL35" s="323"/>
      <c r="CM35" s="323"/>
      <c r="CN35" s="323"/>
      <c r="CO35" s="55">
        <f t="shared" si="199"/>
        <v>0</v>
      </c>
      <c r="CP35" s="218"/>
      <c r="CQ35" s="264"/>
      <c r="CR35" s="218"/>
      <c r="CS35" s="218"/>
      <c r="CT35" s="218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</row>
    <row r="36" spans="1:127" s="167" customFormat="1" ht="24.75" customHeight="1" x14ac:dyDescent="0.2">
      <c r="A36" s="185"/>
      <c r="D36" s="185"/>
      <c r="E36" s="185"/>
      <c r="F36" s="185"/>
      <c r="G36" s="241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AS36" s="191"/>
      <c r="AT36" s="232"/>
      <c r="BF36" s="220"/>
      <c r="BG36" s="186"/>
      <c r="BH36" s="221"/>
      <c r="BI36" s="187">
        <f>SUM(BG35)</f>
        <v>71999.999999999942</v>
      </c>
      <c r="BJ36" s="183" t="s">
        <v>29</v>
      </c>
      <c r="BK36" s="287"/>
      <c r="BL36" s="164"/>
      <c r="BM36" s="165"/>
      <c r="BN36" s="250"/>
      <c r="BO36" s="257"/>
      <c r="BP36" s="250"/>
      <c r="BQ36" s="250"/>
      <c r="BR36" s="250"/>
      <c r="BS36" s="257"/>
      <c r="BT36" s="250"/>
      <c r="BU36" s="250"/>
      <c r="BV36" s="250"/>
      <c r="BW36" s="257"/>
      <c r="BX36" s="250"/>
      <c r="BY36" s="250"/>
      <c r="BZ36" s="250"/>
      <c r="CA36" s="257"/>
      <c r="CB36" s="250"/>
      <c r="CC36" s="250"/>
      <c r="CD36" s="250"/>
      <c r="CE36" s="257"/>
      <c r="CF36" s="250"/>
      <c r="CG36" s="250"/>
      <c r="CH36" s="250"/>
      <c r="CI36" s="257"/>
      <c r="CJ36" s="250"/>
      <c r="CK36" s="250"/>
      <c r="CL36" s="250"/>
      <c r="CM36" s="257"/>
      <c r="CN36" s="250"/>
      <c r="CO36" s="250"/>
      <c r="CP36" s="250"/>
      <c r="CQ36" s="257"/>
      <c r="CR36" s="250"/>
      <c r="CS36" s="250"/>
      <c r="CT36" s="250"/>
      <c r="CU36" s="165"/>
      <c r="CV36" s="165"/>
      <c r="CW36" s="165"/>
      <c r="CX36" s="165"/>
      <c r="CY36" s="165"/>
      <c r="CZ36" s="165"/>
      <c r="DA36" s="165"/>
      <c r="DB36" s="165"/>
      <c r="DC36" s="165"/>
      <c r="DD36" s="165"/>
      <c r="DE36" s="165"/>
      <c r="DF36" s="165"/>
    </row>
    <row r="37" spans="1:127" s="183" customFormat="1" ht="24.75" customHeight="1" x14ac:dyDescent="0.2">
      <c r="A37" s="230"/>
      <c r="D37" s="230"/>
      <c r="E37" s="230"/>
      <c r="F37" s="230"/>
      <c r="G37" s="164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AM37" s="233"/>
      <c r="AT37" s="233">
        <f>SUM(AG35+AT35)</f>
        <v>3078000</v>
      </c>
      <c r="AU37" s="233">
        <f>SUM(AH35+AU35)</f>
        <v>0</v>
      </c>
      <c r="AV37" s="233">
        <f>SUM(AI35+AV35)</f>
        <v>0</v>
      </c>
      <c r="AW37" s="233">
        <f t="shared" ref="AW37" si="205">SUM(AJ35+AW35)</f>
        <v>0</v>
      </c>
      <c r="AX37" s="233">
        <f>SUM(AK35+AX35)</f>
        <v>0</v>
      </c>
      <c r="AY37" s="233">
        <f t="shared" ref="AY37" si="206">SUM(AL35+AY35)</f>
        <v>0</v>
      </c>
      <c r="AZ37" s="233">
        <f t="shared" ref="AZ37" si="207">SUM(AM35+AZ35)</f>
        <v>0</v>
      </c>
      <c r="BA37" s="233">
        <f t="shared" ref="BA37" si="208">SUM(AN35+BA35)</f>
        <v>0</v>
      </c>
      <c r="BB37" s="233">
        <f t="shared" ref="BB37" si="209">SUM(AO35+BB35)</f>
        <v>0</v>
      </c>
      <c r="BC37" s="233">
        <f t="shared" ref="BC37" si="210">SUM(AP35+BC35)</f>
        <v>0</v>
      </c>
      <c r="BD37" s="233">
        <f t="shared" ref="BD37" si="211">SUM(AQ35+BD35)</f>
        <v>0</v>
      </c>
      <c r="BE37" s="233">
        <f t="shared" ref="BE37" si="212">SUM(AR35+BE35)</f>
        <v>0</v>
      </c>
      <c r="BF37" s="233"/>
      <c r="BH37" s="231"/>
      <c r="BI37" s="189">
        <f>SUM(BI35-BI36)</f>
        <v>0</v>
      </c>
      <c r="BJ37" s="183" t="s">
        <v>28</v>
      </c>
      <c r="BK37" s="287"/>
      <c r="BL37" s="164"/>
      <c r="BM37" s="166"/>
      <c r="BN37" s="251"/>
      <c r="BO37" s="260"/>
      <c r="BP37" s="251"/>
      <c r="BQ37" s="251"/>
      <c r="BR37" s="251"/>
      <c r="BS37" s="260"/>
      <c r="BT37" s="251"/>
      <c r="BU37" s="251"/>
      <c r="BV37" s="251"/>
      <c r="BW37" s="260"/>
      <c r="BX37" s="251"/>
      <c r="BY37" s="251"/>
      <c r="BZ37" s="251"/>
      <c r="CA37" s="260"/>
      <c r="CB37" s="251"/>
      <c r="CC37" s="251"/>
      <c r="CD37" s="251"/>
      <c r="CE37" s="260"/>
      <c r="CF37" s="251"/>
      <c r="CG37" s="251"/>
      <c r="CH37" s="251"/>
      <c r="CI37" s="260"/>
      <c r="CJ37" s="251"/>
      <c r="CK37" s="251"/>
      <c r="CL37" s="251"/>
      <c r="CM37" s="260"/>
      <c r="CN37" s="251"/>
      <c r="CO37" s="251"/>
      <c r="CP37" s="251"/>
      <c r="CQ37" s="260"/>
      <c r="CR37" s="251"/>
      <c r="CS37" s="251"/>
      <c r="CT37" s="251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</row>
    <row r="38" spans="1:127" s="167" customFormat="1" ht="24.75" customHeight="1" x14ac:dyDescent="0.2">
      <c r="A38" s="827" t="s">
        <v>7</v>
      </c>
      <c r="B38" s="828"/>
      <c r="C38" s="151" t="s">
        <v>78</v>
      </c>
      <c r="D38" s="152"/>
      <c r="E38" s="152"/>
      <c r="F38" s="152"/>
      <c r="G38" s="19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2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4"/>
      <c r="AT38" s="316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4"/>
      <c r="BG38" s="154"/>
      <c r="BH38" s="150"/>
      <c r="BI38" s="155"/>
      <c r="BJ38" s="152"/>
      <c r="BK38" s="192"/>
      <c r="BL38" s="192"/>
      <c r="BM38" s="153"/>
      <c r="BN38" s="192"/>
      <c r="BO38" s="258"/>
      <c r="BP38" s="192"/>
      <c r="BQ38" s="156"/>
      <c r="BR38" s="192"/>
      <c r="BS38" s="258"/>
      <c r="BT38" s="192"/>
      <c r="BU38" s="156"/>
      <c r="BV38" s="192"/>
      <c r="BW38" s="258"/>
      <c r="BX38" s="192"/>
      <c r="BY38" s="156"/>
      <c r="BZ38" s="192"/>
      <c r="CA38" s="258"/>
      <c r="CB38" s="192"/>
      <c r="CC38" s="156"/>
      <c r="CD38" s="192"/>
      <c r="CE38" s="258"/>
      <c r="CF38" s="192"/>
      <c r="CG38" s="156"/>
      <c r="CH38" s="192"/>
      <c r="CI38" s="258"/>
      <c r="CJ38" s="192"/>
      <c r="CK38" s="156"/>
      <c r="CL38" s="192"/>
      <c r="CM38" s="258"/>
      <c r="CN38" s="192"/>
      <c r="CO38" s="156"/>
      <c r="CP38" s="192"/>
      <c r="CQ38" s="258"/>
      <c r="CR38" s="192"/>
      <c r="CS38" s="156"/>
      <c r="CT38" s="192"/>
      <c r="CU38" s="153"/>
      <c r="CV38" s="153"/>
      <c r="CW38" s="153"/>
      <c r="CX38" s="153"/>
      <c r="CY38" s="154"/>
      <c r="CZ38" s="154"/>
      <c r="DA38" s="154"/>
      <c r="DB38" s="150"/>
      <c r="DC38" s="155"/>
      <c r="DD38" s="154"/>
      <c r="DE38" s="154"/>
      <c r="DF38" s="165"/>
      <c r="DG38" s="165"/>
      <c r="DH38" s="165"/>
      <c r="DI38" s="165"/>
      <c r="DJ38" s="165"/>
      <c r="DK38" s="166"/>
      <c r="DL38" s="165"/>
      <c r="DM38" s="165"/>
      <c r="DN38" s="165"/>
      <c r="DO38" s="165"/>
      <c r="DP38" s="165"/>
      <c r="DQ38" s="165"/>
      <c r="DR38" s="165"/>
      <c r="DS38" s="165"/>
      <c r="DT38" s="165"/>
      <c r="DU38" s="165"/>
      <c r="DV38" s="165"/>
      <c r="DW38" s="165"/>
    </row>
    <row r="39" spans="1:127" s="169" customFormat="1" ht="48.75" customHeight="1" x14ac:dyDescent="0.2">
      <c r="A39" s="829" t="s">
        <v>8</v>
      </c>
      <c r="B39" s="816" t="s">
        <v>9</v>
      </c>
      <c r="C39" s="816" t="s">
        <v>77</v>
      </c>
      <c r="D39" s="842" t="s">
        <v>10</v>
      </c>
      <c r="E39" s="843"/>
      <c r="F39" s="843"/>
      <c r="G39" s="843"/>
      <c r="H39" s="843"/>
      <c r="I39" s="843"/>
      <c r="J39" s="843"/>
      <c r="K39" s="843"/>
      <c r="L39" s="843"/>
      <c r="M39" s="843"/>
      <c r="N39" s="843"/>
      <c r="O39" s="843"/>
      <c r="P39" s="843"/>
      <c r="Q39" s="844"/>
      <c r="R39" s="816" t="s">
        <v>20</v>
      </c>
      <c r="S39" s="833" t="s">
        <v>17</v>
      </c>
      <c r="T39" s="834"/>
      <c r="U39" s="834"/>
      <c r="V39" s="834"/>
      <c r="W39" s="834"/>
      <c r="X39" s="834"/>
      <c r="Y39" s="834"/>
      <c r="Z39" s="834"/>
      <c r="AA39" s="834"/>
      <c r="AB39" s="834"/>
      <c r="AC39" s="834"/>
      <c r="AD39" s="834"/>
      <c r="AE39" s="846"/>
      <c r="AF39" s="847" t="s">
        <v>5</v>
      </c>
      <c r="AG39" s="848"/>
      <c r="AH39" s="848"/>
      <c r="AI39" s="848"/>
      <c r="AJ39" s="848"/>
      <c r="AK39" s="848"/>
      <c r="AL39" s="848"/>
      <c r="AM39" s="848"/>
      <c r="AN39" s="848"/>
      <c r="AO39" s="848"/>
      <c r="AP39" s="848"/>
      <c r="AQ39" s="848"/>
      <c r="AR39" s="848"/>
      <c r="AS39" s="849"/>
      <c r="AT39" s="836" t="s">
        <v>32</v>
      </c>
      <c r="AU39" s="837"/>
      <c r="AV39" s="837"/>
      <c r="AW39" s="837"/>
      <c r="AX39" s="837"/>
      <c r="AY39" s="837"/>
      <c r="AZ39" s="837"/>
      <c r="BA39" s="837"/>
      <c r="BB39" s="837"/>
      <c r="BC39" s="837"/>
      <c r="BD39" s="837"/>
      <c r="BE39" s="837"/>
      <c r="BF39" s="838"/>
      <c r="BG39" s="816" t="s">
        <v>29</v>
      </c>
      <c r="BH39" s="816" t="s">
        <v>57</v>
      </c>
      <c r="BI39" s="819" t="s">
        <v>30</v>
      </c>
      <c r="BJ39" s="150"/>
      <c r="BK39" s="283"/>
      <c r="BL39" s="84"/>
      <c r="BM39" s="84"/>
      <c r="BN39" s="84"/>
      <c r="BO39" s="84"/>
      <c r="BP39" s="774" t="s">
        <v>32</v>
      </c>
      <c r="BQ39" s="775"/>
      <c r="BR39" s="775"/>
      <c r="BS39" s="775"/>
      <c r="BT39" s="775"/>
      <c r="BU39" s="775"/>
      <c r="BV39" s="775"/>
      <c r="BW39" s="775"/>
      <c r="BX39" s="775"/>
      <c r="BY39" s="775"/>
      <c r="BZ39" s="775"/>
      <c r="CA39" s="775"/>
      <c r="CB39" s="775"/>
      <c r="CC39" s="775"/>
      <c r="CD39" s="775"/>
      <c r="CE39" s="775"/>
      <c r="CF39" s="775"/>
      <c r="CG39" s="775"/>
      <c r="CH39" s="775"/>
      <c r="CI39" s="775"/>
      <c r="CJ39" s="775"/>
      <c r="CK39" s="775"/>
      <c r="CL39" s="775"/>
      <c r="CM39" s="775"/>
      <c r="CN39" s="775"/>
      <c r="CO39" s="776"/>
      <c r="CP39" s="192"/>
      <c r="CQ39" s="258"/>
      <c r="CR39" s="192"/>
      <c r="CS39" s="192"/>
      <c r="CT39" s="192"/>
      <c r="CU39" s="152"/>
      <c r="CV39" s="152"/>
      <c r="CW39" s="152"/>
      <c r="CX39" s="152"/>
      <c r="CY39" s="152"/>
      <c r="CZ39" s="152"/>
      <c r="DA39" s="152"/>
      <c r="DB39" s="152"/>
      <c r="DC39" s="152"/>
      <c r="DD39" s="168"/>
      <c r="DE39" s="168"/>
    </row>
    <row r="40" spans="1:127" s="169" customFormat="1" ht="48.75" customHeight="1" x14ac:dyDescent="0.2">
      <c r="A40" s="830"/>
      <c r="B40" s="817"/>
      <c r="C40" s="817"/>
      <c r="D40" s="822" t="s">
        <v>18</v>
      </c>
      <c r="E40" s="824" t="s">
        <v>19</v>
      </c>
      <c r="F40" s="825"/>
      <c r="G40" s="825"/>
      <c r="H40" s="825"/>
      <c r="I40" s="825"/>
      <c r="J40" s="825"/>
      <c r="K40" s="825"/>
      <c r="L40" s="825"/>
      <c r="M40" s="825"/>
      <c r="N40" s="825"/>
      <c r="O40" s="825"/>
      <c r="P40" s="825"/>
      <c r="Q40" s="826"/>
      <c r="R40" s="817"/>
      <c r="S40" s="822" t="s">
        <v>18</v>
      </c>
      <c r="T40" s="824" t="s">
        <v>19</v>
      </c>
      <c r="U40" s="825"/>
      <c r="V40" s="825"/>
      <c r="W40" s="825"/>
      <c r="X40" s="825"/>
      <c r="Y40" s="825"/>
      <c r="Z40" s="825"/>
      <c r="AA40" s="825"/>
      <c r="AB40" s="825"/>
      <c r="AC40" s="825"/>
      <c r="AD40" s="825"/>
      <c r="AE40" s="826"/>
      <c r="AF40" s="822" t="s">
        <v>18</v>
      </c>
      <c r="AG40" s="824" t="s">
        <v>19</v>
      </c>
      <c r="AH40" s="825"/>
      <c r="AI40" s="825"/>
      <c r="AJ40" s="825"/>
      <c r="AK40" s="825"/>
      <c r="AL40" s="825"/>
      <c r="AM40" s="825"/>
      <c r="AN40" s="825"/>
      <c r="AO40" s="825"/>
      <c r="AP40" s="825"/>
      <c r="AQ40" s="825"/>
      <c r="AR40" s="825"/>
      <c r="AS40" s="826"/>
      <c r="AT40" s="850"/>
      <c r="AU40" s="851"/>
      <c r="AV40" s="851"/>
      <c r="AW40" s="851"/>
      <c r="AX40" s="851"/>
      <c r="AY40" s="851"/>
      <c r="AZ40" s="851"/>
      <c r="BA40" s="851"/>
      <c r="BB40" s="851"/>
      <c r="BC40" s="851"/>
      <c r="BD40" s="851"/>
      <c r="BE40" s="851"/>
      <c r="BF40" s="852"/>
      <c r="BG40" s="817"/>
      <c r="BH40" s="817"/>
      <c r="BI40" s="820"/>
      <c r="BJ40" s="150"/>
      <c r="BK40" s="283"/>
      <c r="BL40" s="777">
        <f>SUM(BL42/60)</f>
        <v>0</v>
      </c>
      <c r="BM40" s="777"/>
      <c r="BN40" s="777"/>
      <c r="BO40" s="17"/>
      <c r="BP40" s="778" t="s">
        <v>230</v>
      </c>
      <c r="BQ40" s="779"/>
      <c r="BR40" s="779"/>
      <c r="BS40" s="779"/>
      <c r="BT40" s="779"/>
      <c r="BU40" s="779"/>
      <c r="BV40" s="779"/>
      <c r="BW40" s="779"/>
      <c r="BX40" s="779"/>
      <c r="BY40" s="779"/>
      <c r="BZ40" s="779"/>
      <c r="CA40" s="779"/>
      <c r="CB40" s="780"/>
      <c r="CC40" s="781" t="s">
        <v>231</v>
      </c>
      <c r="CD40" s="782"/>
      <c r="CE40" s="782"/>
      <c r="CF40" s="782"/>
      <c r="CG40" s="782"/>
      <c r="CH40" s="782"/>
      <c r="CI40" s="782"/>
      <c r="CJ40" s="782"/>
      <c r="CK40" s="782"/>
      <c r="CL40" s="782"/>
      <c r="CM40" s="782"/>
      <c r="CN40" s="782"/>
      <c r="CO40" s="783"/>
      <c r="CP40" s="192"/>
      <c r="CQ40" s="258"/>
      <c r="CR40" s="192"/>
      <c r="CS40" s="192"/>
      <c r="CT40" s="192"/>
      <c r="CU40" s="152"/>
      <c r="CV40" s="152"/>
      <c r="CW40" s="152"/>
      <c r="CX40" s="152"/>
      <c r="CY40" s="152"/>
      <c r="CZ40" s="152"/>
      <c r="DA40" s="152"/>
      <c r="DB40" s="152"/>
      <c r="DC40" s="152"/>
      <c r="DD40" s="168"/>
      <c r="DE40" s="168"/>
    </row>
    <row r="41" spans="1:127" s="172" customFormat="1" ht="28.5" customHeight="1" x14ac:dyDescent="0.2">
      <c r="A41" s="831"/>
      <c r="B41" s="818"/>
      <c r="C41" s="818"/>
      <c r="D41" s="853"/>
      <c r="E41" s="170">
        <v>1</v>
      </c>
      <c r="F41" s="170">
        <v>2</v>
      </c>
      <c r="G41" s="240">
        <v>3</v>
      </c>
      <c r="H41" s="170">
        <v>4</v>
      </c>
      <c r="I41" s="240">
        <v>5</v>
      </c>
      <c r="J41" s="170">
        <v>6</v>
      </c>
      <c r="K41" s="170">
        <v>7</v>
      </c>
      <c r="L41" s="170">
        <v>8</v>
      </c>
      <c r="M41" s="170">
        <v>9</v>
      </c>
      <c r="N41" s="170">
        <v>10</v>
      </c>
      <c r="O41" s="170">
        <v>11</v>
      </c>
      <c r="P41" s="170">
        <v>12</v>
      </c>
      <c r="Q41" s="170" t="s">
        <v>21</v>
      </c>
      <c r="R41" s="845"/>
      <c r="S41" s="853"/>
      <c r="T41" s="170">
        <v>1</v>
      </c>
      <c r="U41" s="170">
        <v>2</v>
      </c>
      <c r="V41" s="170">
        <v>3</v>
      </c>
      <c r="W41" s="170">
        <v>4</v>
      </c>
      <c r="X41" s="170">
        <v>5</v>
      </c>
      <c r="Y41" s="170">
        <v>6</v>
      </c>
      <c r="Z41" s="170">
        <v>7</v>
      </c>
      <c r="AA41" s="170">
        <v>8</v>
      </c>
      <c r="AB41" s="170">
        <v>9</v>
      </c>
      <c r="AC41" s="170">
        <v>10</v>
      </c>
      <c r="AD41" s="170">
        <v>11</v>
      </c>
      <c r="AE41" s="170">
        <v>12</v>
      </c>
      <c r="AF41" s="823"/>
      <c r="AG41" s="170">
        <v>1</v>
      </c>
      <c r="AH41" s="170">
        <v>2</v>
      </c>
      <c r="AI41" s="170">
        <v>3</v>
      </c>
      <c r="AJ41" s="170">
        <v>4</v>
      </c>
      <c r="AK41" s="266">
        <v>5</v>
      </c>
      <c r="AL41" s="170">
        <v>6</v>
      </c>
      <c r="AM41" s="170">
        <v>7</v>
      </c>
      <c r="AN41" s="170">
        <v>8</v>
      </c>
      <c r="AO41" s="170">
        <v>9</v>
      </c>
      <c r="AP41" s="170">
        <v>10</v>
      </c>
      <c r="AQ41" s="170">
        <v>11</v>
      </c>
      <c r="AR41" s="170">
        <v>12</v>
      </c>
      <c r="AS41" s="170" t="s">
        <v>13</v>
      </c>
      <c r="AT41" s="171">
        <v>1</v>
      </c>
      <c r="AU41" s="171">
        <v>2</v>
      </c>
      <c r="AV41" s="171">
        <v>3</v>
      </c>
      <c r="AW41" s="171">
        <v>4</v>
      </c>
      <c r="AX41" s="171">
        <v>5</v>
      </c>
      <c r="AY41" s="171">
        <v>6</v>
      </c>
      <c r="AZ41" s="171">
        <v>7</v>
      </c>
      <c r="BA41" s="171">
        <v>8</v>
      </c>
      <c r="BB41" s="171">
        <v>9</v>
      </c>
      <c r="BC41" s="171">
        <v>10</v>
      </c>
      <c r="BD41" s="171">
        <v>11</v>
      </c>
      <c r="BE41" s="171">
        <v>12</v>
      </c>
      <c r="BF41" s="170" t="s">
        <v>13</v>
      </c>
      <c r="BG41" s="818"/>
      <c r="BH41" s="818"/>
      <c r="BI41" s="821"/>
      <c r="BK41" s="284"/>
      <c r="BL41" s="784" t="s">
        <v>19</v>
      </c>
      <c r="BM41" s="785"/>
      <c r="BN41" s="786"/>
      <c r="BO41" s="337"/>
      <c r="BP41" s="111">
        <v>1</v>
      </c>
      <c r="BQ41" s="111">
        <v>2</v>
      </c>
      <c r="BR41" s="111">
        <v>3</v>
      </c>
      <c r="BS41" s="111">
        <v>4</v>
      </c>
      <c r="BT41" s="111">
        <v>5</v>
      </c>
      <c r="BU41" s="111">
        <v>6</v>
      </c>
      <c r="BV41" s="111">
        <v>7</v>
      </c>
      <c r="BW41" s="111">
        <v>8</v>
      </c>
      <c r="BX41" s="111">
        <v>9</v>
      </c>
      <c r="BY41" s="111">
        <v>10</v>
      </c>
      <c r="BZ41" s="111">
        <v>11</v>
      </c>
      <c r="CA41" s="111">
        <v>12</v>
      </c>
      <c r="CB41" s="20" t="s">
        <v>13</v>
      </c>
      <c r="CC41" s="111">
        <v>1</v>
      </c>
      <c r="CD41" s="111">
        <v>2</v>
      </c>
      <c r="CE41" s="111">
        <v>3</v>
      </c>
      <c r="CF41" s="111">
        <v>4</v>
      </c>
      <c r="CG41" s="111">
        <v>5</v>
      </c>
      <c r="CH41" s="111">
        <v>6</v>
      </c>
      <c r="CI41" s="111">
        <v>7</v>
      </c>
      <c r="CJ41" s="111">
        <v>8</v>
      </c>
      <c r="CK41" s="111">
        <v>9</v>
      </c>
      <c r="CL41" s="111">
        <v>10</v>
      </c>
      <c r="CM41" s="111">
        <v>11</v>
      </c>
      <c r="CN41" s="111">
        <v>12</v>
      </c>
      <c r="CO41" s="20" t="s">
        <v>13</v>
      </c>
      <c r="CP41" s="253"/>
      <c r="CQ41" s="261"/>
      <c r="CR41" s="253"/>
      <c r="CS41" s="253"/>
      <c r="CT41" s="253"/>
      <c r="CU41" s="239"/>
      <c r="CV41" s="239"/>
      <c r="CW41" s="239"/>
      <c r="CX41" s="239"/>
      <c r="CY41" s="239"/>
      <c r="CZ41" s="239"/>
      <c r="DA41" s="239"/>
      <c r="DB41" s="239"/>
      <c r="DC41" s="239"/>
      <c r="DD41" s="239"/>
      <c r="DE41" s="239"/>
    </row>
    <row r="42" spans="1:127" s="205" customFormat="1" ht="24.75" customHeight="1" thickBot="1" x14ac:dyDescent="0.25">
      <c r="A42" s="193"/>
      <c r="B42" s="305" t="s">
        <v>141</v>
      </c>
      <c r="C42" s="194" t="s">
        <v>140</v>
      </c>
      <c r="D42" s="157">
        <v>3</v>
      </c>
      <c r="E42" s="157">
        <v>3</v>
      </c>
      <c r="F42" s="157"/>
      <c r="G42" s="242"/>
      <c r="H42" s="196"/>
      <c r="I42" s="292"/>
      <c r="J42" s="292"/>
      <c r="K42" s="196"/>
      <c r="L42" s="196"/>
      <c r="M42" s="196"/>
      <c r="N42" s="196"/>
      <c r="O42" s="196"/>
      <c r="P42" s="196"/>
      <c r="Q42" s="309">
        <f>SUM(E42:P42)</f>
        <v>3</v>
      </c>
      <c r="R42" s="94" t="s">
        <v>24</v>
      </c>
      <c r="S42" s="306">
        <v>183036</v>
      </c>
      <c r="T42" s="160">
        <v>180000</v>
      </c>
      <c r="U42" s="160"/>
      <c r="V42" s="160"/>
      <c r="W42" s="160"/>
      <c r="X42" s="198"/>
      <c r="Y42" s="198"/>
      <c r="Z42" s="198"/>
      <c r="AA42" s="198"/>
      <c r="AB42" s="198"/>
      <c r="AC42" s="198"/>
      <c r="AD42" s="198"/>
      <c r="AE42" s="198"/>
      <c r="AF42" s="175">
        <f>Q42*S42</f>
        <v>549108</v>
      </c>
      <c r="AG42" s="176">
        <f>T42*E42</f>
        <v>540000</v>
      </c>
      <c r="AH42" s="176">
        <f t="shared" ref="AH42" si="213">U42*F42</f>
        <v>0</v>
      </c>
      <c r="AI42" s="176">
        <f t="shared" ref="AI42" si="214">V42*G42</f>
        <v>0</v>
      </c>
      <c r="AJ42" s="176">
        <f t="shared" ref="AJ42" si="215">W42*H42</f>
        <v>0</v>
      </c>
      <c r="AK42" s="246">
        <f t="shared" ref="AK42" si="216">X42*I42</f>
        <v>0</v>
      </c>
      <c r="AL42" s="176">
        <f t="shared" ref="AL42" si="217">Y42*J42</f>
        <v>0</v>
      </c>
      <c r="AM42" s="176">
        <f t="shared" ref="AM42" si="218">Z42*K42</f>
        <v>0</v>
      </c>
      <c r="AN42" s="176">
        <f t="shared" ref="AN42" si="219">AA42*L42</f>
        <v>0</v>
      </c>
      <c r="AO42" s="176">
        <f t="shared" ref="AO42" si="220">AB42*M42</f>
        <v>0</v>
      </c>
      <c r="AP42" s="176">
        <f t="shared" ref="AP42" si="221">AC42*N42</f>
        <v>0</v>
      </c>
      <c r="AQ42" s="176">
        <f t="shared" ref="AQ42" si="222">AD42*O42</f>
        <v>0</v>
      </c>
      <c r="AR42" s="176">
        <f t="shared" ref="AR42" si="223">AE42*P42</f>
        <v>0</v>
      </c>
      <c r="AS42" s="177">
        <f>SUM(AG42:AR42)</f>
        <v>540000</v>
      </c>
      <c r="AT42" s="246"/>
      <c r="AU42" s="246">
        <f t="shared" ref="AU42" si="224">SUM(AH42*14%)</f>
        <v>0</v>
      </c>
      <c r="AV42" s="246">
        <f t="shared" ref="AV42" si="225">SUM(AI42*14%)</f>
        <v>0</v>
      </c>
      <c r="AW42" s="246">
        <f t="shared" ref="AW42" si="226">SUM(AJ42*14%)</f>
        <v>0</v>
      </c>
      <c r="AX42" s="246">
        <f t="shared" ref="AX42" si="227">SUM(AK42*14%)</f>
        <v>0</v>
      </c>
      <c r="AY42" s="246">
        <f t="shared" ref="AY42" si="228">SUM(AL42*14%)</f>
        <v>0</v>
      </c>
      <c r="AZ42" s="246">
        <f t="shared" ref="AZ42" si="229">SUM(AM42*14%)</f>
        <v>0</v>
      </c>
      <c r="BA42" s="246">
        <f t="shared" ref="BA42" si="230">SUM(AN42*14%)</f>
        <v>0</v>
      </c>
      <c r="BB42" s="246">
        <f t="shared" ref="BB42" si="231">SUM(AO42*14%)</f>
        <v>0</v>
      </c>
      <c r="BC42" s="246">
        <f t="shared" ref="BC42" si="232">SUM(AP42*14%)</f>
        <v>0</v>
      </c>
      <c r="BD42" s="246">
        <f t="shared" ref="BD42" si="233">SUM(AQ42*14%)</f>
        <v>0</v>
      </c>
      <c r="BE42" s="246">
        <f t="shared" ref="BE42" si="234">SUM(AR42*14%)</f>
        <v>0</v>
      </c>
      <c r="BF42" s="199">
        <f>SUM(AT42:BE42)</f>
        <v>0</v>
      </c>
      <c r="BG42" s="200">
        <f>AF42-AS42-BF42</f>
        <v>9108</v>
      </c>
      <c r="BH42" s="201">
        <f>S42*D42</f>
        <v>549108</v>
      </c>
      <c r="BI42" s="202">
        <f>BH42-AS42-BF42</f>
        <v>9108</v>
      </c>
      <c r="BJ42" s="181">
        <f>SUM(Q42/D42)</f>
        <v>1</v>
      </c>
      <c r="BK42" s="285"/>
      <c r="BL42" s="556">
        <f>SUM(AI42-BR42)</f>
        <v>0</v>
      </c>
      <c r="BM42" s="556">
        <f>59000*60</f>
        <v>3540000</v>
      </c>
      <c r="BN42" s="567">
        <f>SUM(BL42-BM42)</f>
        <v>-3540000</v>
      </c>
      <c r="BO42" s="561"/>
      <c r="BP42" s="323"/>
      <c r="BQ42" s="323"/>
      <c r="BR42" s="556">
        <f t="shared" ref="BR42:BR43" si="235">SUM(AI42*12.5%)</f>
        <v>0</v>
      </c>
      <c r="BS42" s="323">
        <f t="shared" ref="BS42:BS43" si="236">SUM(AJ42*12.5%)</f>
        <v>0</v>
      </c>
      <c r="BT42" s="323">
        <f t="shared" ref="BT42:BT43" si="237">SUM(AK42*12.5%)</f>
        <v>0</v>
      </c>
      <c r="BU42" s="323">
        <f t="shared" ref="BU42:BU43" si="238">SUM(AL42*12.5%)</f>
        <v>0</v>
      </c>
      <c r="BV42" s="323">
        <f t="shared" ref="BV42:BV43" si="239">SUM(AM42*12.5%)</f>
        <v>0</v>
      </c>
      <c r="BW42" s="323">
        <f t="shared" ref="BW42:BW43" si="240">SUM(AN42*12.5%)</f>
        <v>0</v>
      </c>
      <c r="BX42" s="323">
        <f t="shared" ref="BX42:BX43" si="241">SUM(AO42*12.5%)</f>
        <v>0</v>
      </c>
      <c r="BY42" s="323">
        <f t="shared" ref="BY42:BY43" si="242">SUM(AP42*12.5%)</f>
        <v>0</v>
      </c>
      <c r="BZ42" s="323">
        <f t="shared" ref="BZ42:BZ43" si="243">SUM(AQ42*12.5%)</f>
        <v>0</v>
      </c>
      <c r="CA42" s="323">
        <f t="shared" ref="CA42:CA43" si="244">SUM(AR42*12.5%)</f>
        <v>0</v>
      </c>
      <c r="CB42" s="55">
        <f t="shared" ref="CB42" si="245">SUM(BP42:CA42)</f>
        <v>0</v>
      </c>
      <c r="CC42" s="323"/>
      <c r="CD42" s="323"/>
      <c r="CE42" s="323"/>
      <c r="CF42" s="323"/>
      <c r="CG42" s="323"/>
      <c r="CH42" s="323"/>
      <c r="CI42" s="323"/>
      <c r="CJ42" s="323"/>
      <c r="CK42" s="323"/>
      <c r="CL42" s="323"/>
      <c r="CM42" s="323"/>
      <c r="CN42" s="323"/>
      <c r="CO42" s="55">
        <f t="shared" ref="CO42:CO43" si="246">SUM(CC42:CN42)</f>
        <v>0</v>
      </c>
      <c r="CP42" s="203"/>
      <c r="CQ42" s="262"/>
      <c r="CR42" s="203"/>
      <c r="CS42" s="203"/>
      <c r="CT42" s="203"/>
      <c r="CU42" s="204"/>
      <c r="CV42" s="204"/>
      <c r="CW42" s="204"/>
      <c r="CX42" s="204"/>
      <c r="CY42" s="204"/>
      <c r="CZ42" s="204"/>
      <c r="DA42" s="204"/>
      <c r="DB42" s="204"/>
      <c r="DC42" s="204"/>
      <c r="DD42" s="204"/>
      <c r="DE42" s="204"/>
    </row>
    <row r="43" spans="1:127" s="184" customFormat="1" ht="24.75" customHeight="1" thickBot="1" x14ac:dyDescent="0.25">
      <c r="A43" s="208"/>
      <c r="B43" s="209" t="s">
        <v>4</v>
      </c>
      <c r="C43" s="209"/>
      <c r="D43" s="210"/>
      <c r="E43" s="211"/>
      <c r="F43" s="211"/>
      <c r="G43" s="243"/>
      <c r="H43" s="211"/>
      <c r="I43" s="293"/>
      <c r="J43" s="293"/>
      <c r="K43" s="211"/>
      <c r="L43" s="211"/>
      <c r="M43" s="211"/>
      <c r="N43" s="211"/>
      <c r="O43" s="211"/>
      <c r="P43" s="211"/>
      <c r="Q43" s="212"/>
      <c r="R43" s="213"/>
      <c r="S43" s="214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6">
        <f t="shared" ref="AF43:BF43" si="247">SUM(AF42:AF42)</f>
        <v>549108</v>
      </c>
      <c r="AG43" s="216">
        <f t="shared" si="247"/>
        <v>540000</v>
      </c>
      <c r="AH43" s="216">
        <f t="shared" si="247"/>
        <v>0</v>
      </c>
      <c r="AI43" s="216">
        <f t="shared" si="247"/>
        <v>0</v>
      </c>
      <c r="AJ43" s="216">
        <f t="shared" si="247"/>
        <v>0</v>
      </c>
      <c r="AK43" s="216">
        <f t="shared" si="247"/>
        <v>0</v>
      </c>
      <c r="AL43" s="216">
        <f t="shared" si="247"/>
        <v>0</v>
      </c>
      <c r="AM43" s="216">
        <f t="shared" si="247"/>
        <v>0</v>
      </c>
      <c r="AN43" s="216">
        <f t="shared" si="247"/>
        <v>0</v>
      </c>
      <c r="AO43" s="216">
        <f t="shared" si="247"/>
        <v>0</v>
      </c>
      <c r="AP43" s="216">
        <f t="shared" si="247"/>
        <v>0</v>
      </c>
      <c r="AQ43" s="216">
        <f t="shared" si="247"/>
        <v>0</v>
      </c>
      <c r="AR43" s="216">
        <f t="shared" si="247"/>
        <v>0</v>
      </c>
      <c r="AS43" s="216">
        <f t="shared" si="247"/>
        <v>540000</v>
      </c>
      <c r="AT43" s="216">
        <f t="shared" si="247"/>
        <v>0</v>
      </c>
      <c r="AU43" s="216">
        <f t="shared" si="247"/>
        <v>0</v>
      </c>
      <c r="AV43" s="216">
        <f t="shared" si="247"/>
        <v>0</v>
      </c>
      <c r="AW43" s="216">
        <f t="shared" si="247"/>
        <v>0</v>
      </c>
      <c r="AX43" s="216">
        <f t="shared" si="247"/>
        <v>0</v>
      </c>
      <c r="AY43" s="216">
        <f t="shared" si="247"/>
        <v>0</v>
      </c>
      <c r="AZ43" s="216">
        <f t="shared" si="247"/>
        <v>0</v>
      </c>
      <c r="BA43" s="216">
        <f t="shared" si="247"/>
        <v>0</v>
      </c>
      <c r="BB43" s="216">
        <f t="shared" si="247"/>
        <v>0</v>
      </c>
      <c r="BC43" s="216">
        <f t="shared" si="247"/>
        <v>0</v>
      </c>
      <c r="BD43" s="216">
        <f t="shared" si="247"/>
        <v>0</v>
      </c>
      <c r="BE43" s="216">
        <f t="shared" si="247"/>
        <v>0</v>
      </c>
      <c r="BF43" s="216">
        <f t="shared" si="247"/>
        <v>0</v>
      </c>
      <c r="BG43" s="217">
        <f>AF43-AS43-BF43</f>
        <v>9108</v>
      </c>
      <c r="BH43" s="216">
        <f>SUM(BH42:BH42)</f>
        <v>549108</v>
      </c>
      <c r="BI43" s="216">
        <f>SUM(BI42:BI42)</f>
        <v>9108</v>
      </c>
      <c r="BJ43" s="182">
        <f>SUM(BJ42)/1</f>
        <v>1</v>
      </c>
      <c r="BK43" s="286"/>
      <c r="BL43" s="556">
        <f t="shared" ref="BL43" si="248">SUM(AI43-BR43)</f>
        <v>0</v>
      </c>
      <c r="BM43" s="556">
        <f>SUM(G43*T43)</f>
        <v>0</v>
      </c>
      <c r="BN43" s="567">
        <f t="shared" ref="BN43" si="249">SUM(BL43-BM43)</f>
        <v>0</v>
      </c>
      <c r="BO43" s="561"/>
      <c r="BP43" s="323"/>
      <c r="BQ43" s="323"/>
      <c r="BR43" s="556">
        <f t="shared" si="235"/>
        <v>0</v>
      </c>
      <c r="BS43" s="323">
        <f t="shared" si="236"/>
        <v>0</v>
      </c>
      <c r="BT43" s="323">
        <f t="shared" si="237"/>
        <v>0</v>
      </c>
      <c r="BU43" s="323">
        <f t="shared" si="238"/>
        <v>0</v>
      </c>
      <c r="BV43" s="323">
        <f t="shared" si="239"/>
        <v>0</v>
      </c>
      <c r="BW43" s="323">
        <f t="shared" si="240"/>
        <v>0</v>
      </c>
      <c r="BX43" s="323">
        <f t="shared" si="241"/>
        <v>0</v>
      </c>
      <c r="BY43" s="323">
        <f t="shared" si="242"/>
        <v>0</v>
      </c>
      <c r="BZ43" s="323">
        <f t="shared" si="243"/>
        <v>0</v>
      </c>
      <c r="CA43" s="323">
        <f t="shared" si="244"/>
        <v>0</v>
      </c>
      <c r="CB43" s="55">
        <f t="shared" ref="CB43" si="250">SUM(BP43:CA43)</f>
        <v>0</v>
      </c>
      <c r="CC43" s="323"/>
      <c r="CD43" s="323"/>
      <c r="CE43" s="323"/>
      <c r="CF43" s="323"/>
      <c r="CG43" s="323"/>
      <c r="CH43" s="323"/>
      <c r="CI43" s="323"/>
      <c r="CJ43" s="323"/>
      <c r="CK43" s="323"/>
      <c r="CL43" s="323"/>
      <c r="CM43" s="323"/>
      <c r="CN43" s="323"/>
      <c r="CO43" s="55">
        <f t="shared" si="246"/>
        <v>0</v>
      </c>
      <c r="CP43" s="218"/>
      <c r="CQ43" s="264"/>
      <c r="CR43" s="218"/>
      <c r="CS43" s="218"/>
      <c r="CT43" s="218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</row>
    <row r="44" spans="1:127" s="167" customFormat="1" ht="24.75" customHeight="1" x14ac:dyDescent="0.2">
      <c r="A44" s="185"/>
      <c r="D44" s="185"/>
      <c r="E44" s="185"/>
      <c r="F44" s="185"/>
      <c r="G44" s="241"/>
      <c r="H44" s="185"/>
      <c r="I44" s="291"/>
      <c r="J44" s="291"/>
      <c r="K44" s="185"/>
      <c r="L44" s="185"/>
      <c r="M44" s="185"/>
      <c r="N44" s="185"/>
      <c r="O44" s="185"/>
      <c r="P44" s="185"/>
      <c r="Q44" s="185"/>
      <c r="R44" s="185"/>
      <c r="AS44" s="191"/>
      <c r="BF44" s="220">
        <f>SUM(AS43+BF43)</f>
        <v>540000</v>
      </c>
      <c r="BG44" s="186">
        <f>AF43-AS43-BF43</f>
        <v>9108</v>
      </c>
      <c r="BH44" s="221">
        <f>SUM(BI43+AS43+BF43)</f>
        <v>549108</v>
      </c>
      <c r="BI44" s="187">
        <f>SUM(BG43)</f>
        <v>9108</v>
      </c>
      <c r="BJ44" s="183" t="s">
        <v>29</v>
      </c>
      <c r="BK44" s="287"/>
      <c r="BL44" s="164"/>
      <c r="BM44" s="165"/>
      <c r="BN44" s="250"/>
      <c r="BO44" s="257"/>
      <c r="BP44" s="250"/>
      <c r="BQ44" s="250"/>
      <c r="BR44" s="250"/>
      <c r="BS44" s="257"/>
      <c r="BT44" s="250"/>
      <c r="BU44" s="250"/>
      <c r="BV44" s="250"/>
      <c r="BW44" s="257"/>
      <c r="BX44" s="250"/>
      <c r="BY44" s="250"/>
      <c r="BZ44" s="250"/>
      <c r="CA44" s="257"/>
      <c r="CB44" s="250"/>
      <c r="CC44" s="250"/>
      <c r="CD44" s="250"/>
      <c r="CE44" s="257"/>
      <c r="CF44" s="250"/>
      <c r="CG44" s="250"/>
      <c r="CH44" s="250"/>
      <c r="CI44" s="257"/>
      <c r="CJ44" s="250"/>
      <c r="CK44" s="250"/>
      <c r="CL44" s="250"/>
      <c r="CM44" s="257"/>
      <c r="CN44" s="250"/>
      <c r="CO44" s="250"/>
      <c r="CP44" s="250"/>
      <c r="CQ44" s="257"/>
      <c r="CR44" s="250"/>
      <c r="CS44" s="250"/>
      <c r="CT44" s="250"/>
      <c r="CU44" s="165"/>
      <c r="CV44" s="165"/>
      <c r="CW44" s="165"/>
      <c r="CX44" s="165"/>
      <c r="CY44" s="165"/>
      <c r="CZ44" s="165"/>
      <c r="DA44" s="165"/>
      <c r="DB44" s="165"/>
      <c r="DC44" s="165"/>
      <c r="DD44" s="165"/>
      <c r="DE44" s="165"/>
      <c r="DF44" s="165"/>
    </row>
    <row r="45" spans="1:127" s="167" customFormat="1" ht="24.75" customHeight="1" x14ac:dyDescent="0.2">
      <c r="A45" s="185"/>
      <c r="D45" s="185"/>
      <c r="E45" s="185"/>
      <c r="F45" s="185"/>
      <c r="G45" s="241"/>
      <c r="H45" s="185"/>
      <c r="I45" s="291"/>
      <c r="J45" s="291"/>
      <c r="K45" s="185"/>
      <c r="L45" s="185"/>
      <c r="M45" s="185"/>
      <c r="N45" s="185"/>
      <c r="O45" s="185"/>
      <c r="P45" s="185"/>
      <c r="Q45" s="185"/>
      <c r="R45" s="185"/>
      <c r="AG45" s="233"/>
      <c r="AS45" s="183"/>
      <c r="AT45" s="233">
        <f>SUM(AG43+AT43)</f>
        <v>540000</v>
      </c>
      <c r="AU45" s="233">
        <f t="shared" ref="AU45" si="251">SUM(AH43+AU43)</f>
        <v>0</v>
      </c>
      <c r="AV45" s="233">
        <f t="shared" ref="AV45" si="252">SUM(AI43+AV43)</f>
        <v>0</v>
      </c>
      <c r="AW45" s="233">
        <f t="shared" ref="AW45" si="253">SUM(AJ43+AW43)</f>
        <v>0</v>
      </c>
      <c r="AX45" s="233">
        <f t="shared" ref="AX45" si="254">SUM(AK43+AX43)</f>
        <v>0</v>
      </c>
      <c r="AY45" s="233">
        <f t="shared" ref="AY45" si="255">SUM(AL43+AY43)</f>
        <v>0</v>
      </c>
      <c r="AZ45" s="233">
        <f t="shared" ref="AZ45" si="256">SUM(AM43+AZ43)</f>
        <v>0</v>
      </c>
      <c r="BA45" s="233">
        <f t="shared" ref="BA45" si="257">SUM(AN43+BA43)</f>
        <v>0</v>
      </c>
      <c r="BB45" s="233">
        <f t="shared" ref="BB45" si="258">SUM(AO43+BB43)</f>
        <v>0</v>
      </c>
      <c r="BC45" s="233">
        <f t="shared" ref="BC45" si="259">SUM(AP43+BC43)</f>
        <v>0</v>
      </c>
      <c r="BD45" s="233">
        <f t="shared" ref="BD45" si="260">SUM(AQ43+BD43)</f>
        <v>0</v>
      </c>
      <c r="BE45" s="233">
        <f t="shared" ref="BE45" si="261">SUM(AR43+BE43)</f>
        <v>0</v>
      </c>
      <c r="BF45" s="233">
        <f>SUM(AT45:BE45)</f>
        <v>540000</v>
      </c>
      <c r="BG45" s="183"/>
      <c r="BH45" s="188"/>
      <c r="BI45" s="189">
        <f>SUM(BI43-BI44)</f>
        <v>0</v>
      </c>
      <c r="BJ45" s="183" t="s">
        <v>28</v>
      </c>
      <c r="BK45" s="287"/>
      <c r="BL45" s="164"/>
      <c r="BM45" s="165"/>
      <c r="BN45" s="250"/>
      <c r="BO45" s="257"/>
      <c r="BP45" s="250"/>
      <c r="BQ45" s="250"/>
      <c r="BR45" s="250"/>
      <c r="BS45" s="257"/>
      <c r="BT45" s="250"/>
      <c r="BU45" s="250"/>
      <c r="BV45" s="250"/>
      <c r="BW45" s="257"/>
      <c r="BX45" s="250"/>
      <c r="BY45" s="250"/>
      <c r="BZ45" s="250"/>
      <c r="CA45" s="257"/>
      <c r="CB45" s="250"/>
      <c r="CC45" s="250"/>
      <c r="CD45" s="250"/>
      <c r="CE45" s="257"/>
      <c r="CF45" s="250"/>
      <c r="CG45" s="250"/>
      <c r="CH45" s="250"/>
      <c r="CI45" s="257"/>
      <c r="CJ45" s="250"/>
      <c r="CK45" s="250"/>
      <c r="CL45" s="250"/>
      <c r="CM45" s="257"/>
      <c r="CN45" s="250"/>
      <c r="CO45" s="250"/>
      <c r="CP45" s="250"/>
      <c r="CQ45" s="257"/>
      <c r="CR45" s="250"/>
      <c r="CS45" s="250"/>
      <c r="CT45" s="250"/>
      <c r="CU45" s="165"/>
      <c r="CV45" s="165"/>
      <c r="CW45" s="165"/>
      <c r="CX45" s="165"/>
      <c r="CY45" s="165"/>
      <c r="CZ45" s="165"/>
      <c r="DA45" s="165"/>
      <c r="DB45" s="165"/>
      <c r="DC45" s="165"/>
      <c r="DD45" s="165"/>
      <c r="DE45" s="165"/>
      <c r="DF45" s="165"/>
    </row>
    <row r="46" spans="1:127" s="167" customFormat="1" ht="24.75" customHeight="1" x14ac:dyDescent="0.2">
      <c r="A46" s="827" t="s">
        <v>7</v>
      </c>
      <c r="B46" s="828"/>
      <c r="C46" s="151" t="s">
        <v>78</v>
      </c>
      <c r="D46" s="152"/>
      <c r="E46" s="152"/>
      <c r="F46" s="152"/>
      <c r="G46" s="192"/>
      <c r="H46" s="152"/>
      <c r="I46" s="290"/>
      <c r="J46" s="290"/>
      <c r="K46" s="152"/>
      <c r="L46" s="152"/>
      <c r="M46" s="152"/>
      <c r="N46" s="152"/>
      <c r="O46" s="152"/>
      <c r="P46" s="152"/>
      <c r="Q46" s="152"/>
      <c r="R46" s="152"/>
      <c r="S46" s="152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2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4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4"/>
      <c r="BG46" s="154"/>
      <c r="BH46" s="150"/>
      <c r="BI46" s="155"/>
      <c r="BJ46" s="152"/>
      <c r="BK46" s="192"/>
      <c r="BL46" s="192"/>
      <c r="BM46" s="153"/>
      <c r="BN46" s="192"/>
      <c r="BO46" s="258"/>
      <c r="BP46" s="192"/>
      <c r="BQ46" s="156"/>
      <c r="BR46" s="192"/>
      <c r="BS46" s="258"/>
      <c r="BT46" s="192"/>
      <c r="BU46" s="156"/>
      <c r="BV46" s="192"/>
      <c r="BW46" s="258"/>
      <c r="BX46" s="192"/>
      <c r="BY46" s="156"/>
      <c r="BZ46" s="192"/>
      <c r="CA46" s="258"/>
      <c r="CB46" s="192"/>
      <c r="CC46" s="156"/>
      <c r="CD46" s="192"/>
      <c r="CE46" s="258"/>
      <c r="CF46" s="192"/>
      <c r="CG46" s="156"/>
      <c r="CH46" s="192"/>
      <c r="CI46" s="258"/>
      <c r="CJ46" s="192"/>
      <c r="CK46" s="156"/>
      <c r="CL46" s="192"/>
      <c r="CM46" s="258"/>
      <c r="CN46" s="192"/>
      <c r="CO46" s="156"/>
      <c r="CP46" s="192"/>
      <c r="CQ46" s="258"/>
      <c r="CR46" s="192"/>
      <c r="CS46" s="156"/>
      <c r="CT46" s="192"/>
      <c r="CU46" s="153"/>
      <c r="CV46" s="153"/>
      <c r="CW46" s="153"/>
      <c r="CX46" s="153"/>
      <c r="CY46" s="154"/>
      <c r="CZ46" s="154"/>
      <c r="DA46" s="154"/>
      <c r="DB46" s="150"/>
      <c r="DC46" s="155"/>
      <c r="DD46" s="154"/>
      <c r="DE46" s="154"/>
      <c r="DF46" s="165"/>
      <c r="DG46" s="165"/>
      <c r="DH46" s="165"/>
      <c r="DI46" s="165"/>
      <c r="DJ46" s="165"/>
      <c r="DK46" s="166"/>
      <c r="DL46" s="165"/>
      <c r="DM46" s="165"/>
      <c r="DN46" s="165"/>
      <c r="DO46" s="165"/>
      <c r="DP46" s="165"/>
      <c r="DQ46" s="165"/>
      <c r="DR46" s="165"/>
      <c r="DS46" s="165"/>
      <c r="DT46" s="165"/>
      <c r="DU46" s="165"/>
      <c r="DV46" s="165"/>
      <c r="DW46" s="165"/>
    </row>
    <row r="47" spans="1:127" s="169" customFormat="1" ht="48.75" customHeight="1" x14ac:dyDescent="0.2">
      <c r="A47" s="829" t="s">
        <v>8</v>
      </c>
      <c r="B47" s="816" t="s">
        <v>9</v>
      </c>
      <c r="C47" s="816" t="s">
        <v>77</v>
      </c>
      <c r="D47" s="842" t="s">
        <v>10</v>
      </c>
      <c r="E47" s="843"/>
      <c r="F47" s="843"/>
      <c r="G47" s="843"/>
      <c r="H47" s="843"/>
      <c r="I47" s="843"/>
      <c r="J47" s="843"/>
      <c r="K47" s="843"/>
      <c r="L47" s="843"/>
      <c r="M47" s="843"/>
      <c r="N47" s="843"/>
      <c r="O47" s="843"/>
      <c r="P47" s="843"/>
      <c r="Q47" s="844"/>
      <c r="R47" s="816" t="s">
        <v>20</v>
      </c>
      <c r="S47" s="833" t="s">
        <v>17</v>
      </c>
      <c r="T47" s="834"/>
      <c r="U47" s="834"/>
      <c r="V47" s="834"/>
      <c r="W47" s="834"/>
      <c r="X47" s="834"/>
      <c r="Y47" s="834"/>
      <c r="Z47" s="834"/>
      <c r="AA47" s="834"/>
      <c r="AB47" s="834"/>
      <c r="AC47" s="834"/>
      <c r="AD47" s="834"/>
      <c r="AE47" s="846"/>
      <c r="AF47" s="847" t="s">
        <v>5</v>
      </c>
      <c r="AG47" s="848"/>
      <c r="AH47" s="848"/>
      <c r="AI47" s="848"/>
      <c r="AJ47" s="848"/>
      <c r="AK47" s="848"/>
      <c r="AL47" s="848"/>
      <c r="AM47" s="848"/>
      <c r="AN47" s="848"/>
      <c r="AO47" s="848"/>
      <c r="AP47" s="848"/>
      <c r="AQ47" s="848"/>
      <c r="AR47" s="848"/>
      <c r="AS47" s="849"/>
      <c r="AT47" s="836" t="s">
        <v>32</v>
      </c>
      <c r="AU47" s="837"/>
      <c r="AV47" s="837"/>
      <c r="AW47" s="837"/>
      <c r="AX47" s="837"/>
      <c r="AY47" s="837"/>
      <c r="AZ47" s="837"/>
      <c r="BA47" s="837"/>
      <c r="BB47" s="837"/>
      <c r="BC47" s="837"/>
      <c r="BD47" s="837"/>
      <c r="BE47" s="837"/>
      <c r="BF47" s="838"/>
      <c r="BG47" s="816" t="s">
        <v>29</v>
      </c>
      <c r="BH47" s="816" t="s">
        <v>57</v>
      </c>
      <c r="BI47" s="819" t="s">
        <v>30</v>
      </c>
      <c r="BJ47" s="150"/>
      <c r="BK47" s="283"/>
      <c r="BL47" s="84"/>
      <c r="BM47" s="84"/>
      <c r="BN47" s="84"/>
      <c r="BO47" s="84"/>
      <c r="BP47" s="774" t="s">
        <v>32</v>
      </c>
      <c r="BQ47" s="775"/>
      <c r="BR47" s="775"/>
      <c r="BS47" s="775"/>
      <c r="BT47" s="775"/>
      <c r="BU47" s="775"/>
      <c r="BV47" s="775"/>
      <c r="BW47" s="775"/>
      <c r="BX47" s="775"/>
      <c r="BY47" s="775"/>
      <c r="BZ47" s="775"/>
      <c r="CA47" s="775"/>
      <c r="CB47" s="775"/>
      <c r="CC47" s="775"/>
      <c r="CD47" s="775"/>
      <c r="CE47" s="775"/>
      <c r="CF47" s="775"/>
      <c r="CG47" s="775"/>
      <c r="CH47" s="775"/>
      <c r="CI47" s="775"/>
      <c r="CJ47" s="775"/>
      <c r="CK47" s="775"/>
      <c r="CL47" s="775"/>
      <c r="CM47" s="775"/>
      <c r="CN47" s="775"/>
      <c r="CO47" s="776"/>
      <c r="CP47" s="192"/>
      <c r="CQ47" s="258"/>
      <c r="CR47" s="192"/>
      <c r="CS47" s="192"/>
      <c r="CT47" s="192"/>
      <c r="CU47" s="152"/>
      <c r="CV47" s="152"/>
      <c r="CW47" s="152"/>
      <c r="CX47" s="152"/>
      <c r="CY47" s="152"/>
      <c r="CZ47" s="152"/>
      <c r="DA47" s="152"/>
      <c r="DB47" s="152"/>
      <c r="DC47" s="152"/>
      <c r="DD47" s="168"/>
      <c r="DE47" s="168"/>
    </row>
    <row r="48" spans="1:127" s="169" customFormat="1" ht="48.75" customHeight="1" x14ac:dyDescent="0.2">
      <c r="A48" s="830"/>
      <c r="B48" s="817"/>
      <c r="C48" s="817"/>
      <c r="D48" s="822" t="s">
        <v>18</v>
      </c>
      <c r="E48" s="824" t="s">
        <v>19</v>
      </c>
      <c r="F48" s="825"/>
      <c r="G48" s="825"/>
      <c r="H48" s="825"/>
      <c r="I48" s="825"/>
      <c r="J48" s="825"/>
      <c r="K48" s="825"/>
      <c r="L48" s="825"/>
      <c r="M48" s="825"/>
      <c r="N48" s="825"/>
      <c r="O48" s="825"/>
      <c r="P48" s="825"/>
      <c r="Q48" s="826"/>
      <c r="R48" s="817"/>
      <c r="S48" s="822" t="s">
        <v>18</v>
      </c>
      <c r="T48" s="824" t="s">
        <v>19</v>
      </c>
      <c r="U48" s="825"/>
      <c r="V48" s="825"/>
      <c r="W48" s="825"/>
      <c r="X48" s="825"/>
      <c r="Y48" s="825"/>
      <c r="Z48" s="825"/>
      <c r="AA48" s="825"/>
      <c r="AB48" s="825"/>
      <c r="AC48" s="825"/>
      <c r="AD48" s="825"/>
      <c r="AE48" s="826"/>
      <c r="AF48" s="822" t="s">
        <v>18</v>
      </c>
      <c r="AG48" s="824" t="s">
        <v>19</v>
      </c>
      <c r="AH48" s="825"/>
      <c r="AI48" s="825"/>
      <c r="AJ48" s="825"/>
      <c r="AK48" s="825"/>
      <c r="AL48" s="825"/>
      <c r="AM48" s="825"/>
      <c r="AN48" s="825"/>
      <c r="AO48" s="825"/>
      <c r="AP48" s="825"/>
      <c r="AQ48" s="825"/>
      <c r="AR48" s="825"/>
      <c r="AS48" s="826"/>
      <c r="AT48" s="850"/>
      <c r="AU48" s="851"/>
      <c r="AV48" s="851"/>
      <c r="AW48" s="851"/>
      <c r="AX48" s="851"/>
      <c r="AY48" s="851"/>
      <c r="AZ48" s="851"/>
      <c r="BA48" s="851"/>
      <c r="BB48" s="851"/>
      <c r="BC48" s="851"/>
      <c r="BD48" s="851"/>
      <c r="BE48" s="851"/>
      <c r="BF48" s="852"/>
      <c r="BG48" s="817"/>
      <c r="BH48" s="817"/>
      <c r="BI48" s="820"/>
      <c r="BJ48" s="150"/>
      <c r="BK48" s="283"/>
      <c r="BL48" s="777">
        <f>SUM(BL50/60)</f>
        <v>0</v>
      </c>
      <c r="BM48" s="777"/>
      <c r="BN48" s="777"/>
      <c r="BO48" s="17"/>
      <c r="BP48" s="778" t="s">
        <v>230</v>
      </c>
      <c r="BQ48" s="779"/>
      <c r="BR48" s="779"/>
      <c r="BS48" s="779"/>
      <c r="BT48" s="779"/>
      <c r="BU48" s="779"/>
      <c r="BV48" s="779"/>
      <c r="BW48" s="779"/>
      <c r="BX48" s="779"/>
      <c r="BY48" s="779"/>
      <c r="BZ48" s="779"/>
      <c r="CA48" s="779"/>
      <c r="CB48" s="780"/>
      <c r="CC48" s="781" t="s">
        <v>231</v>
      </c>
      <c r="CD48" s="782"/>
      <c r="CE48" s="782"/>
      <c r="CF48" s="782"/>
      <c r="CG48" s="782"/>
      <c r="CH48" s="782"/>
      <c r="CI48" s="782"/>
      <c r="CJ48" s="782"/>
      <c r="CK48" s="782"/>
      <c r="CL48" s="782"/>
      <c r="CM48" s="782"/>
      <c r="CN48" s="782"/>
      <c r="CO48" s="783"/>
      <c r="CP48" s="192"/>
      <c r="CQ48" s="258"/>
      <c r="CR48" s="192"/>
      <c r="CS48" s="192"/>
      <c r="CT48" s="192"/>
      <c r="CU48" s="152"/>
      <c r="CV48" s="152"/>
      <c r="CW48" s="152"/>
      <c r="CX48" s="152"/>
      <c r="CY48" s="152"/>
      <c r="CZ48" s="152"/>
      <c r="DA48" s="152"/>
      <c r="DB48" s="152"/>
      <c r="DC48" s="152"/>
      <c r="DD48" s="168"/>
      <c r="DE48" s="168"/>
    </row>
    <row r="49" spans="1:127" s="172" customFormat="1" ht="28.5" customHeight="1" x14ac:dyDescent="0.2">
      <c r="A49" s="831"/>
      <c r="B49" s="818"/>
      <c r="C49" s="818"/>
      <c r="D49" s="853"/>
      <c r="E49" s="170">
        <v>1</v>
      </c>
      <c r="F49" s="170">
        <v>2</v>
      </c>
      <c r="G49" s="240">
        <v>3</v>
      </c>
      <c r="H49" s="170">
        <v>4</v>
      </c>
      <c r="I49" s="240">
        <v>5</v>
      </c>
      <c r="J49" s="170">
        <v>6</v>
      </c>
      <c r="K49" s="170">
        <v>7</v>
      </c>
      <c r="L49" s="170">
        <v>8</v>
      </c>
      <c r="M49" s="170">
        <v>9</v>
      </c>
      <c r="N49" s="170">
        <v>10</v>
      </c>
      <c r="O49" s="170">
        <v>11</v>
      </c>
      <c r="P49" s="170">
        <v>12</v>
      </c>
      <c r="Q49" s="170" t="s">
        <v>21</v>
      </c>
      <c r="R49" s="845"/>
      <c r="S49" s="853"/>
      <c r="T49" s="170">
        <v>1</v>
      </c>
      <c r="U49" s="170">
        <v>2</v>
      </c>
      <c r="V49" s="170">
        <v>3</v>
      </c>
      <c r="W49" s="170">
        <v>4</v>
      </c>
      <c r="X49" s="170">
        <v>5</v>
      </c>
      <c r="Y49" s="170">
        <v>6</v>
      </c>
      <c r="Z49" s="170">
        <v>7</v>
      </c>
      <c r="AA49" s="170">
        <v>8</v>
      </c>
      <c r="AB49" s="170">
        <v>9</v>
      </c>
      <c r="AC49" s="170">
        <v>10</v>
      </c>
      <c r="AD49" s="170">
        <v>11</v>
      </c>
      <c r="AE49" s="170">
        <v>12</v>
      </c>
      <c r="AF49" s="823"/>
      <c r="AG49" s="170">
        <v>1</v>
      </c>
      <c r="AH49" s="170">
        <v>2</v>
      </c>
      <c r="AI49" s="170">
        <v>3</v>
      </c>
      <c r="AJ49" s="170">
        <v>4</v>
      </c>
      <c r="AK49" s="266">
        <v>5</v>
      </c>
      <c r="AL49" s="170">
        <v>6</v>
      </c>
      <c r="AM49" s="170">
        <v>7</v>
      </c>
      <c r="AN49" s="170">
        <v>8</v>
      </c>
      <c r="AO49" s="170">
        <v>9</v>
      </c>
      <c r="AP49" s="170">
        <v>10</v>
      </c>
      <c r="AQ49" s="170">
        <v>11</v>
      </c>
      <c r="AR49" s="170">
        <v>12</v>
      </c>
      <c r="AS49" s="170" t="s">
        <v>13</v>
      </c>
      <c r="AT49" s="171">
        <v>1</v>
      </c>
      <c r="AU49" s="171">
        <v>2</v>
      </c>
      <c r="AV49" s="171">
        <v>3</v>
      </c>
      <c r="AW49" s="171">
        <v>4</v>
      </c>
      <c r="AX49" s="171">
        <v>5</v>
      </c>
      <c r="AY49" s="171">
        <v>6</v>
      </c>
      <c r="AZ49" s="171">
        <v>7</v>
      </c>
      <c r="BA49" s="171">
        <v>8</v>
      </c>
      <c r="BB49" s="171">
        <v>9</v>
      </c>
      <c r="BC49" s="171">
        <v>10</v>
      </c>
      <c r="BD49" s="171">
        <v>11</v>
      </c>
      <c r="BE49" s="171">
        <v>12</v>
      </c>
      <c r="BF49" s="170" t="s">
        <v>13</v>
      </c>
      <c r="BG49" s="818"/>
      <c r="BH49" s="818"/>
      <c r="BI49" s="821"/>
      <c r="BK49" s="284"/>
      <c r="BL49" s="784" t="s">
        <v>19</v>
      </c>
      <c r="BM49" s="785"/>
      <c r="BN49" s="786"/>
      <c r="BO49" s="337"/>
      <c r="BP49" s="111">
        <v>1</v>
      </c>
      <c r="BQ49" s="111">
        <v>2</v>
      </c>
      <c r="BR49" s="111">
        <v>3</v>
      </c>
      <c r="BS49" s="111">
        <v>4</v>
      </c>
      <c r="BT49" s="111">
        <v>5</v>
      </c>
      <c r="BU49" s="111">
        <v>6</v>
      </c>
      <c r="BV49" s="111">
        <v>7</v>
      </c>
      <c r="BW49" s="111">
        <v>8</v>
      </c>
      <c r="BX49" s="111">
        <v>9</v>
      </c>
      <c r="BY49" s="111">
        <v>10</v>
      </c>
      <c r="BZ49" s="111">
        <v>11</v>
      </c>
      <c r="CA49" s="111">
        <v>12</v>
      </c>
      <c r="CB49" s="20" t="s">
        <v>13</v>
      </c>
      <c r="CC49" s="111">
        <v>1</v>
      </c>
      <c r="CD49" s="111">
        <v>2</v>
      </c>
      <c r="CE49" s="111">
        <v>3</v>
      </c>
      <c r="CF49" s="111">
        <v>4</v>
      </c>
      <c r="CG49" s="111">
        <v>5</v>
      </c>
      <c r="CH49" s="111">
        <v>6</v>
      </c>
      <c r="CI49" s="111">
        <v>7</v>
      </c>
      <c r="CJ49" s="111">
        <v>8</v>
      </c>
      <c r="CK49" s="111">
        <v>9</v>
      </c>
      <c r="CL49" s="111">
        <v>10</v>
      </c>
      <c r="CM49" s="111">
        <v>11</v>
      </c>
      <c r="CN49" s="111">
        <v>12</v>
      </c>
      <c r="CO49" s="20" t="s">
        <v>13</v>
      </c>
      <c r="CP49" s="253"/>
      <c r="CQ49" s="261"/>
      <c r="CR49" s="253"/>
      <c r="CS49" s="253"/>
      <c r="CT49" s="253"/>
      <c r="CU49" s="239"/>
      <c r="CV49" s="239"/>
      <c r="CW49" s="239"/>
      <c r="CX49" s="239"/>
      <c r="CY49" s="239"/>
      <c r="CZ49" s="239"/>
      <c r="DA49" s="239"/>
      <c r="DB49" s="239"/>
      <c r="DC49" s="239"/>
      <c r="DD49" s="239"/>
      <c r="DE49" s="239"/>
    </row>
    <row r="50" spans="1:127" s="205" customFormat="1" ht="24.75" customHeight="1" x14ac:dyDescent="0.2">
      <c r="A50" s="193"/>
      <c r="B50" s="305" t="s">
        <v>142</v>
      </c>
      <c r="C50" s="307" t="s">
        <v>131</v>
      </c>
      <c r="D50" s="157">
        <v>2</v>
      </c>
      <c r="E50" s="157">
        <v>2</v>
      </c>
      <c r="F50" s="157"/>
      <c r="G50" s="242"/>
      <c r="H50" s="196"/>
      <c r="I50" s="292"/>
      <c r="J50" s="292"/>
      <c r="K50" s="196"/>
      <c r="L50" s="196"/>
      <c r="M50" s="196"/>
      <c r="N50" s="196"/>
      <c r="O50" s="196"/>
      <c r="P50" s="196"/>
      <c r="Q50" s="310">
        <f t="shared" ref="Q50" si="262">SUM(E50:P50)</f>
        <v>2</v>
      </c>
      <c r="R50" s="94" t="s">
        <v>24</v>
      </c>
      <c r="S50" s="306">
        <v>4700000</v>
      </c>
      <c r="T50" s="160">
        <v>3800000</v>
      </c>
      <c r="U50" s="160"/>
      <c r="V50" s="160"/>
      <c r="W50" s="160"/>
      <c r="X50" s="198"/>
      <c r="Y50" s="198"/>
      <c r="Z50" s="198"/>
      <c r="AA50" s="198"/>
      <c r="AB50" s="198"/>
      <c r="AC50" s="198"/>
      <c r="AD50" s="198"/>
      <c r="AE50" s="198"/>
      <c r="AF50" s="175">
        <f>Q50*S50</f>
        <v>9400000</v>
      </c>
      <c r="AG50" s="176">
        <f>T50*E50</f>
        <v>7600000</v>
      </c>
      <c r="AH50" s="176">
        <f>U50*F50</f>
        <v>0</v>
      </c>
      <c r="AI50" s="176">
        <f t="shared" ref="AI50" si="263">V50*G50</f>
        <v>0</v>
      </c>
      <c r="AJ50" s="176">
        <f t="shared" ref="AJ50" si="264">W50*H50</f>
        <v>0</v>
      </c>
      <c r="AK50" s="246">
        <f t="shared" ref="AK50" si="265">X50*I50</f>
        <v>0</v>
      </c>
      <c r="AL50" s="176">
        <f t="shared" ref="AL50" si="266">Y50*J50</f>
        <v>0</v>
      </c>
      <c r="AM50" s="176">
        <f t="shared" ref="AM50" si="267">Z50*K50</f>
        <v>0</v>
      </c>
      <c r="AN50" s="176">
        <f t="shared" ref="AN50" si="268">AA50*L50</f>
        <v>0</v>
      </c>
      <c r="AO50" s="176">
        <f t="shared" ref="AO50" si="269">AB50*M50</f>
        <v>0</v>
      </c>
      <c r="AP50" s="176">
        <f t="shared" ref="AP50" si="270">AC50*N50</f>
        <v>0</v>
      </c>
      <c r="AQ50" s="176">
        <f t="shared" ref="AQ50" si="271">AD50*O50</f>
        <v>0</v>
      </c>
      <c r="AR50" s="176">
        <f t="shared" ref="AR50" si="272">AE50*P50</f>
        <v>0</v>
      </c>
      <c r="AS50" s="177">
        <f>SUM(AG50:AR50)</f>
        <v>7600000</v>
      </c>
      <c r="AT50" s="246">
        <f>SUM(AG50*14%)</f>
        <v>1064000</v>
      </c>
      <c r="AU50" s="246">
        <f>SUM(AH50*14%)</f>
        <v>0</v>
      </c>
      <c r="AV50" s="246">
        <f t="shared" ref="AV50:AV51" si="273">SUM(AI50*14%)</f>
        <v>0</v>
      </c>
      <c r="AW50" s="176"/>
      <c r="AX50" s="176"/>
      <c r="AY50" s="176"/>
      <c r="AZ50" s="176"/>
      <c r="BA50" s="176"/>
      <c r="BB50" s="176"/>
      <c r="BC50" s="176"/>
      <c r="BD50" s="176"/>
      <c r="BE50" s="176"/>
      <c r="BF50" s="199">
        <f>SUM(AT50:BE50)</f>
        <v>1064000</v>
      </c>
      <c r="BG50" s="200">
        <f>AF50-AS50-BF50</f>
        <v>736000</v>
      </c>
      <c r="BH50" s="201">
        <f>S50*D50</f>
        <v>9400000</v>
      </c>
      <c r="BI50" s="202">
        <f>BH50-AS50-BF50</f>
        <v>736000</v>
      </c>
      <c r="BJ50" s="181">
        <f>SUM(Q50/D50)</f>
        <v>1</v>
      </c>
      <c r="BK50" s="285"/>
      <c r="BL50" s="556">
        <f>SUM(AI50-BR50)</f>
        <v>0</v>
      </c>
      <c r="BM50" s="556">
        <f>59000*60</f>
        <v>3540000</v>
      </c>
      <c r="BN50" s="567">
        <f>SUM(BL50-BM50)</f>
        <v>-3540000</v>
      </c>
      <c r="BO50" s="561"/>
      <c r="BP50" s="323"/>
      <c r="BQ50" s="323"/>
      <c r="BR50" s="556">
        <f t="shared" ref="BR50:BR51" si="274">SUM(AI50*12.5%)</f>
        <v>0</v>
      </c>
      <c r="BS50" s="323">
        <f t="shared" ref="BS50:BS51" si="275">SUM(AJ50*12.5%)</f>
        <v>0</v>
      </c>
      <c r="BT50" s="323">
        <f t="shared" ref="BT50:BT51" si="276">SUM(AK50*12.5%)</f>
        <v>0</v>
      </c>
      <c r="BU50" s="323">
        <f t="shared" ref="BU50:BU51" si="277">SUM(AL50*12.5%)</f>
        <v>0</v>
      </c>
      <c r="BV50" s="323">
        <f t="shared" ref="BV50:BV51" si="278">SUM(AM50*12.5%)</f>
        <v>0</v>
      </c>
      <c r="BW50" s="323">
        <f t="shared" ref="BW50:BW51" si="279">SUM(AN50*12.5%)</f>
        <v>0</v>
      </c>
      <c r="BX50" s="323">
        <f t="shared" ref="BX50:BX51" si="280">SUM(AO50*12.5%)</f>
        <v>0</v>
      </c>
      <c r="BY50" s="323">
        <f t="shared" ref="BY50:BY51" si="281">SUM(AP50*12.5%)</f>
        <v>0</v>
      </c>
      <c r="BZ50" s="323">
        <f t="shared" ref="BZ50:BZ51" si="282">SUM(AQ50*12.5%)</f>
        <v>0</v>
      </c>
      <c r="CA50" s="323">
        <f t="shared" ref="CA50:CA51" si="283">SUM(AR50*12.5%)</f>
        <v>0</v>
      </c>
      <c r="CB50" s="55">
        <f t="shared" ref="CB50" si="284">SUM(BP50:CA50)</f>
        <v>0</v>
      </c>
      <c r="CC50" s="323"/>
      <c r="CD50" s="323"/>
      <c r="CE50" s="323"/>
      <c r="CF50" s="323"/>
      <c r="CG50" s="323"/>
      <c r="CH50" s="323"/>
      <c r="CI50" s="323"/>
      <c r="CJ50" s="323"/>
      <c r="CK50" s="323"/>
      <c r="CL50" s="323"/>
      <c r="CM50" s="323"/>
      <c r="CN50" s="323"/>
      <c r="CO50" s="55">
        <f t="shared" ref="CO50:CO51" si="285">SUM(CC50:CN50)</f>
        <v>0</v>
      </c>
      <c r="CP50" s="203"/>
      <c r="CQ50" s="262"/>
      <c r="CR50" s="203"/>
      <c r="CS50" s="203"/>
      <c r="CT50" s="203"/>
      <c r="CU50" s="204"/>
      <c r="CV50" s="204"/>
      <c r="CW50" s="204"/>
      <c r="CX50" s="204"/>
      <c r="CY50" s="204"/>
      <c r="CZ50" s="204"/>
      <c r="DA50" s="204"/>
      <c r="DB50" s="204"/>
      <c r="DC50" s="204"/>
      <c r="DD50" s="204"/>
      <c r="DE50" s="204"/>
    </row>
    <row r="51" spans="1:127" s="205" customFormat="1" ht="24.75" customHeight="1" thickBot="1" x14ac:dyDescent="0.25">
      <c r="A51" s="193"/>
      <c r="B51" s="305" t="s">
        <v>79</v>
      </c>
      <c r="C51" s="307" t="s">
        <v>131</v>
      </c>
      <c r="D51" s="157">
        <v>1</v>
      </c>
      <c r="E51" s="157">
        <v>1</v>
      </c>
      <c r="F51" s="157"/>
      <c r="G51" s="242"/>
      <c r="H51" s="196"/>
      <c r="I51" s="196"/>
      <c r="J51" s="196"/>
      <c r="K51" s="196"/>
      <c r="L51" s="196"/>
      <c r="M51" s="196"/>
      <c r="N51" s="196"/>
      <c r="O51" s="196"/>
      <c r="P51" s="196"/>
      <c r="Q51" s="310">
        <f>SUM(E51:P51)</f>
        <v>1</v>
      </c>
      <c r="R51" s="94" t="s">
        <v>24</v>
      </c>
      <c r="S51" s="97">
        <v>11800000</v>
      </c>
      <c r="T51" s="160">
        <v>10200000</v>
      </c>
      <c r="U51" s="160"/>
      <c r="V51" s="160"/>
      <c r="W51" s="160"/>
      <c r="X51" s="275"/>
      <c r="Y51" s="275"/>
      <c r="Z51" s="275"/>
      <c r="AA51" s="275"/>
      <c r="AB51" s="275"/>
      <c r="AC51" s="275"/>
      <c r="AD51" s="275"/>
      <c r="AE51" s="275"/>
      <c r="AF51" s="175">
        <f>Q51*S51</f>
        <v>11800000</v>
      </c>
      <c r="AG51" s="246">
        <f t="shared" ref="AG51" si="286">T51*E51</f>
        <v>10200000</v>
      </c>
      <c r="AH51" s="246">
        <f t="shared" ref="AH51" si="287">U51*F51</f>
        <v>0</v>
      </c>
      <c r="AI51" s="246">
        <f t="shared" ref="AI51" si="288">V51*G51</f>
        <v>0</v>
      </c>
      <c r="AJ51" s="246">
        <f t="shared" ref="AJ51" si="289">W51*H51</f>
        <v>0</v>
      </c>
      <c r="AK51" s="246">
        <f t="shared" ref="AK51" si="290">X51*I51</f>
        <v>0</v>
      </c>
      <c r="AL51" s="246">
        <f t="shared" ref="AL51" si="291">Y51*J51</f>
        <v>0</v>
      </c>
      <c r="AM51" s="246">
        <f t="shared" ref="AM51" si="292">Z51*K51</f>
        <v>0</v>
      </c>
      <c r="AN51" s="246">
        <f t="shared" ref="AN51" si="293">AA51*L51</f>
        <v>0</v>
      </c>
      <c r="AO51" s="246">
        <f t="shared" ref="AO51" si="294">AB51*M51</f>
        <v>0</v>
      </c>
      <c r="AP51" s="246">
        <f t="shared" ref="AP51" si="295">AC51*N51</f>
        <v>0</v>
      </c>
      <c r="AQ51" s="246">
        <f t="shared" ref="AQ51" si="296">AD51*O51</f>
        <v>0</v>
      </c>
      <c r="AR51" s="246">
        <f t="shared" ref="AR51" si="297">AE51*P51</f>
        <v>0</v>
      </c>
      <c r="AS51" s="247">
        <f>SUM(AG51:AR51)</f>
        <v>10200000</v>
      </c>
      <c r="AT51" s="246">
        <f>SUM(AG51*14%)</f>
        <v>1428000.0000000002</v>
      </c>
      <c r="AU51" s="246">
        <f t="shared" ref="AU51" si="298">SUM(AH51*14%)</f>
        <v>0</v>
      </c>
      <c r="AV51" s="246">
        <f t="shared" si="273"/>
        <v>0</v>
      </c>
      <c r="AW51" s="246"/>
      <c r="AX51" s="246"/>
      <c r="AY51" s="246"/>
      <c r="AZ51" s="246"/>
      <c r="BA51" s="246"/>
      <c r="BB51" s="246"/>
      <c r="BC51" s="246"/>
      <c r="BD51" s="246"/>
      <c r="BE51" s="246"/>
      <c r="BF51" s="222">
        <f>SUM(AT51:BE51)</f>
        <v>1428000.0000000002</v>
      </c>
      <c r="BG51" s="200">
        <f>AF51-AS51-BF51</f>
        <v>171999.99999999977</v>
      </c>
      <c r="BH51" s="201">
        <f>S51*D51</f>
        <v>11800000</v>
      </c>
      <c r="BI51" s="202">
        <f>BH51-AS51-BF51</f>
        <v>171999.99999999977</v>
      </c>
      <c r="BJ51" s="181">
        <f>SUM(Q51/D51)</f>
        <v>1</v>
      </c>
      <c r="BK51" s="285"/>
      <c r="BL51" s="556">
        <f t="shared" ref="BL51" si="299">SUM(AI51-BR51)</f>
        <v>0</v>
      </c>
      <c r="BM51" s="556">
        <f>SUM(G51*T51)</f>
        <v>0</v>
      </c>
      <c r="BN51" s="567">
        <f t="shared" ref="BN51" si="300">SUM(BL51-BM51)</f>
        <v>0</v>
      </c>
      <c r="BO51" s="561"/>
      <c r="BP51" s="323"/>
      <c r="BQ51" s="323"/>
      <c r="BR51" s="556">
        <f t="shared" si="274"/>
        <v>0</v>
      </c>
      <c r="BS51" s="323">
        <f t="shared" si="275"/>
        <v>0</v>
      </c>
      <c r="BT51" s="323">
        <f t="shared" si="276"/>
        <v>0</v>
      </c>
      <c r="BU51" s="323">
        <f t="shared" si="277"/>
        <v>0</v>
      </c>
      <c r="BV51" s="323">
        <f t="shared" si="278"/>
        <v>0</v>
      </c>
      <c r="BW51" s="323">
        <f t="shared" si="279"/>
        <v>0</v>
      </c>
      <c r="BX51" s="323">
        <f t="shared" si="280"/>
        <v>0</v>
      </c>
      <c r="BY51" s="323">
        <f t="shared" si="281"/>
        <v>0</v>
      </c>
      <c r="BZ51" s="323">
        <f t="shared" si="282"/>
        <v>0</v>
      </c>
      <c r="CA51" s="323">
        <f t="shared" si="283"/>
        <v>0</v>
      </c>
      <c r="CB51" s="55">
        <f t="shared" ref="CB51" si="301">SUM(BP51:CA51)</f>
        <v>0</v>
      </c>
      <c r="CC51" s="323"/>
      <c r="CD51" s="323"/>
      <c r="CE51" s="323"/>
      <c r="CF51" s="323"/>
      <c r="CG51" s="323"/>
      <c r="CH51" s="323"/>
      <c r="CI51" s="323"/>
      <c r="CJ51" s="323"/>
      <c r="CK51" s="323"/>
      <c r="CL51" s="323"/>
      <c r="CM51" s="323"/>
      <c r="CN51" s="323"/>
      <c r="CO51" s="55">
        <f t="shared" si="285"/>
        <v>0</v>
      </c>
      <c r="CP51" s="203"/>
      <c r="CQ51" s="262"/>
      <c r="CR51" s="203"/>
      <c r="CS51" s="203"/>
      <c r="CT51" s="203"/>
      <c r="CU51" s="204"/>
      <c r="CV51" s="204"/>
      <c r="CW51" s="204"/>
      <c r="CX51" s="204"/>
      <c r="CY51" s="204"/>
      <c r="CZ51" s="204"/>
      <c r="DA51" s="204"/>
      <c r="DB51" s="204"/>
      <c r="DC51" s="204"/>
      <c r="DD51" s="204"/>
      <c r="DE51" s="204"/>
    </row>
    <row r="52" spans="1:127" s="184" customFormat="1" ht="24.75" customHeight="1" thickBot="1" x14ac:dyDescent="0.25">
      <c r="A52" s="208"/>
      <c r="B52" s="209" t="s">
        <v>4</v>
      </c>
      <c r="C52" s="209"/>
      <c r="D52" s="210"/>
      <c r="E52" s="211"/>
      <c r="F52" s="211"/>
      <c r="G52" s="243"/>
      <c r="H52" s="211"/>
      <c r="I52" s="293"/>
      <c r="J52" s="293"/>
      <c r="K52" s="211"/>
      <c r="L52" s="211"/>
      <c r="M52" s="211"/>
      <c r="N52" s="211"/>
      <c r="O52" s="211"/>
      <c r="P52" s="211"/>
      <c r="Q52" s="212"/>
      <c r="R52" s="213"/>
      <c r="S52" s="214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175">
        <f>SUM(AF50:AF51)</f>
        <v>21200000</v>
      </c>
      <c r="AG52" s="216">
        <f t="shared" ref="AG52:BF52" si="302">SUM(AG50:AG51)</f>
        <v>17800000</v>
      </c>
      <c r="AH52" s="216">
        <f t="shared" si="302"/>
        <v>0</v>
      </c>
      <c r="AI52" s="216">
        <f t="shared" si="302"/>
        <v>0</v>
      </c>
      <c r="AJ52" s="216">
        <f t="shared" si="302"/>
        <v>0</v>
      </c>
      <c r="AK52" s="216">
        <f t="shared" si="302"/>
        <v>0</v>
      </c>
      <c r="AL52" s="216">
        <f t="shared" si="302"/>
        <v>0</v>
      </c>
      <c r="AM52" s="216">
        <f t="shared" si="302"/>
        <v>0</v>
      </c>
      <c r="AN52" s="216">
        <f t="shared" si="302"/>
        <v>0</v>
      </c>
      <c r="AO52" s="216">
        <f t="shared" si="302"/>
        <v>0</v>
      </c>
      <c r="AP52" s="216">
        <f t="shared" si="302"/>
        <v>0</v>
      </c>
      <c r="AQ52" s="216">
        <f t="shared" si="302"/>
        <v>0</v>
      </c>
      <c r="AR52" s="216">
        <f t="shared" si="302"/>
        <v>0</v>
      </c>
      <c r="AS52" s="216">
        <f>SUM(AS50:AS51)</f>
        <v>17800000</v>
      </c>
      <c r="AT52" s="216">
        <f t="shared" si="302"/>
        <v>2492000</v>
      </c>
      <c r="AU52" s="216">
        <f t="shared" si="302"/>
        <v>0</v>
      </c>
      <c r="AV52" s="216">
        <f t="shared" si="302"/>
        <v>0</v>
      </c>
      <c r="AW52" s="216">
        <f t="shared" si="302"/>
        <v>0</v>
      </c>
      <c r="AX52" s="216">
        <f t="shared" si="302"/>
        <v>0</v>
      </c>
      <c r="AY52" s="216">
        <f t="shared" si="302"/>
        <v>0</v>
      </c>
      <c r="AZ52" s="216">
        <f t="shared" si="302"/>
        <v>0</v>
      </c>
      <c r="BA52" s="216">
        <f t="shared" si="302"/>
        <v>0</v>
      </c>
      <c r="BB52" s="216">
        <f t="shared" si="302"/>
        <v>0</v>
      </c>
      <c r="BC52" s="216">
        <f t="shared" si="302"/>
        <v>0</v>
      </c>
      <c r="BD52" s="216">
        <f t="shared" si="302"/>
        <v>0</v>
      </c>
      <c r="BE52" s="216">
        <f t="shared" si="302"/>
        <v>0</v>
      </c>
      <c r="BF52" s="216">
        <f t="shared" si="302"/>
        <v>2492000</v>
      </c>
      <c r="BG52" s="311">
        <f>SUM(BG50:BG51)</f>
        <v>907999.99999999977</v>
      </c>
      <c r="BH52" s="216">
        <f>SUM(BH50:BH51)</f>
        <v>21200000</v>
      </c>
      <c r="BI52" s="216">
        <f>SUM(BI50:BI51)</f>
        <v>907999.99999999977</v>
      </c>
      <c r="BJ52" s="182">
        <f>SUM(BJ50:BJ51)/2</f>
        <v>1</v>
      </c>
      <c r="BK52" s="286"/>
      <c r="BL52" s="218"/>
      <c r="BM52" s="219"/>
      <c r="BN52" s="218"/>
      <c r="BO52" s="264"/>
      <c r="BP52" s="218"/>
      <c r="BQ52" s="218"/>
      <c r="BR52" s="218"/>
      <c r="BS52" s="264"/>
      <c r="BT52" s="218"/>
      <c r="BU52" s="218"/>
      <c r="BV52" s="218"/>
      <c r="BW52" s="264"/>
      <c r="BX52" s="218"/>
      <c r="BY52" s="218"/>
      <c r="BZ52" s="218"/>
      <c r="CA52" s="264"/>
      <c r="CB52" s="218"/>
      <c r="CC52" s="218"/>
      <c r="CD52" s="218"/>
      <c r="CE52" s="264"/>
      <c r="CF52" s="218"/>
      <c r="CG52" s="218"/>
      <c r="CH52" s="218"/>
      <c r="CI52" s="264"/>
      <c r="CJ52" s="218"/>
      <c r="CK52" s="218"/>
      <c r="CL52" s="218"/>
      <c r="CM52" s="264"/>
      <c r="CN52" s="218"/>
      <c r="CO52" s="218"/>
      <c r="CP52" s="218"/>
      <c r="CQ52" s="264"/>
      <c r="CR52" s="218"/>
      <c r="CS52" s="218"/>
      <c r="CT52" s="218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</row>
    <row r="53" spans="1:127" s="167" customFormat="1" ht="24.75" customHeight="1" x14ac:dyDescent="0.2">
      <c r="A53" s="185"/>
      <c r="D53" s="185"/>
      <c r="E53" s="185"/>
      <c r="F53" s="185"/>
      <c r="G53" s="241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AS53" s="702"/>
      <c r="BF53" s="703"/>
      <c r="BG53" s="186"/>
      <c r="BH53" s="221"/>
      <c r="BI53" s="187">
        <f>SUM(BG52)</f>
        <v>907999.99999999977</v>
      </c>
      <c r="BJ53" s="183" t="s">
        <v>29</v>
      </c>
      <c r="BK53" s="287"/>
      <c r="BL53" s="164"/>
      <c r="BM53" s="704"/>
      <c r="BN53" s="705"/>
      <c r="BO53" s="706"/>
      <c r="BP53" s="705"/>
      <c r="BQ53" s="705"/>
      <c r="BR53" s="705"/>
      <c r="BS53" s="706"/>
      <c r="BT53" s="705"/>
      <c r="BU53" s="705"/>
      <c r="BV53" s="705"/>
      <c r="BW53" s="706"/>
      <c r="BX53" s="705"/>
      <c r="BY53" s="705"/>
      <c r="BZ53" s="705"/>
      <c r="CA53" s="706"/>
      <c r="CB53" s="705"/>
      <c r="CC53" s="705"/>
      <c r="CD53" s="705"/>
      <c r="CE53" s="706"/>
      <c r="CF53" s="705"/>
      <c r="CG53" s="705"/>
      <c r="CH53" s="705"/>
      <c r="CI53" s="706"/>
      <c r="CJ53" s="705"/>
      <c r="CK53" s="705"/>
      <c r="CL53" s="705"/>
      <c r="CM53" s="706"/>
      <c r="CN53" s="705"/>
      <c r="CO53" s="705"/>
      <c r="CP53" s="705"/>
      <c r="CQ53" s="706"/>
      <c r="CR53" s="705"/>
      <c r="CS53" s="705"/>
      <c r="CT53" s="705"/>
      <c r="CU53" s="704"/>
      <c r="CV53" s="704"/>
      <c r="CW53" s="704"/>
      <c r="CX53" s="704"/>
      <c r="CY53" s="704"/>
      <c r="CZ53" s="704"/>
      <c r="DA53" s="704"/>
      <c r="DB53" s="704"/>
      <c r="DC53" s="704"/>
      <c r="DD53" s="704"/>
      <c r="DE53" s="704"/>
      <c r="DF53" s="704"/>
    </row>
    <row r="54" spans="1:127" s="167" customFormat="1" ht="24.75" customHeight="1" x14ac:dyDescent="0.2">
      <c r="A54" s="185"/>
      <c r="D54" s="185"/>
      <c r="E54" s="185"/>
      <c r="F54" s="185"/>
      <c r="G54" s="241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AS54" s="702"/>
      <c r="BF54" s="233">
        <f>SUM(AT54:BE54)</f>
        <v>0</v>
      </c>
      <c r="BG54" s="183"/>
      <c r="BH54" s="188"/>
      <c r="BI54" s="189">
        <f>SUM(BI52-BI53)</f>
        <v>0</v>
      </c>
      <c r="BJ54" s="183" t="s">
        <v>28</v>
      </c>
      <c r="BK54" s="287"/>
      <c r="BL54" s="164"/>
      <c r="BM54" s="704"/>
      <c r="BN54" s="705"/>
      <c r="BO54" s="706"/>
      <c r="BP54" s="705"/>
      <c r="BQ54" s="705"/>
      <c r="BR54" s="705"/>
      <c r="BS54" s="706"/>
      <c r="BT54" s="705"/>
      <c r="BU54" s="705"/>
      <c r="BV54" s="705"/>
      <c r="BW54" s="706"/>
      <c r="BX54" s="705"/>
      <c r="BY54" s="705"/>
      <c r="BZ54" s="705"/>
      <c r="CA54" s="706"/>
      <c r="CB54" s="705"/>
      <c r="CC54" s="705"/>
      <c r="CD54" s="705"/>
      <c r="CE54" s="706"/>
      <c r="CF54" s="705"/>
      <c r="CG54" s="705"/>
      <c r="CH54" s="705"/>
      <c r="CI54" s="706"/>
      <c r="CJ54" s="705"/>
      <c r="CK54" s="705"/>
      <c r="CL54" s="705"/>
      <c r="CM54" s="706"/>
      <c r="CN54" s="705"/>
      <c r="CO54" s="705"/>
      <c r="CP54" s="705"/>
      <c r="CQ54" s="706"/>
      <c r="CR54" s="705"/>
      <c r="CS54" s="705"/>
      <c r="CT54" s="705"/>
      <c r="CU54" s="704"/>
      <c r="CV54" s="704"/>
      <c r="CW54" s="704"/>
      <c r="CX54" s="704"/>
      <c r="CY54" s="704"/>
      <c r="CZ54" s="704"/>
      <c r="DA54" s="704"/>
      <c r="DB54" s="704"/>
      <c r="DC54" s="704"/>
      <c r="DD54" s="704"/>
      <c r="DE54" s="704"/>
      <c r="DF54" s="704"/>
    </row>
    <row r="55" spans="1:127" s="167" customFormat="1" ht="24.75" customHeight="1" x14ac:dyDescent="0.2">
      <c r="A55" s="827" t="s">
        <v>7</v>
      </c>
      <c r="B55" s="828"/>
      <c r="C55" s="151" t="s">
        <v>53</v>
      </c>
      <c r="D55" s="152"/>
      <c r="E55" s="152"/>
      <c r="F55" s="152"/>
      <c r="G55" s="19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2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4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233"/>
      <c r="BG55" s="154"/>
      <c r="BH55" s="150"/>
      <c r="BI55" s="155"/>
      <c r="BJ55" s="152"/>
      <c r="BK55" s="192"/>
      <c r="BL55" s="192"/>
      <c r="BM55" s="153"/>
      <c r="BN55" s="192"/>
      <c r="BO55" s="707"/>
      <c r="BP55" s="192"/>
      <c r="BQ55" s="156"/>
      <c r="BR55" s="192"/>
      <c r="BS55" s="707"/>
      <c r="BT55" s="192"/>
      <c r="BU55" s="156"/>
      <c r="BV55" s="192"/>
      <c r="BW55" s="707"/>
      <c r="BX55" s="192"/>
      <c r="BY55" s="156"/>
      <c r="BZ55" s="192"/>
      <c r="CA55" s="707"/>
      <c r="CB55" s="192"/>
      <c r="CC55" s="156"/>
      <c r="CD55" s="192"/>
      <c r="CE55" s="707"/>
      <c r="CF55" s="192"/>
      <c r="CG55" s="156"/>
      <c r="CH55" s="192"/>
      <c r="CI55" s="707"/>
      <c r="CJ55" s="192"/>
      <c r="CK55" s="156"/>
      <c r="CL55" s="192"/>
      <c r="CM55" s="707"/>
      <c r="CN55" s="192"/>
      <c r="CO55" s="156"/>
      <c r="CP55" s="192"/>
      <c r="CQ55" s="707"/>
      <c r="CR55" s="192"/>
      <c r="CS55" s="156"/>
      <c r="CT55" s="192"/>
      <c r="CU55" s="153"/>
      <c r="CV55" s="153"/>
      <c r="CW55" s="153"/>
      <c r="CX55" s="153"/>
      <c r="CY55" s="154"/>
      <c r="CZ55" s="154"/>
      <c r="DA55" s="154"/>
      <c r="DB55" s="150"/>
      <c r="DC55" s="155"/>
      <c r="DD55" s="154"/>
      <c r="DE55" s="154"/>
      <c r="DF55" s="704"/>
      <c r="DG55" s="704"/>
      <c r="DH55" s="704"/>
      <c r="DI55" s="704"/>
      <c r="DJ55" s="704"/>
      <c r="DK55" s="708"/>
      <c r="DL55" s="704"/>
      <c r="DM55" s="704"/>
      <c r="DN55" s="704"/>
      <c r="DO55" s="704"/>
      <c r="DP55" s="704"/>
      <c r="DQ55" s="704"/>
      <c r="DR55" s="704"/>
      <c r="DS55" s="704"/>
      <c r="DT55" s="704"/>
      <c r="DU55" s="704"/>
      <c r="DV55" s="704"/>
      <c r="DW55" s="704"/>
    </row>
    <row r="56" spans="1:127" s="169" customFormat="1" ht="48.75" customHeight="1" x14ac:dyDescent="0.2">
      <c r="A56" s="829" t="s">
        <v>8</v>
      </c>
      <c r="B56" s="816" t="s">
        <v>9</v>
      </c>
      <c r="C56" s="816" t="s">
        <v>77</v>
      </c>
      <c r="D56" s="832" t="s">
        <v>10</v>
      </c>
      <c r="E56" s="832"/>
      <c r="F56" s="832"/>
      <c r="G56" s="832"/>
      <c r="H56" s="832"/>
      <c r="I56" s="832"/>
      <c r="J56" s="832"/>
      <c r="K56" s="832"/>
      <c r="L56" s="832"/>
      <c r="M56" s="832"/>
      <c r="N56" s="832"/>
      <c r="O56" s="832"/>
      <c r="P56" s="832"/>
      <c r="Q56" s="832"/>
      <c r="R56" s="816" t="s">
        <v>20</v>
      </c>
      <c r="S56" s="833" t="s">
        <v>17</v>
      </c>
      <c r="T56" s="834"/>
      <c r="U56" s="834"/>
      <c r="V56" s="834"/>
      <c r="W56" s="834"/>
      <c r="X56" s="834"/>
      <c r="Y56" s="834"/>
      <c r="Z56" s="834"/>
      <c r="AA56" s="834"/>
      <c r="AB56" s="834"/>
      <c r="AC56" s="834"/>
      <c r="AD56" s="834"/>
      <c r="AE56" s="834"/>
      <c r="AF56" s="835" t="s">
        <v>5</v>
      </c>
      <c r="AG56" s="835"/>
      <c r="AH56" s="835"/>
      <c r="AI56" s="835"/>
      <c r="AJ56" s="835"/>
      <c r="AK56" s="835"/>
      <c r="AL56" s="835"/>
      <c r="AM56" s="835"/>
      <c r="AN56" s="835"/>
      <c r="AO56" s="835"/>
      <c r="AP56" s="835"/>
      <c r="AQ56" s="835"/>
      <c r="AR56" s="835"/>
      <c r="AS56" s="835"/>
      <c r="AT56" s="836" t="s">
        <v>32</v>
      </c>
      <c r="AU56" s="837"/>
      <c r="AV56" s="837"/>
      <c r="AW56" s="837"/>
      <c r="AX56" s="837"/>
      <c r="AY56" s="837"/>
      <c r="AZ56" s="837"/>
      <c r="BA56" s="837"/>
      <c r="BB56" s="837"/>
      <c r="BC56" s="837"/>
      <c r="BD56" s="837"/>
      <c r="BE56" s="837"/>
      <c r="BF56" s="838"/>
      <c r="BG56" s="816" t="s">
        <v>29</v>
      </c>
      <c r="BH56" s="816" t="s">
        <v>57</v>
      </c>
      <c r="BI56" s="819" t="s">
        <v>30</v>
      </c>
      <c r="BJ56" s="150"/>
      <c r="BK56" s="283"/>
      <c r="BL56" s="84"/>
      <c r="BM56" s="84"/>
      <c r="BN56" s="84"/>
      <c r="BO56" s="84"/>
      <c r="BP56" s="774" t="s">
        <v>32</v>
      </c>
      <c r="BQ56" s="775"/>
      <c r="BR56" s="775"/>
      <c r="BS56" s="775"/>
      <c r="BT56" s="775"/>
      <c r="BU56" s="775"/>
      <c r="BV56" s="775"/>
      <c r="BW56" s="775"/>
      <c r="BX56" s="775"/>
      <c r="BY56" s="775"/>
      <c r="BZ56" s="775"/>
      <c r="CA56" s="775"/>
      <c r="CB56" s="775"/>
      <c r="CC56" s="775"/>
      <c r="CD56" s="775"/>
      <c r="CE56" s="775"/>
      <c r="CF56" s="775"/>
      <c r="CG56" s="775"/>
      <c r="CH56" s="775"/>
      <c r="CI56" s="775"/>
      <c r="CJ56" s="775"/>
      <c r="CK56" s="775"/>
      <c r="CL56" s="775"/>
      <c r="CM56" s="775"/>
      <c r="CN56" s="775"/>
      <c r="CO56" s="776"/>
      <c r="CP56" s="192"/>
      <c r="CQ56" s="258"/>
      <c r="CR56" s="192"/>
      <c r="CS56" s="192"/>
      <c r="CT56" s="192"/>
      <c r="CU56" s="152"/>
      <c r="CV56" s="152"/>
      <c r="CW56" s="152"/>
      <c r="CX56" s="152"/>
      <c r="CY56" s="152"/>
      <c r="CZ56" s="152"/>
      <c r="DA56" s="152"/>
      <c r="DB56" s="152"/>
      <c r="DC56" s="152"/>
      <c r="DD56" s="168"/>
      <c r="DE56" s="168"/>
    </row>
    <row r="57" spans="1:127" s="169" customFormat="1" ht="48.75" customHeight="1" x14ac:dyDescent="0.2">
      <c r="A57" s="830"/>
      <c r="B57" s="817"/>
      <c r="C57" s="817"/>
      <c r="D57" s="822" t="s">
        <v>18</v>
      </c>
      <c r="E57" s="824" t="s">
        <v>19</v>
      </c>
      <c r="F57" s="825"/>
      <c r="G57" s="825"/>
      <c r="H57" s="825"/>
      <c r="I57" s="825"/>
      <c r="J57" s="825"/>
      <c r="K57" s="825"/>
      <c r="L57" s="825"/>
      <c r="M57" s="825"/>
      <c r="N57" s="825"/>
      <c r="O57" s="825"/>
      <c r="P57" s="825"/>
      <c r="Q57" s="825"/>
      <c r="R57" s="817"/>
      <c r="S57" s="822" t="s">
        <v>18</v>
      </c>
      <c r="T57" s="824" t="s">
        <v>19</v>
      </c>
      <c r="U57" s="825"/>
      <c r="V57" s="825"/>
      <c r="W57" s="825"/>
      <c r="X57" s="825"/>
      <c r="Y57" s="825"/>
      <c r="Z57" s="825"/>
      <c r="AA57" s="825"/>
      <c r="AB57" s="825"/>
      <c r="AC57" s="825"/>
      <c r="AD57" s="825"/>
      <c r="AE57" s="825"/>
      <c r="AF57" s="822" t="s">
        <v>18</v>
      </c>
      <c r="AG57" s="824" t="s">
        <v>19</v>
      </c>
      <c r="AH57" s="825"/>
      <c r="AI57" s="825"/>
      <c r="AJ57" s="825"/>
      <c r="AK57" s="825"/>
      <c r="AL57" s="825"/>
      <c r="AM57" s="825"/>
      <c r="AN57" s="825"/>
      <c r="AO57" s="825"/>
      <c r="AP57" s="825"/>
      <c r="AQ57" s="825"/>
      <c r="AR57" s="825"/>
      <c r="AS57" s="826"/>
      <c r="AT57" s="839"/>
      <c r="AU57" s="840"/>
      <c r="AV57" s="840"/>
      <c r="AW57" s="840"/>
      <c r="AX57" s="840"/>
      <c r="AY57" s="840"/>
      <c r="AZ57" s="840"/>
      <c r="BA57" s="840"/>
      <c r="BB57" s="840"/>
      <c r="BC57" s="840"/>
      <c r="BD57" s="840"/>
      <c r="BE57" s="840"/>
      <c r="BF57" s="841"/>
      <c r="BG57" s="817"/>
      <c r="BH57" s="817"/>
      <c r="BI57" s="820"/>
      <c r="BJ57" s="150"/>
      <c r="BK57" s="283"/>
      <c r="BL57" s="777">
        <f>SUM(BL62/60)</f>
        <v>0</v>
      </c>
      <c r="BM57" s="777"/>
      <c r="BN57" s="777"/>
      <c r="BO57" s="17"/>
      <c r="BP57" s="778" t="s">
        <v>230</v>
      </c>
      <c r="BQ57" s="779"/>
      <c r="BR57" s="779"/>
      <c r="BS57" s="779"/>
      <c r="BT57" s="779"/>
      <c r="BU57" s="779"/>
      <c r="BV57" s="779"/>
      <c r="BW57" s="779"/>
      <c r="BX57" s="779"/>
      <c r="BY57" s="779"/>
      <c r="BZ57" s="779"/>
      <c r="CA57" s="779"/>
      <c r="CB57" s="780"/>
      <c r="CC57" s="781" t="s">
        <v>231</v>
      </c>
      <c r="CD57" s="782"/>
      <c r="CE57" s="782"/>
      <c r="CF57" s="782"/>
      <c r="CG57" s="782"/>
      <c r="CH57" s="782"/>
      <c r="CI57" s="782"/>
      <c r="CJ57" s="782"/>
      <c r="CK57" s="782"/>
      <c r="CL57" s="782"/>
      <c r="CM57" s="782"/>
      <c r="CN57" s="782"/>
      <c r="CO57" s="783"/>
      <c r="CP57" s="192"/>
      <c r="CQ57" s="258"/>
      <c r="CR57" s="192"/>
      <c r="CS57" s="192"/>
      <c r="CT57" s="192"/>
      <c r="CU57" s="152"/>
      <c r="CV57" s="152"/>
      <c r="CW57" s="152"/>
      <c r="CX57" s="152"/>
      <c r="CY57" s="152"/>
      <c r="CZ57" s="152"/>
      <c r="DA57" s="152"/>
      <c r="DB57" s="152"/>
      <c r="DC57" s="152"/>
      <c r="DD57" s="168"/>
      <c r="DE57" s="168"/>
    </row>
    <row r="58" spans="1:127" s="172" customFormat="1" ht="28.5" customHeight="1" x14ac:dyDescent="0.2">
      <c r="A58" s="831"/>
      <c r="B58" s="818"/>
      <c r="C58" s="818"/>
      <c r="D58" s="823"/>
      <c r="E58" s="170">
        <v>1</v>
      </c>
      <c r="F58" s="170">
        <v>2</v>
      </c>
      <c r="G58" s="240">
        <v>3</v>
      </c>
      <c r="H58" s="170">
        <v>4</v>
      </c>
      <c r="I58" s="170">
        <v>5</v>
      </c>
      <c r="J58" s="170">
        <v>6</v>
      </c>
      <c r="K58" s="170">
        <v>7</v>
      </c>
      <c r="L58" s="170">
        <v>8</v>
      </c>
      <c r="M58" s="170">
        <v>9</v>
      </c>
      <c r="N58" s="170">
        <v>10</v>
      </c>
      <c r="O58" s="170">
        <v>11</v>
      </c>
      <c r="P58" s="170">
        <v>12</v>
      </c>
      <c r="Q58" s="170" t="s">
        <v>21</v>
      </c>
      <c r="R58" s="818"/>
      <c r="S58" s="823"/>
      <c r="T58" s="170">
        <v>1</v>
      </c>
      <c r="U58" s="170">
        <v>2</v>
      </c>
      <c r="V58" s="170">
        <v>3</v>
      </c>
      <c r="W58" s="170">
        <v>4</v>
      </c>
      <c r="X58" s="170">
        <v>5</v>
      </c>
      <c r="Y58" s="170">
        <v>6</v>
      </c>
      <c r="Z58" s="170">
        <v>7</v>
      </c>
      <c r="AA58" s="170">
        <v>8</v>
      </c>
      <c r="AB58" s="170">
        <v>9</v>
      </c>
      <c r="AC58" s="170">
        <v>10</v>
      </c>
      <c r="AD58" s="170">
        <v>11</v>
      </c>
      <c r="AE58" s="170">
        <v>12</v>
      </c>
      <c r="AF58" s="823"/>
      <c r="AG58" s="170">
        <v>1</v>
      </c>
      <c r="AH58" s="170">
        <v>2</v>
      </c>
      <c r="AI58" s="170">
        <v>3</v>
      </c>
      <c r="AJ58" s="170">
        <v>4</v>
      </c>
      <c r="AK58" s="170">
        <v>5</v>
      </c>
      <c r="AL58" s="170">
        <v>6</v>
      </c>
      <c r="AM58" s="170">
        <v>7</v>
      </c>
      <c r="AN58" s="170">
        <v>8</v>
      </c>
      <c r="AO58" s="170">
        <v>9</v>
      </c>
      <c r="AP58" s="170">
        <v>10</v>
      </c>
      <c r="AQ58" s="170">
        <v>11</v>
      </c>
      <c r="AR58" s="170">
        <v>12</v>
      </c>
      <c r="AS58" s="170" t="s">
        <v>13</v>
      </c>
      <c r="AT58" s="171">
        <v>1</v>
      </c>
      <c r="AU58" s="171">
        <v>2</v>
      </c>
      <c r="AV58" s="171">
        <v>3</v>
      </c>
      <c r="AW58" s="171">
        <v>4</v>
      </c>
      <c r="AX58" s="171">
        <v>5</v>
      </c>
      <c r="AY58" s="171">
        <v>6</v>
      </c>
      <c r="AZ58" s="171">
        <v>7</v>
      </c>
      <c r="BA58" s="171">
        <v>8</v>
      </c>
      <c r="BB58" s="171">
        <v>9</v>
      </c>
      <c r="BC58" s="171">
        <v>10</v>
      </c>
      <c r="BD58" s="171">
        <v>11</v>
      </c>
      <c r="BE58" s="171">
        <v>12</v>
      </c>
      <c r="BF58" s="170" t="s">
        <v>13</v>
      </c>
      <c r="BG58" s="818"/>
      <c r="BH58" s="818"/>
      <c r="BI58" s="821"/>
      <c r="BK58" s="284"/>
      <c r="BL58" s="784" t="s">
        <v>19</v>
      </c>
      <c r="BM58" s="785"/>
      <c r="BN58" s="786"/>
      <c r="BO58" s="337"/>
      <c r="BP58" s="111">
        <v>1</v>
      </c>
      <c r="BQ58" s="111">
        <v>2</v>
      </c>
      <c r="BR58" s="111">
        <v>3</v>
      </c>
      <c r="BS58" s="111">
        <v>4</v>
      </c>
      <c r="BT58" s="111">
        <v>5</v>
      </c>
      <c r="BU58" s="111">
        <v>6</v>
      </c>
      <c r="BV58" s="111">
        <v>7</v>
      </c>
      <c r="BW58" s="111">
        <v>8</v>
      </c>
      <c r="BX58" s="111">
        <v>9</v>
      </c>
      <c r="BY58" s="111">
        <v>10</v>
      </c>
      <c r="BZ58" s="111">
        <v>11</v>
      </c>
      <c r="CA58" s="111">
        <v>12</v>
      </c>
      <c r="CB58" s="20" t="s">
        <v>13</v>
      </c>
      <c r="CC58" s="111">
        <v>1</v>
      </c>
      <c r="CD58" s="111">
        <v>2</v>
      </c>
      <c r="CE58" s="111">
        <v>3</v>
      </c>
      <c r="CF58" s="111">
        <v>4</v>
      </c>
      <c r="CG58" s="111">
        <v>5</v>
      </c>
      <c r="CH58" s="111">
        <v>6</v>
      </c>
      <c r="CI58" s="111">
        <v>7</v>
      </c>
      <c r="CJ58" s="111">
        <v>8</v>
      </c>
      <c r="CK58" s="111">
        <v>9</v>
      </c>
      <c r="CL58" s="111">
        <v>10</v>
      </c>
      <c r="CM58" s="111">
        <v>11</v>
      </c>
      <c r="CN58" s="111">
        <v>12</v>
      </c>
      <c r="CO58" s="20" t="s">
        <v>13</v>
      </c>
      <c r="CP58" s="253"/>
      <c r="CQ58" s="261"/>
      <c r="CR58" s="253"/>
      <c r="CS58" s="253"/>
      <c r="CT58" s="253"/>
      <c r="CU58" s="239"/>
      <c r="CV58" s="239"/>
      <c r="CW58" s="239"/>
      <c r="CX58" s="239"/>
      <c r="CY58" s="239"/>
      <c r="CZ58" s="239"/>
      <c r="DA58" s="239"/>
      <c r="DB58" s="239"/>
      <c r="DC58" s="239"/>
      <c r="DD58" s="239"/>
      <c r="DE58" s="239"/>
    </row>
    <row r="59" spans="1:127" s="205" customFormat="1" ht="24.75" customHeight="1" x14ac:dyDescent="0.2">
      <c r="A59" s="193">
        <v>1</v>
      </c>
      <c r="B59" s="234" t="s">
        <v>240</v>
      </c>
      <c r="C59" s="304" t="s">
        <v>144</v>
      </c>
      <c r="D59" s="235">
        <v>6</v>
      </c>
      <c r="E59" s="649">
        <v>6</v>
      </c>
      <c r="F59" s="196"/>
      <c r="G59" s="242"/>
      <c r="H59" s="196"/>
      <c r="I59" s="292"/>
      <c r="J59" s="292"/>
      <c r="K59" s="196"/>
      <c r="L59" s="196"/>
      <c r="M59" s="196"/>
      <c r="N59" s="196"/>
      <c r="O59" s="196"/>
      <c r="P59" s="196"/>
      <c r="Q59" s="303">
        <f>SUM(E59:P59)</f>
        <v>6</v>
      </c>
      <c r="R59" s="308" t="s">
        <v>245</v>
      </c>
      <c r="S59" s="237">
        <v>7000</v>
      </c>
      <c r="T59" s="237">
        <v>7000</v>
      </c>
      <c r="U59" s="206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175">
        <f>Q59*S59</f>
        <v>42000</v>
      </c>
      <c r="AG59" s="246">
        <f>T59*E59</f>
        <v>42000</v>
      </c>
      <c r="AH59" s="246">
        <f t="shared" ref="AH59:AH61" si="303">U59*F59</f>
        <v>0</v>
      </c>
      <c r="AI59" s="246">
        <f t="shared" ref="AI59:AI61" si="304">V59*G59</f>
        <v>0</v>
      </c>
      <c r="AJ59" s="246">
        <f t="shared" ref="AJ59:AJ61" si="305">W59*H59</f>
        <v>0</v>
      </c>
      <c r="AK59" s="246">
        <f t="shared" ref="AK59:AK61" si="306">X59*I59</f>
        <v>0</v>
      </c>
      <c r="AL59" s="246">
        <f t="shared" ref="AL59:AL61" si="307">Y59*J59</f>
        <v>0</v>
      </c>
      <c r="AM59" s="246">
        <f t="shared" ref="AM59:AM61" si="308">Z59*K59</f>
        <v>0</v>
      </c>
      <c r="AN59" s="246">
        <f t="shared" ref="AN59:AN61" si="309">AA59*L59</f>
        <v>0</v>
      </c>
      <c r="AO59" s="246">
        <f t="shared" ref="AO59:AO61" si="310">AB59*M59</f>
        <v>0</v>
      </c>
      <c r="AP59" s="246">
        <f t="shared" ref="AP59:AP61" si="311">AC59*N59</f>
        <v>0</v>
      </c>
      <c r="AQ59" s="246">
        <f t="shared" ref="AQ59:AQ61" si="312">AD59*O59</f>
        <v>0</v>
      </c>
      <c r="AR59" s="246">
        <f t="shared" ref="AR59:AR61" si="313">AE59*P59</f>
        <v>0</v>
      </c>
      <c r="AS59" s="177">
        <f t="shared" ref="AS59:AS61" si="314">SUM(AG59:AR59)</f>
        <v>42000</v>
      </c>
      <c r="AT59" s="246"/>
      <c r="AU59" s="246"/>
      <c r="AV59" s="246"/>
      <c r="AW59" s="246">
        <f t="shared" ref="AW59:AW61" si="315">SUM(AJ59*14%)</f>
        <v>0</v>
      </c>
      <c r="AX59" s="246">
        <f t="shared" ref="AX59:AX61" si="316">SUM(AK59*14%)</f>
        <v>0</v>
      </c>
      <c r="AY59" s="246">
        <f t="shared" ref="AY59:AY61" si="317">SUM(AL59*14%)</f>
        <v>0</v>
      </c>
      <c r="AZ59" s="246">
        <f t="shared" ref="AZ59:AZ61" si="318">SUM(AM59*14%)</f>
        <v>0</v>
      </c>
      <c r="BA59" s="246">
        <f t="shared" ref="BA59:BA61" si="319">SUM(AN59*14%)</f>
        <v>0</v>
      </c>
      <c r="BB59" s="246">
        <f t="shared" ref="BB59:BB61" si="320">SUM(AO59*14%)</f>
        <v>0</v>
      </c>
      <c r="BC59" s="246">
        <f t="shared" ref="BC59:BC61" si="321">SUM(AP59*14%)</f>
        <v>0</v>
      </c>
      <c r="BD59" s="246">
        <f t="shared" ref="BD59:BD61" si="322">SUM(AQ59*14%)</f>
        <v>0</v>
      </c>
      <c r="BE59" s="246">
        <f t="shared" ref="BE59:BE61" si="323">SUM(AR59*14%)</f>
        <v>0</v>
      </c>
      <c r="BF59" s="199">
        <f t="shared" ref="BF59:BF61" si="324">SUM(AT59:BE59)</f>
        <v>0</v>
      </c>
      <c r="BG59" s="178">
        <f>AF59-AS59</f>
        <v>0</v>
      </c>
      <c r="BH59" s="179">
        <f>S59*D59</f>
        <v>42000</v>
      </c>
      <c r="BI59" s="180">
        <f>BH59-AS59</f>
        <v>0</v>
      </c>
      <c r="BJ59" s="181">
        <f t="shared" ref="BJ59:BJ61" si="325">SUM(Q59/D59)</f>
        <v>1</v>
      </c>
      <c r="BK59" s="285"/>
      <c r="BL59" s="556">
        <f>SUM(AI59-BR59)</f>
        <v>0</v>
      </c>
      <c r="BM59" s="556">
        <f>59000*60</f>
        <v>3540000</v>
      </c>
      <c r="BN59" s="567">
        <f>SUM(BL59-BM59)</f>
        <v>-3540000</v>
      </c>
      <c r="BO59" s="561"/>
      <c r="BP59" s="323"/>
      <c r="BQ59" s="323"/>
      <c r="BR59" s="556">
        <f t="shared" ref="BR59:BR61" si="326">SUM(AI59*12.5%)</f>
        <v>0</v>
      </c>
      <c r="BS59" s="323">
        <f t="shared" ref="BS59:BS61" si="327">SUM(AJ59*12.5%)</f>
        <v>0</v>
      </c>
      <c r="BT59" s="323">
        <f t="shared" ref="BT59:BT61" si="328">SUM(AK59*12.5%)</f>
        <v>0</v>
      </c>
      <c r="BU59" s="323">
        <f t="shared" ref="BU59:BU61" si="329">SUM(AL59*12.5%)</f>
        <v>0</v>
      </c>
      <c r="BV59" s="323">
        <f t="shared" ref="BV59:BV61" si="330">SUM(AM59*12.5%)</f>
        <v>0</v>
      </c>
      <c r="BW59" s="323">
        <f t="shared" ref="BW59:BW61" si="331">SUM(AN59*12.5%)</f>
        <v>0</v>
      </c>
      <c r="BX59" s="323">
        <f t="shared" ref="BX59:BX61" si="332">SUM(AO59*12.5%)</f>
        <v>0</v>
      </c>
      <c r="BY59" s="323">
        <f t="shared" ref="BY59:BY61" si="333">SUM(AP59*12.5%)</f>
        <v>0</v>
      </c>
      <c r="BZ59" s="323">
        <f t="shared" ref="BZ59:BZ61" si="334">SUM(AQ59*12.5%)</f>
        <v>0</v>
      </c>
      <c r="CA59" s="323">
        <f t="shared" ref="CA59:CA61" si="335">SUM(AR59*12.5%)</f>
        <v>0</v>
      </c>
      <c r="CB59" s="55">
        <f t="shared" ref="CB59" si="336">SUM(BP59:CA59)</f>
        <v>0</v>
      </c>
      <c r="CC59" s="323"/>
      <c r="CD59" s="323"/>
      <c r="CE59" s="323"/>
      <c r="CF59" s="323"/>
      <c r="CG59" s="323"/>
      <c r="CH59" s="323"/>
      <c r="CI59" s="323"/>
      <c r="CJ59" s="323"/>
      <c r="CK59" s="323"/>
      <c r="CL59" s="323"/>
      <c r="CM59" s="323"/>
      <c r="CN59" s="323"/>
      <c r="CO59" s="55">
        <f t="shared" ref="CO59:CO61" si="337">SUM(CC59:CN59)</f>
        <v>0</v>
      </c>
      <c r="CP59" s="203"/>
      <c r="CQ59" s="262"/>
      <c r="CR59" s="203"/>
      <c r="CS59" s="203"/>
      <c r="CT59" s="203"/>
      <c r="CU59" s="204"/>
      <c r="CV59" s="204"/>
      <c r="CW59" s="204"/>
      <c r="CX59" s="204"/>
      <c r="CY59" s="204"/>
      <c r="CZ59" s="204"/>
      <c r="DA59" s="204"/>
      <c r="DB59" s="204"/>
      <c r="DC59" s="204"/>
      <c r="DD59" s="204"/>
      <c r="DE59" s="204"/>
    </row>
    <row r="60" spans="1:127" s="205" customFormat="1" ht="24.75" customHeight="1" x14ac:dyDescent="0.2">
      <c r="A60" s="193">
        <v>2</v>
      </c>
      <c r="B60" s="234" t="s">
        <v>241</v>
      </c>
      <c r="C60" s="304" t="s">
        <v>144</v>
      </c>
      <c r="D60" s="235">
        <v>2</v>
      </c>
      <c r="E60" s="649">
        <v>2</v>
      </c>
      <c r="F60" s="196"/>
      <c r="G60" s="242"/>
      <c r="H60" s="196"/>
      <c r="I60" s="292"/>
      <c r="J60" s="292"/>
      <c r="K60" s="196"/>
      <c r="L60" s="196"/>
      <c r="M60" s="196"/>
      <c r="N60" s="196"/>
      <c r="O60" s="196"/>
      <c r="P60" s="196"/>
      <c r="Q60" s="197">
        <f t="shared" ref="Q60:Q61" si="338">SUM(E60:P60)</f>
        <v>2</v>
      </c>
      <c r="R60" s="308" t="s">
        <v>245</v>
      </c>
      <c r="S60" s="237">
        <v>75000</v>
      </c>
      <c r="T60" s="237">
        <v>75000</v>
      </c>
      <c r="U60" s="276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175">
        <f t="shared" ref="AF60:AF61" si="339">Q60*S60</f>
        <v>150000</v>
      </c>
      <c r="AG60" s="246">
        <f t="shared" ref="AG60:AG63" si="340">T60*E60</f>
        <v>150000</v>
      </c>
      <c r="AH60" s="246">
        <f t="shared" si="303"/>
        <v>0</v>
      </c>
      <c r="AI60" s="246">
        <f t="shared" si="304"/>
        <v>0</v>
      </c>
      <c r="AJ60" s="246">
        <f t="shared" si="305"/>
        <v>0</v>
      </c>
      <c r="AK60" s="246">
        <f t="shared" si="306"/>
        <v>0</v>
      </c>
      <c r="AL60" s="246">
        <f t="shared" si="307"/>
        <v>0</v>
      </c>
      <c r="AM60" s="246">
        <f t="shared" si="308"/>
        <v>0</v>
      </c>
      <c r="AN60" s="246">
        <f t="shared" si="309"/>
        <v>0</v>
      </c>
      <c r="AO60" s="246">
        <f t="shared" si="310"/>
        <v>0</v>
      </c>
      <c r="AP60" s="246">
        <f t="shared" si="311"/>
        <v>0</v>
      </c>
      <c r="AQ60" s="246">
        <f t="shared" si="312"/>
        <v>0</v>
      </c>
      <c r="AR60" s="246">
        <f t="shared" si="313"/>
        <v>0</v>
      </c>
      <c r="AS60" s="177">
        <f t="shared" si="314"/>
        <v>150000</v>
      </c>
      <c r="AT60" s="246"/>
      <c r="AU60" s="246"/>
      <c r="AV60" s="246"/>
      <c r="AW60" s="246">
        <f t="shared" si="315"/>
        <v>0</v>
      </c>
      <c r="AX60" s="246">
        <f t="shared" si="316"/>
        <v>0</v>
      </c>
      <c r="AY60" s="246">
        <f t="shared" si="317"/>
        <v>0</v>
      </c>
      <c r="AZ60" s="246">
        <f t="shared" si="318"/>
        <v>0</v>
      </c>
      <c r="BA60" s="246">
        <f t="shared" si="319"/>
        <v>0</v>
      </c>
      <c r="BB60" s="246">
        <f t="shared" si="320"/>
        <v>0</v>
      </c>
      <c r="BC60" s="246">
        <f t="shared" si="321"/>
        <v>0</v>
      </c>
      <c r="BD60" s="246">
        <f t="shared" si="322"/>
        <v>0</v>
      </c>
      <c r="BE60" s="246">
        <f t="shared" si="323"/>
        <v>0</v>
      </c>
      <c r="BF60" s="199">
        <f t="shared" si="324"/>
        <v>0</v>
      </c>
      <c r="BG60" s="178">
        <f t="shared" ref="BG60" si="341">AF60-AS60-BF60</f>
        <v>0</v>
      </c>
      <c r="BH60" s="179">
        <f>S60*D60</f>
        <v>150000</v>
      </c>
      <c r="BI60" s="180">
        <f t="shared" ref="BI60" si="342">BH60-AS60-BF60</f>
        <v>0</v>
      </c>
      <c r="BJ60" s="181">
        <f t="shared" si="325"/>
        <v>1</v>
      </c>
      <c r="BK60" s="285"/>
      <c r="BL60" s="556">
        <f t="shared" ref="BL60:BL61" si="343">SUM(AI60-BR60)</f>
        <v>0</v>
      </c>
      <c r="BM60" s="556">
        <f>SUM(G60*T60)</f>
        <v>0</v>
      </c>
      <c r="BN60" s="567">
        <f t="shared" ref="BN60:BN61" si="344">SUM(BL60-BM60)</f>
        <v>0</v>
      </c>
      <c r="BO60" s="561"/>
      <c r="BP60" s="323"/>
      <c r="BQ60" s="323"/>
      <c r="BR60" s="556">
        <f t="shared" si="326"/>
        <v>0</v>
      </c>
      <c r="BS60" s="323">
        <f t="shared" si="327"/>
        <v>0</v>
      </c>
      <c r="BT60" s="323">
        <f t="shared" si="328"/>
        <v>0</v>
      </c>
      <c r="BU60" s="323">
        <f t="shared" si="329"/>
        <v>0</v>
      </c>
      <c r="BV60" s="323">
        <f t="shared" si="330"/>
        <v>0</v>
      </c>
      <c r="BW60" s="323">
        <f t="shared" si="331"/>
        <v>0</v>
      </c>
      <c r="BX60" s="323">
        <f t="shared" si="332"/>
        <v>0</v>
      </c>
      <c r="BY60" s="323">
        <f t="shared" si="333"/>
        <v>0</v>
      </c>
      <c r="BZ60" s="323">
        <f t="shared" si="334"/>
        <v>0</v>
      </c>
      <c r="CA60" s="323">
        <f t="shared" si="335"/>
        <v>0</v>
      </c>
      <c r="CB60" s="55">
        <f t="shared" ref="CB60:CB61" si="345">SUM(BP60:CA60)</f>
        <v>0</v>
      </c>
      <c r="CC60" s="323"/>
      <c r="CD60" s="323"/>
      <c r="CE60" s="323"/>
      <c r="CF60" s="323"/>
      <c r="CG60" s="323"/>
      <c r="CH60" s="323"/>
      <c r="CI60" s="323"/>
      <c r="CJ60" s="323"/>
      <c r="CK60" s="323"/>
      <c r="CL60" s="323"/>
      <c r="CM60" s="323"/>
      <c r="CN60" s="323"/>
      <c r="CO60" s="55">
        <f t="shared" si="337"/>
        <v>0</v>
      </c>
      <c r="CP60" s="203"/>
      <c r="CQ60" s="262"/>
      <c r="CR60" s="203"/>
      <c r="CS60" s="203"/>
      <c r="CT60" s="203"/>
      <c r="CU60" s="204"/>
      <c r="CV60" s="204"/>
      <c r="CW60" s="204"/>
      <c r="CX60" s="204"/>
      <c r="CY60" s="204"/>
      <c r="CZ60" s="204"/>
      <c r="DA60" s="204"/>
      <c r="DB60" s="204"/>
      <c r="DC60" s="204"/>
      <c r="DD60" s="204"/>
      <c r="DE60" s="204"/>
    </row>
    <row r="61" spans="1:127" s="205" customFormat="1" ht="24.75" customHeight="1" x14ac:dyDescent="0.2">
      <c r="A61" s="193">
        <v>3</v>
      </c>
      <c r="B61" s="234" t="s">
        <v>242</v>
      </c>
      <c r="C61" s="304" t="s">
        <v>144</v>
      </c>
      <c r="D61" s="235">
        <v>1</v>
      </c>
      <c r="E61" s="649">
        <v>1</v>
      </c>
      <c r="F61" s="196"/>
      <c r="G61" s="242"/>
      <c r="H61" s="196"/>
      <c r="I61" s="292"/>
      <c r="J61" s="292"/>
      <c r="K61" s="196"/>
      <c r="L61" s="196"/>
      <c r="M61" s="196"/>
      <c r="N61" s="196"/>
      <c r="O61" s="196"/>
      <c r="P61" s="196"/>
      <c r="Q61" s="197">
        <f t="shared" si="338"/>
        <v>1</v>
      </c>
      <c r="R61" s="308" t="s">
        <v>245</v>
      </c>
      <c r="S61" s="237">
        <v>20100</v>
      </c>
      <c r="T61" s="237">
        <v>20000</v>
      </c>
      <c r="U61" s="276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175">
        <f t="shared" si="339"/>
        <v>20100</v>
      </c>
      <c r="AG61" s="246">
        <f t="shared" si="340"/>
        <v>20000</v>
      </c>
      <c r="AH61" s="246">
        <f t="shared" si="303"/>
        <v>0</v>
      </c>
      <c r="AI61" s="246">
        <f t="shared" si="304"/>
        <v>0</v>
      </c>
      <c r="AJ61" s="246">
        <f t="shared" si="305"/>
        <v>0</v>
      </c>
      <c r="AK61" s="246">
        <f t="shared" si="306"/>
        <v>0</v>
      </c>
      <c r="AL61" s="246">
        <f t="shared" si="307"/>
        <v>0</v>
      </c>
      <c r="AM61" s="246">
        <f t="shared" si="308"/>
        <v>0</v>
      </c>
      <c r="AN61" s="246">
        <f t="shared" si="309"/>
        <v>0</v>
      </c>
      <c r="AO61" s="246">
        <f t="shared" si="310"/>
        <v>0</v>
      </c>
      <c r="AP61" s="246">
        <f t="shared" si="311"/>
        <v>0</v>
      </c>
      <c r="AQ61" s="246">
        <f t="shared" si="312"/>
        <v>0</v>
      </c>
      <c r="AR61" s="246">
        <f t="shared" si="313"/>
        <v>0</v>
      </c>
      <c r="AS61" s="177">
        <f t="shared" si="314"/>
        <v>20000</v>
      </c>
      <c r="AT61" s="246"/>
      <c r="AU61" s="246"/>
      <c r="AV61" s="246"/>
      <c r="AW61" s="246">
        <f t="shared" si="315"/>
        <v>0</v>
      </c>
      <c r="AX61" s="246">
        <f t="shared" si="316"/>
        <v>0</v>
      </c>
      <c r="AY61" s="246">
        <f t="shared" si="317"/>
        <v>0</v>
      </c>
      <c r="AZ61" s="246">
        <f t="shared" si="318"/>
        <v>0</v>
      </c>
      <c r="BA61" s="246">
        <f t="shared" si="319"/>
        <v>0</v>
      </c>
      <c r="BB61" s="246">
        <f t="shared" si="320"/>
        <v>0</v>
      </c>
      <c r="BC61" s="246">
        <f t="shared" si="321"/>
        <v>0</v>
      </c>
      <c r="BD61" s="246">
        <f t="shared" si="322"/>
        <v>0</v>
      </c>
      <c r="BE61" s="246">
        <f t="shared" si="323"/>
        <v>0</v>
      </c>
      <c r="BF61" s="199">
        <f t="shared" si="324"/>
        <v>0</v>
      </c>
      <c r="BG61" s="178">
        <f>AF61-AS61</f>
        <v>100</v>
      </c>
      <c r="BH61" s="179">
        <f>S61*D61</f>
        <v>20100</v>
      </c>
      <c r="BI61" s="180">
        <f>BH61-AS61</f>
        <v>100</v>
      </c>
      <c r="BJ61" s="181">
        <f t="shared" si="325"/>
        <v>1</v>
      </c>
      <c r="BK61" s="285"/>
      <c r="BL61" s="556">
        <f t="shared" si="343"/>
        <v>0</v>
      </c>
      <c r="BM61" s="556">
        <f t="shared" ref="BM61" si="346">SUM(G61*T61)</f>
        <v>0</v>
      </c>
      <c r="BN61" s="567">
        <f t="shared" si="344"/>
        <v>0</v>
      </c>
      <c r="BO61" s="561"/>
      <c r="BP61" s="323"/>
      <c r="BQ61" s="323"/>
      <c r="BR61" s="556">
        <f t="shared" si="326"/>
        <v>0</v>
      </c>
      <c r="BS61" s="323">
        <f t="shared" si="327"/>
        <v>0</v>
      </c>
      <c r="BT61" s="323">
        <f t="shared" si="328"/>
        <v>0</v>
      </c>
      <c r="BU61" s="323">
        <f t="shared" si="329"/>
        <v>0</v>
      </c>
      <c r="BV61" s="323">
        <f t="shared" si="330"/>
        <v>0</v>
      </c>
      <c r="BW61" s="323">
        <f t="shared" si="331"/>
        <v>0</v>
      </c>
      <c r="BX61" s="323">
        <f t="shared" si="332"/>
        <v>0</v>
      </c>
      <c r="BY61" s="323">
        <f t="shared" si="333"/>
        <v>0</v>
      </c>
      <c r="BZ61" s="323">
        <f t="shared" si="334"/>
        <v>0</v>
      </c>
      <c r="CA61" s="323">
        <f t="shared" si="335"/>
        <v>0</v>
      </c>
      <c r="CB61" s="55">
        <f t="shared" si="345"/>
        <v>0</v>
      </c>
      <c r="CC61" s="323"/>
      <c r="CD61" s="323"/>
      <c r="CE61" s="323"/>
      <c r="CF61" s="323"/>
      <c r="CG61" s="323"/>
      <c r="CH61" s="323"/>
      <c r="CI61" s="323"/>
      <c r="CJ61" s="323"/>
      <c r="CK61" s="323"/>
      <c r="CL61" s="323"/>
      <c r="CM61" s="323"/>
      <c r="CN61" s="323"/>
      <c r="CO61" s="55">
        <f t="shared" si="337"/>
        <v>0</v>
      </c>
      <c r="CP61" s="203"/>
      <c r="CQ61" s="262"/>
      <c r="CR61" s="203"/>
      <c r="CS61" s="203"/>
      <c r="CT61" s="203"/>
      <c r="CU61" s="204"/>
      <c r="CV61" s="204"/>
      <c r="CW61" s="204"/>
      <c r="CX61" s="204"/>
      <c r="CY61" s="204"/>
      <c r="CZ61" s="204"/>
      <c r="DA61" s="204"/>
      <c r="DB61" s="204"/>
      <c r="DC61" s="204"/>
      <c r="DD61" s="204"/>
      <c r="DE61" s="204"/>
    </row>
    <row r="62" spans="1:127" s="205" customFormat="1" ht="24.75" customHeight="1" x14ac:dyDescent="0.2">
      <c r="A62" s="193">
        <v>4</v>
      </c>
      <c r="B62" s="234" t="s">
        <v>243</v>
      </c>
      <c r="C62" s="304" t="s">
        <v>144</v>
      </c>
      <c r="D62" s="235">
        <v>1</v>
      </c>
      <c r="E62" s="649">
        <v>1</v>
      </c>
      <c r="F62" s="196"/>
      <c r="G62" s="242"/>
      <c r="H62" s="196"/>
      <c r="I62" s="292"/>
      <c r="J62" s="292"/>
      <c r="K62" s="196"/>
      <c r="L62" s="196"/>
      <c r="M62" s="196"/>
      <c r="N62" s="196"/>
      <c r="O62" s="196"/>
      <c r="P62" s="196"/>
      <c r="Q62" s="303">
        <f>SUM(E62:P62)</f>
        <v>1</v>
      </c>
      <c r="R62" s="308" t="s">
        <v>245</v>
      </c>
      <c r="S62" s="237">
        <v>45000</v>
      </c>
      <c r="T62" s="237">
        <v>45000</v>
      </c>
      <c r="U62" s="206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175">
        <f>Q62*S62</f>
        <v>45000</v>
      </c>
      <c r="AG62" s="246">
        <f t="shared" si="340"/>
        <v>45000</v>
      </c>
      <c r="AH62" s="246">
        <f t="shared" ref="AH62:AH63" si="347">U62*F62</f>
        <v>0</v>
      </c>
      <c r="AI62" s="246">
        <f t="shared" ref="AI62:AI63" si="348">V62*G62</f>
        <v>0</v>
      </c>
      <c r="AJ62" s="246">
        <f t="shared" ref="AJ62:AJ63" si="349">W62*H62</f>
        <v>0</v>
      </c>
      <c r="AK62" s="246">
        <f t="shared" ref="AK62:AK63" si="350">X62*I62</f>
        <v>0</v>
      </c>
      <c r="AL62" s="246">
        <f t="shared" ref="AL62:AL63" si="351">Y62*J62</f>
        <v>0</v>
      </c>
      <c r="AM62" s="246">
        <f t="shared" ref="AM62:AM63" si="352">Z62*K62</f>
        <v>0</v>
      </c>
      <c r="AN62" s="246">
        <f t="shared" ref="AN62:AN63" si="353">AA62*L62</f>
        <v>0</v>
      </c>
      <c r="AO62" s="246">
        <f t="shared" ref="AO62:AO63" si="354">AB62*M62</f>
        <v>0</v>
      </c>
      <c r="AP62" s="246">
        <f t="shared" ref="AP62:AP63" si="355">AC62*N62</f>
        <v>0</v>
      </c>
      <c r="AQ62" s="246">
        <f t="shared" ref="AQ62:AQ63" si="356">AD62*O62</f>
        <v>0</v>
      </c>
      <c r="AR62" s="246">
        <f t="shared" ref="AR62:AR63" si="357">AE62*P62</f>
        <v>0</v>
      </c>
      <c r="AS62" s="177">
        <f t="shared" ref="AS62:AS63" si="358">SUM(AG62:AR62)</f>
        <v>45000</v>
      </c>
      <c r="AT62" s="246"/>
      <c r="AU62" s="246"/>
      <c r="AV62" s="246"/>
      <c r="AW62" s="246">
        <f t="shared" ref="AW62:AW63" si="359">SUM(AJ62*14%)</f>
        <v>0</v>
      </c>
      <c r="AX62" s="246">
        <f t="shared" ref="AX62:AX63" si="360">SUM(AK62*14%)</f>
        <v>0</v>
      </c>
      <c r="AY62" s="246">
        <f t="shared" ref="AY62:AY63" si="361">SUM(AL62*14%)</f>
        <v>0</v>
      </c>
      <c r="AZ62" s="246">
        <f t="shared" ref="AZ62:AZ63" si="362">SUM(AM62*14%)</f>
        <v>0</v>
      </c>
      <c r="BA62" s="246">
        <f t="shared" ref="BA62:BA63" si="363">SUM(AN62*14%)</f>
        <v>0</v>
      </c>
      <c r="BB62" s="246">
        <f t="shared" ref="BB62:BB63" si="364">SUM(AO62*14%)</f>
        <v>0</v>
      </c>
      <c r="BC62" s="246">
        <f t="shared" ref="BC62:BC63" si="365">SUM(AP62*14%)</f>
        <v>0</v>
      </c>
      <c r="BD62" s="246">
        <f t="shared" ref="BD62:BD63" si="366">SUM(AQ62*14%)</f>
        <v>0</v>
      </c>
      <c r="BE62" s="246">
        <f t="shared" ref="BE62:BE63" si="367">SUM(AR62*14%)</f>
        <v>0</v>
      </c>
      <c r="BF62" s="199">
        <f t="shared" ref="BF62:BF63" si="368">SUM(AT62:BE62)</f>
        <v>0</v>
      </c>
      <c r="BG62" s="178">
        <f>AF62-AS62</f>
        <v>0</v>
      </c>
      <c r="BH62" s="179">
        <f>S62*D62</f>
        <v>45000</v>
      </c>
      <c r="BI62" s="180">
        <f>BH62-AS62</f>
        <v>0</v>
      </c>
      <c r="BJ62" s="181">
        <f t="shared" ref="BJ62:BJ63" si="369">SUM(Q62/D62)</f>
        <v>1</v>
      </c>
      <c r="BK62" s="285"/>
      <c r="BL62" s="556">
        <f>SUM(AI62-BR62)</f>
        <v>0</v>
      </c>
      <c r="BM62" s="556">
        <f>59000*60</f>
        <v>3540000</v>
      </c>
      <c r="BN62" s="567">
        <f>SUM(BL62-BM62)</f>
        <v>-3540000</v>
      </c>
      <c r="BO62" s="561"/>
      <c r="BP62" s="323"/>
      <c r="BQ62" s="323"/>
      <c r="BR62" s="556">
        <f t="shared" ref="BR62:BR64" si="370">SUM(AI62*12.5%)</f>
        <v>0</v>
      </c>
      <c r="BS62" s="323">
        <f t="shared" ref="BS62:BS64" si="371">SUM(AJ62*12.5%)</f>
        <v>0</v>
      </c>
      <c r="BT62" s="323">
        <f t="shared" ref="BT62:BT64" si="372">SUM(AK62*12.5%)</f>
        <v>0</v>
      </c>
      <c r="BU62" s="323">
        <f t="shared" ref="BU62:BU64" si="373">SUM(AL62*12.5%)</f>
        <v>0</v>
      </c>
      <c r="BV62" s="323">
        <f t="shared" ref="BV62:BV64" si="374">SUM(AM62*12.5%)</f>
        <v>0</v>
      </c>
      <c r="BW62" s="323">
        <f t="shared" ref="BW62:BW64" si="375">SUM(AN62*12.5%)</f>
        <v>0</v>
      </c>
      <c r="BX62" s="323">
        <f t="shared" ref="BX62:BX64" si="376">SUM(AO62*12.5%)</f>
        <v>0</v>
      </c>
      <c r="BY62" s="323">
        <f t="shared" ref="BY62:BY64" si="377">SUM(AP62*12.5%)</f>
        <v>0</v>
      </c>
      <c r="BZ62" s="323">
        <f t="shared" ref="BZ62:BZ64" si="378">SUM(AQ62*12.5%)</f>
        <v>0</v>
      </c>
      <c r="CA62" s="323">
        <f t="shared" ref="CA62:CA64" si="379">SUM(AR62*12.5%)</f>
        <v>0</v>
      </c>
      <c r="CB62" s="55">
        <f t="shared" ref="CB62" si="380">SUM(BP62:CA62)</f>
        <v>0</v>
      </c>
      <c r="CC62" s="323"/>
      <c r="CD62" s="323"/>
      <c r="CE62" s="323"/>
      <c r="CF62" s="323"/>
      <c r="CG62" s="323"/>
      <c r="CH62" s="323"/>
      <c r="CI62" s="323"/>
      <c r="CJ62" s="323"/>
      <c r="CK62" s="323"/>
      <c r="CL62" s="323"/>
      <c r="CM62" s="323"/>
      <c r="CN62" s="323"/>
      <c r="CO62" s="55">
        <f t="shared" ref="CO62:CO64" si="381">SUM(CC62:CN62)</f>
        <v>0</v>
      </c>
      <c r="CP62" s="203"/>
      <c r="CQ62" s="262"/>
      <c r="CR62" s="203"/>
      <c r="CS62" s="203"/>
      <c r="CT62" s="203"/>
      <c r="CU62" s="204"/>
      <c r="CV62" s="204"/>
      <c r="CW62" s="204"/>
      <c r="CX62" s="204"/>
      <c r="CY62" s="204"/>
      <c r="CZ62" s="204"/>
      <c r="DA62" s="204"/>
      <c r="DB62" s="204"/>
      <c r="DC62" s="204"/>
      <c r="DD62" s="204"/>
      <c r="DE62" s="204"/>
    </row>
    <row r="63" spans="1:127" s="205" customFormat="1" ht="24.75" customHeight="1" thickBot="1" x14ac:dyDescent="0.25">
      <c r="A63" s="193">
        <v>5</v>
      </c>
      <c r="B63" s="234" t="s">
        <v>244</v>
      </c>
      <c r="C63" s="304" t="s">
        <v>144</v>
      </c>
      <c r="D63" s="235">
        <v>1</v>
      </c>
      <c r="E63" s="649">
        <v>1</v>
      </c>
      <c r="F63" s="196"/>
      <c r="G63" s="242"/>
      <c r="H63" s="196"/>
      <c r="I63" s="292"/>
      <c r="J63" s="292"/>
      <c r="K63" s="196"/>
      <c r="L63" s="196"/>
      <c r="M63" s="196"/>
      <c r="N63" s="196"/>
      <c r="O63" s="196"/>
      <c r="P63" s="196"/>
      <c r="Q63" s="197">
        <f t="shared" ref="Q63" si="382">SUM(E63:P63)</f>
        <v>1</v>
      </c>
      <c r="R63" s="308" t="s">
        <v>245</v>
      </c>
      <c r="S63" s="237">
        <v>150000</v>
      </c>
      <c r="T63" s="237">
        <v>150000</v>
      </c>
      <c r="U63" s="276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175">
        <f t="shared" ref="AF63" si="383">Q63*S63</f>
        <v>150000</v>
      </c>
      <c r="AG63" s="246">
        <f t="shared" si="340"/>
        <v>150000</v>
      </c>
      <c r="AH63" s="246">
        <f t="shared" si="347"/>
        <v>0</v>
      </c>
      <c r="AI63" s="246">
        <f t="shared" si="348"/>
        <v>0</v>
      </c>
      <c r="AJ63" s="246">
        <f t="shared" si="349"/>
        <v>0</v>
      </c>
      <c r="AK63" s="246">
        <f t="shared" si="350"/>
        <v>0</v>
      </c>
      <c r="AL63" s="246">
        <f t="shared" si="351"/>
        <v>0</v>
      </c>
      <c r="AM63" s="246">
        <f t="shared" si="352"/>
        <v>0</v>
      </c>
      <c r="AN63" s="246">
        <f t="shared" si="353"/>
        <v>0</v>
      </c>
      <c r="AO63" s="246">
        <f t="shared" si="354"/>
        <v>0</v>
      </c>
      <c r="AP63" s="246">
        <f t="shared" si="355"/>
        <v>0</v>
      </c>
      <c r="AQ63" s="246">
        <f t="shared" si="356"/>
        <v>0</v>
      </c>
      <c r="AR63" s="246">
        <f t="shared" si="357"/>
        <v>0</v>
      </c>
      <c r="AS63" s="177">
        <f t="shared" si="358"/>
        <v>150000</v>
      </c>
      <c r="AT63" s="246"/>
      <c r="AU63" s="246"/>
      <c r="AV63" s="246"/>
      <c r="AW63" s="246">
        <f t="shared" si="359"/>
        <v>0</v>
      </c>
      <c r="AX63" s="246">
        <f t="shared" si="360"/>
        <v>0</v>
      </c>
      <c r="AY63" s="246">
        <f t="shared" si="361"/>
        <v>0</v>
      </c>
      <c r="AZ63" s="246">
        <f t="shared" si="362"/>
        <v>0</v>
      </c>
      <c r="BA63" s="246">
        <f t="shared" si="363"/>
        <v>0</v>
      </c>
      <c r="BB63" s="246">
        <f t="shared" si="364"/>
        <v>0</v>
      </c>
      <c r="BC63" s="246">
        <f t="shared" si="365"/>
        <v>0</v>
      </c>
      <c r="BD63" s="246">
        <f t="shared" si="366"/>
        <v>0</v>
      </c>
      <c r="BE63" s="246">
        <f t="shared" si="367"/>
        <v>0</v>
      </c>
      <c r="BF63" s="199">
        <f t="shared" si="368"/>
        <v>0</v>
      </c>
      <c r="BG63" s="178">
        <f t="shared" ref="BG63" si="384">AF63-AS63-BF63</f>
        <v>0</v>
      </c>
      <c r="BH63" s="179">
        <f>S63*D63</f>
        <v>150000</v>
      </c>
      <c r="BI63" s="180">
        <f t="shared" ref="BI63" si="385">BH63-AS63-BF63</f>
        <v>0</v>
      </c>
      <c r="BJ63" s="181">
        <f t="shared" si="369"/>
        <v>1</v>
      </c>
      <c r="BK63" s="285"/>
      <c r="BL63" s="556">
        <f t="shared" ref="BL63:BL64" si="386">SUM(AI63-BR63)</f>
        <v>0</v>
      </c>
      <c r="BM63" s="556">
        <f>SUM(G63*T63)</f>
        <v>0</v>
      </c>
      <c r="BN63" s="567">
        <f t="shared" ref="BN63:BN64" si="387">SUM(BL63-BM63)</f>
        <v>0</v>
      </c>
      <c r="BO63" s="561"/>
      <c r="BP63" s="323"/>
      <c r="BQ63" s="323"/>
      <c r="BR63" s="556">
        <f t="shared" si="370"/>
        <v>0</v>
      </c>
      <c r="BS63" s="323">
        <f t="shared" si="371"/>
        <v>0</v>
      </c>
      <c r="BT63" s="323">
        <f t="shared" si="372"/>
        <v>0</v>
      </c>
      <c r="BU63" s="323">
        <f t="shared" si="373"/>
        <v>0</v>
      </c>
      <c r="BV63" s="323">
        <f t="shared" si="374"/>
        <v>0</v>
      </c>
      <c r="BW63" s="323">
        <f t="shared" si="375"/>
        <v>0</v>
      </c>
      <c r="BX63" s="323">
        <f t="shared" si="376"/>
        <v>0</v>
      </c>
      <c r="BY63" s="323">
        <f t="shared" si="377"/>
        <v>0</v>
      </c>
      <c r="BZ63" s="323">
        <f t="shared" si="378"/>
        <v>0</v>
      </c>
      <c r="CA63" s="323">
        <f t="shared" si="379"/>
        <v>0</v>
      </c>
      <c r="CB63" s="55">
        <f t="shared" ref="CB63:CB64" si="388">SUM(BP63:CA63)</f>
        <v>0</v>
      </c>
      <c r="CC63" s="323"/>
      <c r="CD63" s="323"/>
      <c r="CE63" s="323"/>
      <c r="CF63" s="323"/>
      <c r="CG63" s="323"/>
      <c r="CH63" s="323"/>
      <c r="CI63" s="323"/>
      <c r="CJ63" s="323"/>
      <c r="CK63" s="323"/>
      <c r="CL63" s="323"/>
      <c r="CM63" s="323"/>
      <c r="CN63" s="323"/>
      <c r="CO63" s="55">
        <f t="shared" si="381"/>
        <v>0</v>
      </c>
      <c r="CP63" s="203"/>
      <c r="CQ63" s="262"/>
      <c r="CR63" s="203"/>
      <c r="CS63" s="203"/>
      <c r="CT63" s="203"/>
      <c r="CU63" s="204"/>
      <c r="CV63" s="204"/>
      <c r="CW63" s="204"/>
      <c r="CX63" s="204"/>
      <c r="CY63" s="204"/>
      <c r="CZ63" s="204"/>
      <c r="DA63" s="204"/>
      <c r="DB63" s="204"/>
      <c r="DC63" s="204"/>
      <c r="DD63" s="204"/>
      <c r="DE63" s="204"/>
    </row>
    <row r="64" spans="1:127" s="184" customFormat="1" ht="24.75" customHeight="1" thickBot="1" x14ac:dyDescent="0.25">
      <c r="A64" s="208"/>
      <c r="B64" s="209" t="s">
        <v>4</v>
      </c>
      <c r="C64" s="209"/>
      <c r="D64" s="210"/>
      <c r="E64" s="211"/>
      <c r="F64" s="211"/>
      <c r="G64" s="243"/>
      <c r="H64" s="211"/>
      <c r="I64" s="293"/>
      <c r="J64" s="293"/>
      <c r="K64" s="211"/>
      <c r="L64" s="211"/>
      <c r="M64" s="211"/>
      <c r="N64" s="211"/>
      <c r="O64" s="211"/>
      <c r="P64" s="211"/>
      <c r="Q64" s="212"/>
      <c r="R64" s="213"/>
      <c r="S64" s="214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6">
        <f>SUM(AF59:AF63)</f>
        <v>407100</v>
      </c>
      <c r="AG64" s="688">
        <f>SUM(AG59:AG63)</f>
        <v>407000</v>
      </c>
      <c r="AH64" s="216">
        <f t="shared" ref="AH64:BF64" si="389">SUM(AH62:AH63)</f>
        <v>0</v>
      </c>
      <c r="AI64" s="216">
        <f t="shared" si="389"/>
        <v>0</v>
      </c>
      <c r="AJ64" s="216">
        <f t="shared" si="389"/>
        <v>0</v>
      </c>
      <c r="AK64" s="216">
        <f t="shared" si="389"/>
        <v>0</v>
      </c>
      <c r="AL64" s="216">
        <f t="shared" si="389"/>
        <v>0</v>
      </c>
      <c r="AM64" s="216">
        <f t="shared" si="389"/>
        <v>0</v>
      </c>
      <c r="AN64" s="216">
        <f t="shared" si="389"/>
        <v>0</v>
      </c>
      <c r="AO64" s="216">
        <f t="shared" si="389"/>
        <v>0</v>
      </c>
      <c r="AP64" s="216">
        <f t="shared" si="389"/>
        <v>0</v>
      </c>
      <c r="AQ64" s="216">
        <f t="shared" si="389"/>
        <v>0</v>
      </c>
      <c r="AR64" s="216">
        <f t="shared" si="389"/>
        <v>0</v>
      </c>
      <c r="AS64" s="688">
        <f>SUM(AS59:AS63)</f>
        <v>407000</v>
      </c>
      <c r="AT64" s="216">
        <f t="shared" si="389"/>
        <v>0</v>
      </c>
      <c r="AU64" s="216">
        <f t="shared" si="389"/>
        <v>0</v>
      </c>
      <c r="AV64" s="216">
        <f t="shared" si="389"/>
        <v>0</v>
      </c>
      <c r="AW64" s="216">
        <f t="shared" si="389"/>
        <v>0</v>
      </c>
      <c r="AX64" s="216">
        <f t="shared" si="389"/>
        <v>0</v>
      </c>
      <c r="AY64" s="216">
        <f t="shared" si="389"/>
        <v>0</v>
      </c>
      <c r="AZ64" s="216">
        <f t="shared" si="389"/>
        <v>0</v>
      </c>
      <c r="BA64" s="216">
        <f t="shared" si="389"/>
        <v>0</v>
      </c>
      <c r="BB64" s="216">
        <f t="shared" si="389"/>
        <v>0</v>
      </c>
      <c r="BC64" s="216">
        <f t="shared" si="389"/>
        <v>0</v>
      </c>
      <c r="BD64" s="216">
        <f t="shared" si="389"/>
        <v>0</v>
      </c>
      <c r="BE64" s="216">
        <f t="shared" si="389"/>
        <v>0</v>
      </c>
      <c r="BF64" s="216">
        <f t="shared" si="389"/>
        <v>0</v>
      </c>
      <c r="BG64" s="217">
        <f>SUM(BG59:BG63)</f>
        <v>100</v>
      </c>
      <c r="BH64" s="217">
        <f t="shared" ref="BH64:BI64" si="390">SUM(BH59:BH63)</f>
        <v>407100</v>
      </c>
      <c r="BI64" s="217">
        <f t="shared" si="390"/>
        <v>100</v>
      </c>
      <c r="BJ64" s="182">
        <f>SUM(BJ59:BJ63)/5</f>
        <v>1</v>
      </c>
      <c r="BK64" s="286"/>
      <c r="BL64" s="556">
        <f t="shared" si="386"/>
        <v>0</v>
      </c>
      <c r="BM64" s="556">
        <f t="shared" ref="BM64" si="391">SUM(G64*T64)</f>
        <v>0</v>
      </c>
      <c r="BN64" s="567">
        <f t="shared" si="387"/>
        <v>0</v>
      </c>
      <c r="BO64" s="561"/>
      <c r="BP64" s="323"/>
      <c r="BQ64" s="323"/>
      <c r="BR64" s="556">
        <f t="shared" si="370"/>
        <v>0</v>
      </c>
      <c r="BS64" s="323">
        <f t="shared" si="371"/>
        <v>0</v>
      </c>
      <c r="BT64" s="323">
        <f t="shared" si="372"/>
        <v>0</v>
      </c>
      <c r="BU64" s="323">
        <f t="shared" si="373"/>
        <v>0</v>
      </c>
      <c r="BV64" s="323">
        <f t="shared" si="374"/>
        <v>0</v>
      </c>
      <c r="BW64" s="323">
        <f t="shared" si="375"/>
        <v>0</v>
      </c>
      <c r="BX64" s="323">
        <f t="shared" si="376"/>
        <v>0</v>
      </c>
      <c r="BY64" s="323">
        <f t="shared" si="377"/>
        <v>0</v>
      </c>
      <c r="BZ64" s="323">
        <f t="shared" si="378"/>
        <v>0</v>
      </c>
      <c r="CA64" s="323">
        <f t="shared" si="379"/>
        <v>0</v>
      </c>
      <c r="CB64" s="55">
        <f t="shared" si="388"/>
        <v>0</v>
      </c>
      <c r="CC64" s="323"/>
      <c r="CD64" s="323"/>
      <c r="CE64" s="323"/>
      <c r="CF64" s="323"/>
      <c r="CG64" s="323"/>
      <c r="CH64" s="323"/>
      <c r="CI64" s="323"/>
      <c r="CJ64" s="323"/>
      <c r="CK64" s="323"/>
      <c r="CL64" s="323"/>
      <c r="CM64" s="323"/>
      <c r="CN64" s="323"/>
      <c r="CO64" s="55">
        <f t="shared" si="381"/>
        <v>0</v>
      </c>
      <c r="CP64" s="218"/>
      <c r="CQ64" s="264"/>
      <c r="CR64" s="218"/>
      <c r="CS64" s="218"/>
      <c r="CT64" s="218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</row>
    <row r="65" spans="1:127" s="167" customFormat="1" ht="24.75" customHeight="1" x14ac:dyDescent="0.2">
      <c r="A65" s="185"/>
      <c r="D65" s="185"/>
      <c r="E65" s="185"/>
      <c r="F65" s="185"/>
      <c r="G65" s="241"/>
      <c r="H65" s="185"/>
      <c r="I65" s="291"/>
      <c r="J65" s="291"/>
      <c r="K65" s="185"/>
      <c r="L65" s="185"/>
      <c r="M65" s="185"/>
      <c r="N65" s="185"/>
      <c r="O65" s="185"/>
      <c r="P65" s="185"/>
      <c r="Q65" s="185"/>
      <c r="R65" s="185"/>
      <c r="AH65" s="232"/>
      <c r="AS65" s="183"/>
      <c r="AT65" s="233">
        <f>SUM(AG52+AT52)</f>
        <v>20292000</v>
      </c>
      <c r="AU65" s="233">
        <f t="shared" ref="AU65" si="392">SUM(AH52+AU52)</f>
        <v>0</v>
      </c>
      <c r="AV65" s="233">
        <f t="shared" ref="AV65" si="393">SUM(AI52+AV52)</f>
        <v>0</v>
      </c>
      <c r="AW65" s="233">
        <f t="shared" ref="AW65" si="394">SUM(AJ52+AW52)</f>
        <v>0</v>
      </c>
      <c r="AX65" s="233">
        <f t="shared" ref="AX65" si="395">SUM(AK52+AX52)</f>
        <v>0</v>
      </c>
      <c r="AY65" s="233">
        <f t="shared" ref="AY65" si="396">SUM(AL52+AY52)</f>
        <v>0</v>
      </c>
      <c r="AZ65" s="233">
        <f t="shared" ref="AZ65" si="397">SUM(AM52+AZ52)</f>
        <v>0</v>
      </c>
      <c r="BA65" s="233">
        <f t="shared" ref="BA65" si="398">SUM(AN52+BA52)</f>
        <v>0</v>
      </c>
      <c r="BB65" s="233">
        <f t="shared" ref="BB65" si="399">SUM(AO52+BB52)</f>
        <v>0</v>
      </c>
      <c r="BC65" s="233">
        <f t="shared" ref="BC65" si="400">SUM(AP52+BC52)</f>
        <v>0</v>
      </c>
      <c r="BD65" s="233">
        <f t="shared" ref="BD65" si="401">SUM(AQ52+BD52)</f>
        <v>0</v>
      </c>
      <c r="BE65" s="233">
        <f t="shared" ref="BE65" si="402">SUM(AR52+BE52)</f>
        <v>0</v>
      </c>
      <c r="BF65" s="220">
        <f>SUM(AS64+BF64)</f>
        <v>407000</v>
      </c>
      <c r="BG65" s="186">
        <f>AF64-AS64-BF64</f>
        <v>100</v>
      </c>
      <c r="BH65" s="221">
        <f>SUM(BI64+AS64+BF64)</f>
        <v>407100</v>
      </c>
      <c r="BI65" s="187">
        <f>SUM(BG64)</f>
        <v>100</v>
      </c>
      <c r="BJ65" s="183" t="s">
        <v>29</v>
      </c>
      <c r="BK65" s="287"/>
      <c r="BL65" s="164"/>
      <c r="BM65" s="165"/>
      <c r="BN65" s="250"/>
      <c r="BO65" s="257"/>
      <c r="BP65" s="250"/>
      <c r="BQ65" s="250"/>
      <c r="BR65" s="250"/>
      <c r="BS65" s="257"/>
      <c r="BT65" s="250"/>
      <c r="BU65" s="250"/>
      <c r="BV65" s="250"/>
      <c r="BW65" s="257"/>
      <c r="BX65" s="250"/>
      <c r="BY65" s="250"/>
      <c r="BZ65" s="250"/>
      <c r="CA65" s="257"/>
      <c r="CB65" s="250"/>
      <c r="CC65" s="250"/>
      <c r="CD65" s="250"/>
      <c r="CE65" s="257"/>
      <c r="CF65" s="250"/>
      <c r="CG65" s="250"/>
      <c r="CH65" s="250"/>
      <c r="CI65" s="257"/>
      <c r="CJ65" s="250"/>
      <c r="CK65" s="250"/>
      <c r="CL65" s="250"/>
      <c r="CM65" s="257"/>
      <c r="CN65" s="250"/>
      <c r="CO65" s="250"/>
      <c r="CP65" s="250"/>
      <c r="CQ65" s="257"/>
      <c r="CR65" s="250"/>
      <c r="CS65" s="250"/>
      <c r="CT65" s="250"/>
      <c r="CU65" s="165"/>
      <c r="CV65" s="165"/>
      <c r="CW65" s="165"/>
      <c r="CX65" s="165"/>
      <c r="CY65" s="165"/>
      <c r="CZ65" s="165"/>
      <c r="DA65" s="165"/>
      <c r="DB65" s="165"/>
      <c r="DC65" s="165"/>
      <c r="DD65" s="165"/>
      <c r="DE65" s="165"/>
      <c r="DF65" s="165"/>
    </row>
    <row r="66" spans="1:127" s="174" customFormat="1" x14ac:dyDescent="0.2">
      <c r="A66" s="190"/>
      <c r="B66" s="172"/>
      <c r="D66" s="169"/>
      <c r="E66" s="169"/>
      <c r="F66" s="169"/>
      <c r="G66" s="244"/>
      <c r="H66" s="169"/>
      <c r="I66" s="295"/>
      <c r="J66" s="295"/>
      <c r="K66" s="169"/>
      <c r="L66" s="169"/>
      <c r="M66" s="169"/>
      <c r="N66" s="169"/>
      <c r="O66" s="169"/>
      <c r="P66" s="169"/>
      <c r="Q66" s="185"/>
      <c r="R66" s="190"/>
      <c r="AS66" s="161"/>
      <c r="BF66" s="233">
        <f>SUM(AT66:BE66)</f>
        <v>0</v>
      </c>
      <c r="BG66" s="183"/>
      <c r="BH66" s="188"/>
      <c r="BI66" s="189">
        <f>SUM(BI64-BI65)</f>
        <v>0</v>
      </c>
      <c r="BJ66" s="183" t="s">
        <v>28</v>
      </c>
      <c r="BK66" s="288"/>
      <c r="BL66" s="164"/>
      <c r="BM66" s="173"/>
      <c r="BN66" s="252"/>
      <c r="BO66" s="259"/>
      <c r="BP66" s="252"/>
      <c r="BQ66" s="252"/>
      <c r="BR66" s="252"/>
      <c r="BS66" s="259"/>
      <c r="BT66" s="252"/>
      <c r="BU66" s="252"/>
      <c r="BV66" s="252"/>
      <c r="BW66" s="259"/>
      <c r="BX66" s="252"/>
      <c r="BY66" s="252"/>
      <c r="BZ66" s="252"/>
      <c r="CA66" s="259"/>
      <c r="CB66" s="252"/>
      <c r="CC66" s="252"/>
      <c r="CD66" s="252"/>
      <c r="CE66" s="259"/>
      <c r="CF66" s="252"/>
      <c r="CG66" s="252"/>
      <c r="CH66" s="252"/>
      <c r="CI66" s="259"/>
      <c r="CJ66" s="252"/>
      <c r="CK66" s="252"/>
      <c r="CL66" s="252"/>
      <c r="CM66" s="259"/>
      <c r="CN66" s="252"/>
      <c r="CO66" s="252"/>
      <c r="CP66" s="252"/>
      <c r="CQ66" s="259"/>
      <c r="CR66" s="252"/>
      <c r="CS66" s="252"/>
      <c r="CT66" s="255"/>
      <c r="CU66" s="173"/>
      <c r="CV66" s="173"/>
      <c r="CW66" s="173"/>
      <c r="CX66" s="173"/>
      <c r="CY66" s="173"/>
      <c r="CZ66" s="173"/>
      <c r="DA66" s="173"/>
      <c r="DB66" s="173"/>
      <c r="DC66" s="173"/>
      <c r="DD66" s="173"/>
      <c r="DE66" s="173"/>
      <c r="DF66" s="173"/>
    </row>
    <row r="67" spans="1:127" s="167" customFormat="1" ht="24.75" customHeight="1" x14ac:dyDescent="0.2">
      <c r="A67" s="827" t="s">
        <v>7</v>
      </c>
      <c r="B67" s="828"/>
      <c r="C67" s="151" t="s">
        <v>53</v>
      </c>
      <c r="D67" s="152"/>
      <c r="E67" s="152"/>
      <c r="F67" s="152"/>
      <c r="G67" s="192"/>
      <c r="H67" s="152"/>
      <c r="I67" s="290"/>
      <c r="J67" s="290"/>
      <c r="K67" s="152"/>
      <c r="L67" s="152"/>
      <c r="M67" s="152"/>
      <c r="N67" s="152"/>
      <c r="O67" s="152"/>
      <c r="P67" s="152"/>
      <c r="Q67" s="152"/>
      <c r="R67" s="152"/>
      <c r="S67" s="152"/>
      <c r="T67" s="153"/>
      <c r="U67" s="153"/>
      <c r="V67" s="268">
        <f>U76/2</f>
        <v>1275500</v>
      </c>
      <c r="W67" s="153"/>
      <c r="X67" s="153"/>
      <c r="Y67" s="153"/>
      <c r="Z67" s="153"/>
      <c r="AA67" s="153"/>
      <c r="AB67" s="153"/>
      <c r="AC67" s="153"/>
      <c r="AD67" s="153"/>
      <c r="AE67" s="153"/>
      <c r="AF67" s="152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4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233"/>
      <c r="BG67" s="154"/>
      <c r="BH67" s="150"/>
      <c r="BI67" s="155"/>
      <c r="BJ67" s="152"/>
      <c r="BK67" s="192"/>
      <c r="BL67" s="192"/>
      <c r="BM67" s="153"/>
      <c r="BN67" s="192"/>
      <c r="BO67" s="258"/>
      <c r="BP67" s="192"/>
      <c r="BQ67" s="156"/>
      <c r="BR67" s="192"/>
      <c r="BS67" s="258"/>
      <c r="BT67" s="192"/>
      <c r="BU67" s="156"/>
      <c r="BV67" s="192"/>
      <c r="BW67" s="258"/>
      <c r="BX67" s="192"/>
      <c r="BY67" s="156"/>
      <c r="BZ67" s="192"/>
      <c r="CA67" s="258"/>
      <c r="CB67" s="192"/>
      <c r="CC67" s="156"/>
      <c r="CD67" s="192"/>
      <c r="CE67" s="258"/>
      <c r="CF67" s="192"/>
      <c r="CG67" s="156"/>
      <c r="CH67" s="192"/>
      <c r="CI67" s="258"/>
      <c r="CJ67" s="192"/>
      <c r="CK67" s="156"/>
      <c r="CL67" s="192"/>
      <c r="CM67" s="258"/>
      <c r="CN67" s="192"/>
      <c r="CO67" s="156"/>
      <c r="CP67" s="192"/>
      <c r="CQ67" s="258"/>
      <c r="CR67" s="192"/>
      <c r="CS67" s="156"/>
      <c r="CT67" s="192"/>
      <c r="CU67" s="153"/>
      <c r="CV67" s="153"/>
      <c r="CW67" s="153"/>
      <c r="CX67" s="153"/>
      <c r="CY67" s="154"/>
      <c r="CZ67" s="154"/>
      <c r="DA67" s="154"/>
      <c r="DB67" s="150"/>
      <c r="DC67" s="155"/>
      <c r="DD67" s="154"/>
      <c r="DE67" s="154"/>
      <c r="DF67" s="165"/>
      <c r="DG67" s="165"/>
      <c r="DH67" s="165"/>
      <c r="DI67" s="165"/>
      <c r="DJ67" s="165"/>
      <c r="DK67" s="166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</row>
    <row r="68" spans="1:127" s="169" customFormat="1" ht="48.75" customHeight="1" x14ac:dyDescent="0.2">
      <c r="A68" s="829" t="s">
        <v>8</v>
      </c>
      <c r="B68" s="816" t="s">
        <v>9</v>
      </c>
      <c r="C68" s="816" t="s">
        <v>77</v>
      </c>
      <c r="D68" s="832" t="s">
        <v>10</v>
      </c>
      <c r="E68" s="832"/>
      <c r="F68" s="832"/>
      <c r="G68" s="832"/>
      <c r="H68" s="832"/>
      <c r="I68" s="832"/>
      <c r="J68" s="832"/>
      <c r="K68" s="832"/>
      <c r="L68" s="832"/>
      <c r="M68" s="832"/>
      <c r="N68" s="832"/>
      <c r="O68" s="832"/>
      <c r="P68" s="832"/>
      <c r="Q68" s="832"/>
      <c r="R68" s="816" t="s">
        <v>20</v>
      </c>
      <c r="S68" s="833" t="s">
        <v>17</v>
      </c>
      <c r="T68" s="834"/>
      <c r="U68" s="834"/>
      <c r="V68" s="834"/>
      <c r="W68" s="834"/>
      <c r="X68" s="834"/>
      <c r="Y68" s="834"/>
      <c r="Z68" s="834"/>
      <c r="AA68" s="834"/>
      <c r="AB68" s="834"/>
      <c r="AC68" s="834"/>
      <c r="AD68" s="834"/>
      <c r="AE68" s="834"/>
      <c r="AF68" s="835" t="s">
        <v>5</v>
      </c>
      <c r="AG68" s="835"/>
      <c r="AH68" s="835"/>
      <c r="AI68" s="835"/>
      <c r="AJ68" s="835"/>
      <c r="AK68" s="835"/>
      <c r="AL68" s="835"/>
      <c r="AM68" s="835"/>
      <c r="AN68" s="835"/>
      <c r="AO68" s="835"/>
      <c r="AP68" s="835"/>
      <c r="AQ68" s="835"/>
      <c r="AR68" s="835"/>
      <c r="AS68" s="835"/>
      <c r="AT68" s="836" t="s">
        <v>32</v>
      </c>
      <c r="AU68" s="837"/>
      <c r="AV68" s="837"/>
      <c r="AW68" s="837"/>
      <c r="AX68" s="837"/>
      <c r="AY68" s="837"/>
      <c r="AZ68" s="837"/>
      <c r="BA68" s="837"/>
      <c r="BB68" s="837"/>
      <c r="BC68" s="837"/>
      <c r="BD68" s="837"/>
      <c r="BE68" s="837"/>
      <c r="BF68" s="838"/>
      <c r="BG68" s="816" t="s">
        <v>29</v>
      </c>
      <c r="BH68" s="816" t="s">
        <v>57</v>
      </c>
      <c r="BI68" s="819" t="s">
        <v>30</v>
      </c>
      <c r="BJ68" s="150"/>
      <c r="BK68" s="283"/>
      <c r="BL68" s="84"/>
      <c r="BM68" s="84"/>
      <c r="BN68" s="84"/>
      <c r="BO68" s="84"/>
      <c r="BP68" s="774" t="s">
        <v>32</v>
      </c>
      <c r="BQ68" s="775"/>
      <c r="BR68" s="775"/>
      <c r="BS68" s="775"/>
      <c r="BT68" s="775"/>
      <c r="BU68" s="775"/>
      <c r="BV68" s="775"/>
      <c r="BW68" s="775"/>
      <c r="BX68" s="775"/>
      <c r="BY68" s="775"/>
      <c r="BZ68" s="775"/>
      <c r="CA68" s="775"/>
      <c r="CB68" s="775"/>
      <c r="CC68" s="775"/>
      <c r="CD68" s="775"/>
      <c r="CE68" s="775"/>
      <c r="CF68" s="775"/>
      <c r="CG68" s="775"/>
      <c r="CH68" s="775"/>
      <c r="CI68" s="775"/>
      <c r="CJ68" s="775"/>
      <c r="CK68" s="775"/>
      <c r="CL68" s="775"/>
      <c r="CM68" s="775"/>
      <c r="CN68" s="775"/>
      <c r="CO68" s="776"/>
      <c r="CP68" s="192"/>
      <c r="CQ68" s="258"/>
      <c r="CR68" s="192"/>
      <c r="CS68" s="192"/>
      <c r="CT68" s="192"/>
      <c r="CU68" s="152"/>
      <c r="CV68" s="152"/>
      <c r="CW68" s="152"/>
      <c r="CX68" s="152"/>
      <c r="CY68" s="152"/>
      <c r="CZ68" s="152"/>
      <c r="DA68" s="152"/>
      <c r="DB68" s="152"/>
      <c r="DC68" s="152"/>
      <c r="DD68" s="168"/>
      <c r="DE68" s="168"/>
    </row>
    <row r="69" spans="1:127" s="169" customFormat="1" ht="48.75" customHeight="1" x14ac:dyDescent="0.2">
      <c r="A69" s="830"/>
      <c r="B69" s="817"/>
      <c r="C69" s="817"/>
      <c r="D69" s="822" t="s">
        <v>18</v>
      </c>
      <c r="E69" s="824" t="s">
        <v>19</v>
      </c>
      <c r="F69" s="825"/>
      <c r="G69" s="825"/>
      <c r="H69" s="825"/>
      <c r="I69" s="825"/>
      <c r="J69" s="825"/>
      <c r="K69" s="825"/>
      <c r="L69" s="825"/>
      <c r="M69" s="825"/>
      <c r="N69" s="825"/>
      <c r="O69" s="825"/>
      <c r="P69" s="825"/>
      <c r="Q69" s="825"/>
      <c r="R69" s="817"/>
      <c r="S69" s="822" t="s">
        <v>18</v>
      </c>
      <c r="T69" s="824" t="s">
        <v>19</v>
      </c>
      <c r="U69" s="825"/>
      <c r="V69" s="825"/>
      <c r="W69" s="825"/>
      <c r="X69" s="825"/>
      <c r="Y69" s="825"/>
      <c r="Z69" s="825"/>
      <c r="AA69" s="825"/>
      <c r="AB69" s="825"/>
      <c r="AC69" s="825"/>
      <c r="AD69" s="825"/>
      <c r="AE69" s="825"/>
      <c r="AF69" s="822" t="s">
        <v>18</v>
      </c>
      <c r="AG69" s="824" t="s">
        <v>19</v>
      </c>
      <c r="AH69" s="825"/>
      <c r="AI69" s="825"/>
      <c r="AJ69" s="825"/>
      <c r="AK69" s="825"/>
      <c r="AL69" s="825"/>
      <c r="AM69" s="825"/>
      <c r="AN69" s="825"/>
      <c r="AO69" s="825"/>
      <c r="AP69" s="825"/>
      <c r="AQ69" s="825"/>
      <c r="AR69" s="825"/>
      <c r="AS69" s="826"/>
      <c r="AT69" s="839"/>
      <c r="AU69" s="840"/>
      <c r="AV69" s="840"/>
      <c r="AW69" s="840"/>
      <c r="AX69" s="840"/>
      <c r="AY69" s="840"/>
      <c r="AZ69" s="840"/>
      <c r="BA69" s="840"/>
      <c r="BB69" s="840"/>
      <c r="BC69" s="840"/>
      <c r="BD69" s="840"/>
      <c r="BE69" s="840"/>
      <c r="BF69" s="841"/>
      <c r="BG69" s="817"/>
      <c r="BH69" s="817"/>
      <c r="BI69" s="820"/>
      <c r="BJ69" s="150"/>
      <c r="BK69" s="283"/>
      <c r="BL69" s="777">
        <f>SUM(BL86/60)</f>
        <v>0</v>
      </c>
      <c r="BM69" s="777"/>
      <c r="BN69" s="777"/>
      <c r="BO69" s="17"/>
      <c r="BP69" s="778" t="s">
        <v>230</v>
      </c>
      <c r="BQ69" s="779"/>
      <c r="BR69" s="779"/>
      <c r="BS69" s="779"/>
      <c r="BT69" s="779"/>
      <c r="BU69" s="779"/>
      <c r="BV69" s="779"/>
      <c r="BW69" s="779"/>
      <c r="BX69" s="779"/>
      <c r="BY69" s="779"/>
      <c r="BZ69" s="779"/>
      <c r="CA69" s="779"/>
      <c r="CB69" s="780"/>
      <c r="CC69" s="781" t="s">
        <v>231</v>
      </c>
      <c r="CD69" s="782"/>
      <c r="CE69" s="782"/>
      <c r="CF69" s="782"/>
      <c r="CG69" s="782"/>
      <c r="CH69" s="782"/>
      <c r="CI69" s="782"/>
      <c r="CJ69" s="782"/>
      <c r="CK69" s="782"/>
      <c r="CL69" s="782"/>
      <c r="CM69" s="782"/>
      <c r="CN69" s="782"/>
      <c r="CO69" s="783"/>
      <c r="CP69" s="192"/>
      <c r="CQ69" s="258"/>
      <c r="CR69" s="192"/>
      <c r="CS69" s="192"/>
      <c r="CT69" s="192"/>
      <c r="CU69" s="152"/>
      <c r="CV69" s="152"/>
      <c r="CW69" s="152"/>
      <c r="CX69" s="152"/>
      <c r="CY69" s="152"/>
      <c r="CZ69" s="152"/>
      <c r="DA69" s="152"/>
      <c r="DB69" s="152"/>
      <c r="DC69" s="152"/>
      <c r="DD69" s="168"/>
      <c r="DE69" s="168"/>
    </row>
    <row r="70" spans="1:127" s="172" customFormat="1" ht="28.5" customHeight="1" x14ac:dyDescent="0.2">
      <c r="A70" s="831"/>
      <c r="B70" s="818"/>
      <c r="C70" s="818"/>
      <c r="D70" s="823"/>
      <c r="E70" s="170">
        <v>1</v>
      </c>
      <c r="F70" s="170">
        <v>2</v>
      </c>
      <c r="G70" s="240">
        <v>3</v>
      </c>
      <c r="H70" s="170">
        <v>4</v>
      </c>
      <c r="I70" s="170">
        <v>5</v>
      </c>
      <c r="J70" s="170">
        <v>6</v>
      </c>
      <c r="K70" s="170">
        <v>7</v>
      </c>
      <c r="L70" s="170">
        <v>8</v>
      </c>
      <c r="M70" s="170">
        <v>9</v>
      </c>
      <c r="N70" s="170">
        <v>10</v>
      </c>
      <c r="O70" s="170">
        <v>11</v>
      </c>
      <c r="P70" s="170">
        <v>12</v>
      </c>
      <c r="Q70" s="170" t="s">
        <v>21</v>
      </c>
      <c r="R70" s="818"/>
      <c r="S70" s="823"/>
      <c r="T70" s="170">
        <v>1</v>
      </c>
      <c r="U70" s="170">
        <v>2</v>
      </c>
      <c r="V70" s="170">
        <v>3</v>
      </c>
      <c r="W70" s="170">
        <v>4</v>
      </c>
      <c r="X70" s="170">
        <v>5</v>
      </c>
      <c r="Y70" s="170">
        <v>6</v>
      </c>
      <c r="Z70" s="170">
        <v>7</v>
      </c>
      <c r="AA70" s="170">
        <v>8</v>
      </c>
      <c r="AB70" s="170">
        <v>9</v>
      </c>
      <c r="AC70" s="170">
        <v>10</v>
      </c>
      <c r="AD70" s="170">
        <v>11</v>
      </c>
      <c r="AE70" s="170">
        <v>12</v>
      </c>
      <c r="AF70" s="823"/>
      <c r="AG70" s="170">
        <v>1</v>
      </c>
      <c r="AH70" s="170">
        <v>2</v>
      </c>
      <c r="AI70" s="170">
        <v>3</v>
      </c>
      <c r="AJ70" s="170">
        <v>4</v>
      </c>
      <c r="AK70" s="170">
        <v>5</v>
      </c>
      <c r="AL70" s="170">
        <v>6</v>
      </c>
      <c r="AM70" s="170">
        <v>7</v>
      </c>
      <c r="AN70" s="170">
        <v>8</v>
      </c>
      <c r="AO70" s="170">
        <v>9</v>
      </c>
      <c r="AP70" s="170">
        <v>10</v>
      </c>
      <c r="AQ70" s="170">
        <v>11</v>
      </c>
      <c r="AR70" s="170">
        <v>12</v>
      </c>
      <c r="AS70" s="170" t="s">
        <v>13</v>
      </c>
      <c r="AT70" s="171">
        <v>1</v>
      </c>
      <c r="AU70" s="171">
        <v>2</v>
      </c>
      <c r="AV70" s="171">
        <v>3</v>
      </c>
      <c r="AW70" s="171">
        <v>4</v>
      </c>
      <c r="AX70" s="171">
        <v>5</v>
      </c>
      <c r="AY70" s="171">
        <v>6</v>
      </c>
      <c r="AZ70" s="171">
        <v>7</v>
      </c>
      <c r="BA70" s="171">
        <v>8</v>
      </c>
      <c r="BB70" s="171">
        <v>9</v>
      </c>
      <c r="BC70" s="171">
        <v>10</v>
      </c>
      <c r="BD70" s="171">
        <v>11</v>
      </c>
      <c r="BE70" s="171">
        <v>12</v>
      </c>
      <c r="BF70" s="170" t="s">
        <v>13</v>
      </c>
      <c r="BG70" s="818"/>
      <c r="BH70" s="818"/>
      <c r="BI70" s="821"/>
      <c r="BK70" s="284"/>
      <c r="BL70" s="784" t="s">
        <v>19</v>
      </c>
      <c r="BM70" s="785"/>
      <c r="BN70" s="786"/>
      <c r="BO70" s="337"/>
      <c r="BP70" s="111">
        <v>1</v>
      </c>
      <c r="BQ70" s="111">
        <v>2</v>
      </c>
      <c r="BR70" s="111">
        <v>3</v>
      </c>
      <c r="BS70" s="111">
        <v>4</v>
      </c>
      <c r="BT70" s="111">
        <v>5</v>
      </c>
      <c r="BU70" s="111">
        <v>6</v>
      </c>
      <c r="BV70" s="111">
        <v>7</v>
      </c>
      <c r="BW70" s="111">
        <v>8</v>
      </c>
      <c r="BX70" s="111">
        <v>9</v>
      </c>
      <c r="BY70" s="111">
        <v>10</v>
      </c>
      <c r="BZ70" s="111">
        <v>11</v>
      </c>
      <c r="CA70" s="111">
        <v>12</v>
      </c>
      <c r="CB70" s="20" t="s">
        <v>13</v>
      </c>
      <c r="CC70" s="111">
        <v>1</v>
      </c>
      <c r="CD70" s="111">
        <v>2</v>
      </c>
      <c r="CE70" s="111">
        <v>3</v>
      </c>
      <c r="CF70" s="111">
        <v>4</v>
      </c>
      <c r="CG70" s="111">
        <v>5</v>
      </c>
      <c r="CH70" s="111">
        <v>6</v>
      </c>
      <c r="CI70" s="111">
        <v>7</v>
      </c>
      <c r="CJ70" s="111">
        <v>8</v>
      </c>
      <c r="CK70" s="111">
        <v>9</v>
      </c>
      <c r="CL70" s="111">
        <v>10</v>
      </c>
      <c r="CM70" s="111">
        <v>11</v>
      </c>
      <c r="CN70" s="111">
        <v>12</v>
      </c>
      <c r="CO70" s="20" t="s">
        <v>13</v>
      </c>
      <c r="CP70" s="253"/>
      <c r="CQ70" s="261"/>
      <c r="CR70" s="253"/>
      <c r="CS70" s="253"/>
      <c r="CT70" s="253"/>
      <c r="CU70" s="239"/>
      <c r="CV70" s="239"/>
      <c r="CW70" s="239"/>
      <c r="CX70" s="239"/>
      <c r="CY70" s="239"/>
      <c r="CZ70" s="239"/>
      <c r="DA70" s="239"/>
      <c r="DB70" s="239"/>
      <c r="DC70" s="239"/>
      <c r="DD70" s="239"/>
      <c r="DE70" s="239"/>
    </row>
    <row r="71" spans="1:127" s="205" customFormat="1" ht="24.75" customHeight="1" x14ac:dyDescent="0.2">
      <c r="A71" s="193">
        <v>1</v>
      </c>
      <c r="B71" s="234" t="s">
        <v>247</v>
      </c>
      <c r="C71" s="304" t="s">
        <v>246</v>
      </c>
      <c r="D71" s="235">
        <v>15</v>
      </c>
      <c r="E71" s="235">
        <v>0</v>
      </c>
      <c r="F71" s="709"/>
      <c r="G71" s="242"/>
      <c r="H71" s="196"/>
      <c r="I71" s="196"/>
      <c r="J71" s="196"/>
      <c r="K71" s="196"/>
      <c r="L71" s="196"/>
      <c r="M71" s="196"/>
      <c r="N71" s="196"/>
      <c r="O71" s="196"/>
      <c r="P71" s="196"/>
      <c r="Q71" s="303">
        <f>SUM(E71:P71)</f>
        <v>0</v>
      </c>
      <c r="R71" s="308" t="s">
        <v>35</v>
      </c>
      <c r="S71" s="237">
        <v>100000</v>
      </c>
      <c r="T71" s="237"/>
      <c r="U71" s="206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175">
        <f>Q71*S71</f>
        <v>0</v>
      </c>
      <c r="AG71" s="246">
        <f>T71*E71</f>
        <v>0</v>
      </c>
      <c r="AH71" s="246">
        <f t="shared" ref="AH71:AH88" si="403">U71*F71</f>
        <v>0</v>
      </c>
      <c r="AI71" s="246">
        <f t="shared" ref="AI71:AI88" si="404">V71*G71</f>
        <v>0</v>
      </c>
      <c r="AJ71" s="246">
        <f t="shared" ref="AJ71:AJ88" si="405">W71*H71</f>
        <v>0</v>
      </c>
      <c r="AK71" s="246">
        <f t="shared" ref="AK71:AK88" si="406">X71*I71</f>
        <v>0</v>
      </c>
      <c r="AL71" s="246">
        <f t="shared" ref="AL71:AL88" si="407">Y71*J71</f>
        <v>0</v>
      </c>
      <c r="AM71" s="246">
        <f t="shared" ref="AM71:AM88" si="408">Z71*K71</f>
        <v>0</v>
      </c>
      <c r="AN71" s="246">
        <f t="shared" ref="AN71:AN88" si="409">AA71*L71</f>
        <v>0</v>
      </c>
      <c r="AO71" s="246">
        <f t="shared" ref="AO71:AO88" si="410">AB71*M71</f>
        <v>0</v>
      </c>
      <c r="AP71" s="246">
        <f t="shared" ref="AP71:AP88" si="411">AC71*N71</f>
        <v>0</v>
      </c>
      <c r="AQ71" s="246">
        <f t="shared" ref="AQ71:AQ88" si="412">AD71*O71</f>
        <v>0</v>
      </c>
      <c r="AR71" s="246">
        <f t="shared" ref="AR71:AR88" si="413">AE71*P71</f>
        <v>0</v>
      </c>
      <c r="AS71" s="247">
        <f t="shared" ref="AS71:AS88" si="414">SUM(AG71:AR71)</f>
        <v>0</v>
      </c>
      <c r="AT71" s="246"/>
      <c r="AU71" s="246"/>
      <c r="AV71" s="246"/>
      <c r="AW71" s="246">
        <f t="shared" ref="AW71:AW88" si="415">SUM(AJ71*14%)</f>
        <v>0</v>
      </c>
      <c r="AX71" s="246">
        <f t="shared" ref="AX71:AX88" si="416">SUM(AK71*14%)</f>
        <v>0</v>
      </c>
      <c r="AY71" s="246">
        <f t="shared" ref="AY71:AY88" si="417">SUM(AL71*14%)</f>
        <v>0</v>
      </c>
      <c r="AZ71" s="246">
        <f t="shared" ref="AZ71:AZ88" si="418">SUM(AM71*14%)</f>
        <v>0</v>
      </c>
      <c r="BA71" s="246">
        <f t="shared" ref="BA71:BA88" si="419">SUM(AN71*14%)</f>
        <v>0</v>
      </c>
      <c r="BB71" s="246">
        <f t="shared" ref="BB71:BB88" si="420">SUM(AO71*14%)</f>
        <v>0</v>
      </c>
      <c r="BC71" s="246">
        <f t="shared" ref="BC71:BC88" si="421">SUM(AP71*14%)</f>
        <v>0</v>
      </c>
      <c r="BD71" s="246">
        <f t="shared" ref="BD71:BD88" si="422">SUM(AQ71*14%)</f>
        <v>0</v>
      </c>
      <c r="BE71" s="246">
        <f t="shared" ref="BE71:BE88" si="423">SUM(AR71*14%)</f>
        <v>0</v>
      </c>
      <c r="BF71" s="222">
        <f t="shared" ref="BF71:BF88" si="424">SUM(AT71:BE71)</f>
        <v>0</v>
      </c>
      <c r="BG71" s="178">
        <f t="shared" ref="BG71:BG88" si="425">AF71-AS71-BF71</f>
        <v>0</v>
      </c>
      <c r="BH71" s="179">
        <f>S71*D71</f>
        <v>1500000</v>
      </c>
      <c r="BI71" s="180">
        <f>BH71-BH72-BH73</f>
        <v>0</v>
      </c>
      <c r="BJ71" s="181">
        <f t="shared" ref="BJ71:BJ88" si="426">SUM(Q71/D71)</f>
        <v>0</v>
      </c>
      <c r="BK71" s="285"/>
      <c r="BL71" s="323"/>
      <c r="BM71" s="323"/>
      <c r="BN71" s="582"/>
      <c r="BO71" s="561"/>
      <c r="BP71" s="323"/>
      <c r="BQ71" s="323"/>
      <c r="BR71" s="323">
        <f t="shared" ref="BR71:BR89" si="427">SUM(AI71*12.5%)</f>
        <v>0</v>
      </c>
      <c r="BS71" s="323">
        <f t="shared" ref="BS71:BS89" si="428">SUM(AJ71*12.5%)</f>
        <v>0</v>
      </c>
      <c r="BT71" s="323">
        <f t="shared" ref="BT71:BT89" si="429">SUM(AK71*12.5%)</f>
        <v>0</v>
      </c>
      <c r="BU71" s="323">
        <f t="shared" ref="BU71:BU89" si="430">SUM(AL71*12.5%)</f>
        <v>0</v>
      </c>
      <c r="BV71" s="323">
        <f t="shared" ref="BV71:BV89" si="431">SUM(AM71*12.5%)</f>
        <v>0</v>
      </c>
      <c r="BW71" s="323">
        <f t="shared" ref="BW71:BW89" si="432">SUM(AN71*12.5%)</f>
        <v>0</v>
      </c>
      <c r="BX71" s="323">
        <f t="shared" ref="BX71:BX89" si="433">SUM(AO71*12.5%)</f>
        <v>0</v>
      </c>
      <c r="BY71" s="323">
        <f t="shared" ref="BY71:BY89" si="434">SUM(AP71*12.5%)</f>
        <v>0</v>
      </c>
      <c r="BZ71" s="323">
        <f t="shared" ref="BZ71:BZ89" si="435">SUM(AQ71*12.5%)</f>
        <v>0</v>
      </c>
      <c r="CA71" s="323">
        <f t="shared" ref="CA71:CA89" si="436">SUM(AR71*12.5%)</f>
        <v>0</v>
      </c>
      <c r="CB71" s="55">
        <f t="shared" ref="CB71" si="437">SUM(BP71:CA71)</f>
        <v>0</v>
      </c>
      <c r="CC71" s="323"/>
      <c r="CD71" s="323"/>
      <c r="CE71" s="323"/>
      <c r="CF71" s="323"/>
      <c r="CG71" s="323"/>
      <c r="CH71" s="323"/>
      <c r="CI71" s="323"/>
      <c r="CJ71" s="323"/>
      <c r="CK71" s="323"/>
      <c r="CL71" s="323"/>
      <c r="CM71" s="323"/>
      <c r="CN71" s="323"/>
      <c r="CO71" s="55">
        <f t="shared" ref="CO71:CO89" si="438">SUM(CC71:CN71)</f>
        <v>0</v>
      </c>
      <c r="CP71" s="203"/>
      <c r="CQ71" s="262"/>
      <c r="CR71" s="203"/>
      <c r="CS71" s="203"/>
      <c r="CT71" s="203"/>
      <c r="CU71" s="204"/>
      <c r="CV71" s="204"/>
      <c r="CW71" s="204"/>
      <c r="CX71" s="204"/>
      <c r="CY71" s="204"/>
      <c r="CZ71" s="204"/>
      <c r="DA71" s="204"/>
      <c r="DB71" s="204"/>
      <c r="DC71" s="204"/>
      <c r="DD71" s="204"/>
      <c r="DE71" s="204"/>
    </row>
    <row r="72" spans="1:127" s="205" customFormat="1" ht="24.75" customHeight="1" x14ac:dyDescent="0.2">
      <c r="A72" s="193"/>
      <c r="B72" s="234" t="s">
        <v>294</v>
      </c>
      <c r="C72" s="304"/>
      <c r="D72" s="235"/>
      <c r="E72" s="235"/>
      <c r="F72" s="709">
        <v>6</v>
      </c>
      <c r="G72" s="242"/>
      <c r="H72" s="196"/>
      <c r="I72" s="196"/>
      <c r="J72" s="196"/>
      <c r="K72" s="196"/>
      <c r="L72" s="196"/>
      <c r="M72" s="196"/>
      <c r="N72" s="196"/>
      <c r="O72" s="196"/>
      <c r="P72" s="196"/>
      <c r="Q72" s="197">
        <f t="shared" ref="Q72:Q73" si="439">SUM(E72:P72)</f>
        <v>6</v>
      </c>
      <c r="R72" s="308" t="s">
        <v>35</v>
      </c>
      <c r="S72" s="237">
        <v>250000</v>
      </c>
      <c r="T72" s="237"/>
      <c r="U72" s="683">
        <v>50000</v>
      </c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175">
        <f t="shared" ref="AF72:AF73" si="440">Q72*S72</f>
        <v>1500000</v>
      </c>
      <c r="AG72" s="246">
        <f t="shared" ref="AG72:AG73" si="441">T72*E72</f>
        <v>0</v>
      </c>
      <c r="AH72" s="246">
        <f>U72*F72</f>
        <v>300000</v>
      </c>
      <c r="AI72" s="246">
        <f t="shared" ref="AI72" si="442">V72*G72</f>
        <v>0</v>
      </c>
      <c r="AJ72" s="246">
        <f t="shared" ref="AJ72" si="443">W72*H72</f>
        <v>0</v>
      </c>
      <c r="AK72" s="246">
        <f t="shared" ref="AK72" si="444">X72*I72</f>
        <v>0</v>
      </c>
      <c r="AL72" s="246">
        <f t="shared" ref="AL72" si="445">Y72*J72</f>
        <v>0</v>
      </c>
      <c r="AM72" s="246">
        <f t="shared" ref="AM72" si="446">Z72*K72</f>
        <v>0</v>
      </c>
      <c r="AN72" s="246">
        <f t="shared" ref="AN72" si="447">AA72*L72</f>
        <v>0</v>
      </c>
      <c r="AO72" s="246">
        <f t="shared" ref="AO72" si="448">AB72*M72</f>
        <v>0</v>
      </c>
      <c r="AP72" s="246">
        <f t="shared" ref="AP72" si="449">AC72*N72</f>
        <v>0</v>
      </c>
      <c r="AQ72" s="246">
        <f t="shared" ref="AQ72" si="450">AD72*O72</f>
        <v>0</v>
      </c>
      <c r="AR72" s="246">
        <f t="shared" ref="AR72" si="451">AE72*P72</f>
        <v>0</v>
      </c>
      <c r="AS72" s="247">
        <f t="shared" ref="AS72:AS73" si="452">SUM(AG72:AR72)</f>
        <v>300000</v>
      </c>
      <c r="AT72" s="246"/>
      <c r="AU72" s="246"/>
      <c r="AV72" s="246"/>
      <c r="AW72" s="246">
        <f t="shared" ref="AW72" si="453">SUM(AJ72*14%)</f>
        <v>0</v>
      </c>
      <c r="AX72" s="246">
        <f t="shared" ref="AX72" si="454">SUM(AK72*14%)</f>
        <v>0</v>
      </c>
      <c r="AY72" s="246">
        <f t="shared" ref="AY72" si="455">SUM(AL72*14%)</f>
        <v>0</v>
      </c>
      <c r="AZ72" s="246">
        <f t="shared" ref="AZ72" si="456">SUM(AM72*14%)</f>
        <v>0</v>
      </c>
      <c r="BA72" s="246">
        <f t="shared" ref="BA72" si="457">SUM(AN72*14%)</f>
        <v>0</v>
      </c>
      <c r="BB72" s="246">
        <f t="shared" ref="BB72" si="458">SUM(AO72*14%)</f>
        <v>0</v>
      </c>
      <c r="BC72" s="246">
        <f t="shared" ref="BC72" si="459">SUM(AP72*14%)</f>
        <v>0</v>
      </c>
      <c r="BD72" s="246">
        <f t="shared" ref="BD72" si="460">SUM(AQ72*14%)</f>
        <v>0</v>
      </c>
      <c r="BE72" s="246">
        <f t="shared" ref="BE72" si="461">SUM(AR72*14%)</f>
        <v>0</v>
      </c>
      <c r="BF72" s="222">
        <f t="shared" ref="BF72" si="462">SUM(AT72:BE72)</f>
        <v>0</v>
      </c>
      <c r="BG72" s="178">
        <v>0</v>
      </c>
      <c r="BH72" s="179">
        <v>300000</v>
      </c>
      <c r="BI72" s="180"/>
      <c r="BJ72" s="181"/>
      <c r="BK72" s="285"/>
      <c r="BL72" s="323"/>
      <c r="BM72" s="323"/>
      <c r="BN72" s="582"/>
      <c r="BO72" s="561"/>
      <c r="BP72" s="323"/>
      <c r="BQ72" s="323"/>
      <c r="BR72" s="323">
        <f t="shared" ref="BR72" si="463">SUM(AI72*12.5%)</f>
        <v>0</v>
      </c>
      <c r="BS72" s="323">
        <f t="shared" ref="BS72" si="464">SUM(AJ72*12.5%)</f>
        <v>0</v>
      </c>
      <c r="BT72" s="323">
        <f t="shared" ref="BT72" si="465">SUM(AK72*12.5%)</f>
        <v>0</v>
      </c>
      <c r="BU72" s="323">
        <f t="shared" ref="BU72" si="466">SUM(AL72*12.5%)</f>
        <v>0</v>
      </c>
      <c r="BV72" s="323">
        <f t="shared" ref="BV72" si="467">SUM(AM72*12.5%)</f>
        <v>0</v>
      </c>
      <c r="BW72" s="323">
        <f t="shared" ref="BW72" si="468">SUM(AN72*12.5%)</f>
        <v>0</v>
      </c>
      <c r="BX72" s="323">
        <f t="shared" ref="BX72" si="469">SUM(AO72*12.5%)</f>
        <v>0</v>
      </c>
      <c r="BY72" s="323">
        <f t="shared" ref="BY72" si="470">SUM(AP72*12.5%)</f>
        <v>0</v>
      </c>
      <c r="BZ72" s="323">
        <f t="shared" ref="BZ72" si="471">SUM(AQ72*12.5%)</f>
        <v>0</v>
      </c>
      <c r="CA72" s="323">
        <f t="shared" ref="CA72" si="472">SUM(AR72*12.5%)</f>
        <v>0</v>
      </c>
      <c r="CB72" s="55">
        <f t="shared" ref="CB72" si="473">SUM(BP72:CA72)</f>
        <v>0</v>
      </c>
      <c r="CC72" s="323"/>
      <c r="CD72" s="323"/>
      <c r="CE72" s="323"/>
      <c r="CF72" s="323"/>
      <c r="CG72" s="323"/>
      <c r="CH72" s="323"/>
      <c r="CI72" s="323"/>
      <c r="CJ72" s="323"/>
      <c r="CK72" s="323"/>
      <c r="CL72" s="323"/>
      <c r="CM72" s="323"/>
      <c r="CN72" s="323"/>
      <c r="CO72" s="55">
        <f t="shared" ref="CO72" si="474">SUM(CC72:CN72)</f>
        <v>0</v>
      </c>
      <c r="CP72" s="203"/>
      <c r="CQ72" s="262"/>
      <c r="CR72" s="203"/>
      <c r="CS72" s="203"/>
      <c r="CT72" s="203"/>
      <c r="CU72" s="204"/>
      <c r="CV72" s="204"/>
      <c r="CW72" s="204"/>
      <c r="CX72" s="204"/>
      <c r="CY72" s="204"/>
      <c r="CZ72" s="204"/>
      <c r="DA72" s="204"/>
      <c r="DB72" s="204"/>
      <c r="DC72" s="204"/>
      <c r="DD72" s="204"/>
      <c r="DE72" s="204"/>
    </row>
    <row r="73" spans="1:127" s="205" customFormat="1" ht="24.75" customHeight="1" x14ac:dyDescent="0.2">
      <c r="A73" s="193"/>
      <c r="B73" s="234" t="s">
        <v>295</v>
      </c>
      <c r="C73" s="304"/>
      <c r="D73" s="235"/>
      <c r="E73" s="638"/>
      <c r="F73" s="709">
        <v>12</v>
      </c>
      <c r="G73" s="242"/>
      <c r="H73" s="196"/>
      <c r="I73" s="292"/>
      <c r="J73" s="292"/>
      <c r="K73" s="196"/>
      <c r="L73" s="196"/>
      <c r="M73" s="196"/>
      <c r="N73" s="196"/>
      <c r="O73" s="196"/>
      <c r="P73" s="196"/>
      <c r="Q73" s="197">
        <f t="shared" si="439"/>
        <v>12</v>
      </c>
      <c r="R73" s="308" t="s">
        <v>35</v>
      </c>
      <c r="S73" s="237">
        <v>1000000</v>
      </c>
      <c r="T73" s="237"/>
      <c r="U73" s="684">
        <v>100000</v>
      </c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175">
        <f t="shared" si="440"/>
        <v>12000000</v>
      </c>
      <c r="AG73" s="246">
        <f t="shared" si="441"/>
        <v>0</v>
      </c>
      <c r="AH73" s="685">
        <f t="shared" ref="AH73" si="475">U73*F73</f>
        <v>1200000</v>
      </c>
      <c r="AI73" s="246"/>
      <c r="AJ73" s="246"/>
      <c r="AK73" s="246"/>
      <c r="AL73" s="246"/>
      <c r="AM73" s="246"/>
      <c r="AN73" s="246"/>
      <c r="AO73" s="246"/>
      <c r="AP73" s="246"/>
      <c r="AQ73" s="246"/>
      <c r="AR73" s="246"/>
      <c r="AS73" s="177">
        <f t="shared" si="452"/>
        <v>1200000</v>
      </c>
      <c r="AT73" s="246"/>
      <c r="AU73" s="685"/>
      <c r="AV73" s="246"/>
      <c r="AW73" s="246"/>
      <c r="AX73" s="246"/>
      <c r="AY73" s="246"/>
      <c r="AZ73" s="246"/>
      <c r="BA73" s="246"/>
      <c r="BB73" s="246"/>
      <c r="BC73" s="246"/>
      <c r="BD73" s="246"/>
      <c r="BE73" s="246"/>
      <c r="BF73" s="199"/>
      <c r="BG73" s="178"/>
      <c r="BH73" s="179">
        <v>1200000</v>
      </c>
      <c r="BI73" s="180"/>
      <c r="BJ73" s="181"/>
      <c r="BK73" s="285"/>
      <c r="BL73" s="556"/>
      <c r="BM73" s="556"/>
      <c r="BN73" s="567"/>
      <c r="BO73" s="561"/>
      <c r="BP73" s="323"/>
      <c r="BQ73" s="323"/>
      <c r="BR73" s="556"/>
      <c r="BS73" s="323"/>
      <c r="BT73" s="323"/>
      <c r="BU73" s="323"/>
      <c r="BV73" s="323"/>
      <c r="BW73" s="323"/>
      <c r="BX73" s="323"/>
      <c r="BY73" s="323"/>
      <c r="BZ73" s="323"/>
      <c r="CA73" s="323"/>
      <c r="CB73" s="55"/>
      <c r="CC73" s="323"/>
      <c r="CD73" s="323"/>
      <c r="CE73" s="323"/>
      <c r="CF73" s="323"/>
      <c r="CG73" s="323"/>
      <c r="CH73" s="323"/>
      <c r="CI73" s="323"/>
      <c r="CJ73" s="323"/>
      <c r="CK73" s="323"/>
      <c r="CL73" s="323"/>
      <c r="CM73" s="323"/>
      <c r="CN73" s="323"/>
      <c r="CO73" s="55"/>
      <c r="CP73" s="203"/>
      <c r="CQ73" s="262"/>
      <c r="CR73" s="203"/>
      <c r="CS73" s="203"/>
      <c r="CT73" s="203"/>
      <c r="CU73" s="204"/>
      <c r="CV73" s="204"/>
      <c r="CW73" s="204"/>
      <c r="CX73" s="204"/>
      <c r="CY73" s="204"/>
      <c r="CZ73" s="204"/>
      <c r="DA73" s="204"/>
      <c r="DB73" s="204"/>
      <c r="DC73" s="204"/>
      <c r="DD73" s="204"/>
      <c r="DE73" s="204"/>
    </row>
    <row r="74" spans="1:127" s="205" customFormat="1" ht="24.75" customHeight="1" x14ac:dyDescent="0.2">
      <c r="A74" s="193">
        <v>2</v>
      </c>
      <c r="B74" s="234" t="s">
        <v>288</v>
      </c>
      <c r="C74" s="304" t="s">
        <v>246</v>
      </c>
      <c r="D74" s="235">
        <v>3</v>
      </c>
      <c r="E74" s="235">
        <v>0</v>
      </c>
      <c r="F74" s="709"/>
      <c r="G74" s="242"/>
      <c r="H74" s="196"/>
      <c r="I74" s="196"/>
      <c r="J74" s="196"/>
      <c r="K74" s="196"/>
      <c r="L74" s="196"/>
      <c r="M74" s="196"/>
      <c r="N74" s="196"/>
      <c r="O74" s="196"/>
      <c r="P74" s="196"/>
      <c r="Q74" s="197">
        <f t="shared" ref="Q74:Q81" si="476">SUM(E74:P74)</f>
        <v>0</v>
      </c>
      <c r="R74" s="308" t="s">
        <v>35</v>
      </c>
      <c r="S74" s="237">
        <v>1802000</v>
      </c>
      <c r="T74" s="237"/>
      <c r="U74" s="276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175">
        <f t="shared" ref="AF74:AF81" si="477">Q74*S74</f>
        <v>0</v>
      </c>
      <c r="AG74" s="246">
        <f t="shared" ref="AG74:AG88" si="478">T74*E74</f>
        <v>0</v>
      </c>
      <c r="AH74" s="246">
        <f>U74*F74</f>
        <v>0</v>
      </c>
      <c r="AI74" s="246">
        <f t="shared" si="404"/>
        <v>0</v>
      </c>
      <c r="AJ74" s="246">
        <f t="shared" si="405"/>
        <v>0</v>
      </c>
      <c r="AK74" s="246">
        <f t="shared" si="406"/>
        <v>0</v>
      </c>
      <c r="AL74" s="246">
        <f t="shared" si="407"/>
        <v>0</v>
      </c>
      <c r="AM74" s="246">
        <f t="shared" si="408"/>
        <v>0</v>
      </c>
      <c r="AN74" s="246">
        <f t="shared" si="409"/>
        <v>0</v>
      </c>
      <c r="AO74" s="246">
        <f t="shared" si="410"/>
        <v>0</v>
      </c>
      <c r="AP74" s="246">
        <f t="shared" si="411"/>
        <v>0</v>
      </c>
      <c r="AQ74" s="246">
        <f t="shared" si="412"/>
        <v>0</v>
      </c>
      <c r="AR74" s="246">
        <f t="shared" si="413"/>
        <v>0</v>
      </c>
      <c r="AS74" s="247">
        <f t="shared" si="414"/>
        <v>0</v>
      </c>
      <c r="AT74" s="246"/>
      <c r="AU74" s="246"/>
      <c r="AV74" s="246"/>
      <c r="AW74" s="246">
        <f t="shared" si="415"/>
        <v>0</v>
      </c>
      <c r="AX74" s="246">
        <f t="shared" si="416"/>
        <v>0</v>
      </c>
      <c r="AY74" s="246">
        <f t="shared" si="417"/>
        <v>0</v>
      </c>
      <c r="AZ74" s="246">
        <f t="shared" si="418"/>
        <v>0</v>
      </c>
      <c r="BA74" s="246">
        <f t="shared" si="419"/>
        <v>0</v>
      </c>
      <c r="BB74" s="246">
        <f t="shared" si="420"/>
        <v>0</v>
      </c>
      <c r="BC74" s="246">
        <f t="shared" si="421"/>
        <v>0</v>
      </c>
      <c r="BD74" s="246">
        <f t="shared" si="422"/>
        <v>0</v>
      </c>
      <c r="BE74" s="246">
        <f t="shared" si="423"/>
        <v>0</v>
      </c>
      <c r="BF74" s="222">
        <f t="shared" si="424"/>
        <v>0</v>
      </c>
      <c r="BG74" s="178">
        <f t="shared" si="425"/>
        <v>0</v>
      </c>
      <c r="BH74" s="179">
        <f>S74*D74</f>
        <v>5406000</v>
      </c>
      <c r="BI74" s="180">
        <f>SUM(BH74-BH75-BH76-BH77)+968000</f>
        <v>1752250</v>
      </c>
      <c r="BJ74" s="181">
        <f t="shared" si="426"/>
        <v>0</v>
      </c>
      <c r="BK74" s="285"/>
      <c r="BL74" s="323"/>
      <c r="BM74" s="323"/>
      <c r="BN74" s="582"/>
      <c r="BO74" s="561"/>
      <c r="BP74" s="323"/>
      <c r="BQ74" s="323"/>
      <c r="BR74" s="323">
        <f t="shared" si="427"/>
        <v>0</v>
      </c>
      <c r="BS74" s="323">
        <f t="shared" si="428"/>
        <v>0</v>
      </c>
      <c r="BT74" s="323">
        <f t="shared" si="429"/>
        <v>0</v>
      </c>
      <c r="BU74" s="323">
        <f t="shared" si="430"/>
        <v>0</v>
      </c>
      <c r="BV74" s="323">
        <f t="shared" si="431"/>
        <v>0</v>
      </c>
      <c r="BW74" s="323">
        <f t="shared" si="432"/>
        <v>0</v>
      </c>
      <c r="BX74" s="323">
        <f t="shared" si="433"/>
        <v>0</v>
      </c>
      <c r="BY74" s="323">
        <f t="shared" si="434"/>
        <v>0</v>
      </c>
      <c r="BZ74" s="323">
        <f t="shared" si="435"/>
        <v>0</v>
      </c>
      <c r="CA74" s="323">
        <f t="shared" si="436"/>
        <v>0</v>
      </c>
      <c r="CB74" s="55">
        <f t="shared" ref="CB74:CB81" si="479">SUM(BP74:CA74)</f>
        <v>0</v>
      </c>
      <c r="CC74" s="323"/>
      <c r="CD74" s="323"/>
      <c r="CE74" s="323"/>
      <c r="CF74" s="323"/>
      <c r="CG74" s="323"/>
      <c r="CH74" s="323"/>
      <c r="CI74" s="323"/>
      <c r="CJ74" s="323"/>
      <c r="CK74" s="323"/>
      <c r="CL74" s="323"/>
      <c r="CM74" s="323"/>
      <c r="CN74" s="323"/>
      <c r="CO74" s="55">
        <f t="shared" si="438"/>
        <v>0</v>
      </c>
      <c r="CP74" s="203"/>
      <c r="CQ74" s="262"/>
      <c r="CR74" s="203"/>
      <c r="CS74" s="203"/>
      <c r="CT74" s="203"/>
      <c r="CU74" s="204"/>
      <c r="CV74" s="204"/>
      <c r="CW74" s="204"/>
      <c r="CX74" s="204"/>
      <c r="CY74" s="204"/>
      <c r="CZ74" s="204"/>
      <c r="DA74" s="204"/>
      <c r="DB74" s="204"/>
      <c r="DC74" s="204"/>
      <c r="DD74" s="204"/>
      <c r="DE74" s="204"/>
    </row>
    <row r="75" spans="1:127" s="205" customFormat="1" ht="24.75" customHeight="1" x14ac:dyDescent="0.2">
      <c r="A75" s="193"/>
      <c r="B75" s="234" t="s">
        <v>289</v>
      </c>
      <c r="C75" s="304" t="s">
        <v>246</v>
      </c>
      <c r="D75" s="235">
        <v>1</v>
      </c>
      <c r="E75" s="638"/>
      <c r="F75" s="709">
        <v>1</v>
      </c>
      <c r="G75" s="242"/>
      <c r="H75" s="196"/>
      <c r="I75" s="292"/>
      <c r="J75" s="292"/>
      <c r="K75" s="196"/>
      <c r="L75" s="196"/>
      <c r="M75" s="196"/>
      <c r="N75" s="196"/>
      <c r="O75" s="196"/>
      <c r="P75" s="196"/>
      <c r="Q75" s="197">
        <f t="shared" si="476"/>
        <v>1</v>
      </c>
      <c r="R75" s="308" t="s">
        <v>35</v>
      </c>
      <c r="S75" s="237">
        <v>1802000</v>
      </c>
      <c r="T75" s="237"/>
      <c r="U75" s="684">
        <v>1483250</v>
      </c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175">
        <f t="shared" ref="AF75:AF77" si="480">Q75*S75</f>
        <v>1802000</v>
      </c>
      <c r="AG75" s="246">
        <f t="shared" ref="AG75:AG77" si="481">T75*E75</f>
        <v>0</v>
      </c>
      <c r="AH75" s="685">
        <f t="shared" si="403"/>
        <v>1483250</v>
      </c>
      <c r="AI75" s="246"/>
      <c r="AJ75" s="246"/>
      <c r="AK75" s="246"/>
      <c r="AL75" s="246"/>
      <c r="AM75" s="246"/>
      <c r="AN75" s="246"/>
      <c r="AO75" s="246"/>
      <c r="AP75" s="246"/>
      <c r="AQ75" s="246"/>
      <c r="AR75" s="246"/>
      <c r="AS75" s="177">
        <f t="shared" si="414"/>
        <v>1483250</v>
      </c>
      <c r="AT75" s="246"/>
      <c r="AU75" s="685"/>
      <c r="AV75" s="246"/>
      <c r="AW75" s="246"/>
      <c r="AX75" s="246"/>
      <c r="AY75" s="246"/>
      <c r="AZ75" s="246"/>
      <c r="BA75" s="246"/>
      <c r="BB75" s="246"/>
      <c r="BC75" s="246"/>
      <c r="BD75" s="246"/>
      <c r="BE75" s="246"/>
      <c r="BF75" s="199"/>
      <c r="BG75" s="178">
        <v>0</v>
      </c>
      <c r="BH75" s="179">
        <f>SUM(AS75)</f>
        <v>1483250</v>
      </c>
      <c r="BI75" s="180">
        <f t="shared" ref="BI75:BI77" si="482">BH75-AS75</f>
        <v>0</v>
      </c>
      <c r="BJ75" s="181"/>
      <c r="BK75" s="285"/>
      <c r="BL75" s="556"/>
      <c r="BM75" s="556"/>
      <c r="BN75" s="567"/>
      <c r="BO75" s="561"/>
      <c r="BP75" s="323"/>
      <c r="BQ75" s="323"/>
      <c r="BR75" s="556"/>
      <c r="BS75" s="323"/>
      <c r="BT75" s="323"/>
      <c r="BU75" s="323"/>
      <c r="BV75" s="323"/>
      <c r="BW75" s="323"/>
      <c r="BX75" s="323"/>
      <c r="BY75" s="323"/>
      <c r="BZ75" s="323"/>
      <c r="CA75" s="323"/>
      <c r="CB75" s="55"/>
      <c r="CC75" s="323"/>
      <c r="CD75" s="323"/>
      <c r="CE75" s="323"/>
      <c r="CF75" s="323"/>
      <c r="CG75" s="323"/>
      <c r="CH75" s="323"/>
      <c r="CI75" s="323"/>
      <c r="CJ75" s="323"/>
      <c r="CK75" s="323"/>
      <c r="CL75" s="323"/>
      <c r="CM75" s="323"/>
      <c r="CN75" s="323"/>
      <c r="CO75" s="55"/>
      <c r="CP75" s="203"/>
      <c r="CQ75" s="262"/>
      <c r="CR75" s="203"/>
      <c r="CS75" s="203"/>
      <c r="CT75" s="203"/>
      <c r="CU75" s="204"/>
      <c r="CV75" s="204"/>
      <c r="CW75" s="204"/>
      <c r="CX75" s="204"/>
      <c r="CY75" s="204"/>
      <c r="CZ75" s="204"/>
      <c r="DA75" s="204"/>
      <c r="DB75" s="204"/>
      <c r="DC75" s="204"/>
      <c r="DD75" s="204"/>
      <c r="DE75" s="204"/>
    </row>
    <row r="76" spans="1:127" s="205" customFormat="1" ht="24.75" customHeight="1" x14ac:dyDescent="0.2">
      <c r="A76" s="193"/>
      <c r="B76" s="234" t="s">
        <v>291</v>
      </c>
      <c r="C76" s="304" t="s">
        <v>246</v>
      </c>
      <c r="D76" s="235">
        <v>1</v>
      </c>
      <c r="E76" s="638"/>
      <c r="F76" s="709">
        <v>1</v>
      </c>
      <c r="G76" s="242"/>
      <c r="H76" s="196"/>
      <c r="I76" s="292"/>
      <c r="J76" s="292"/>
      <c r="K76" s="196"/>
      <c r="L76" s="196"/>
      <c r="M76" s="196"/>
      <c r="N76" s="196"/>
      <c r="O76" s="196"/>
      <c r="P76" s="196"/>
      <c r="Q76" s="197">
        <f t="shared" si="476"/>
        <v>1</v>
      </c>
      <c r="R76" s="308" t="s">
        <v>35</v>
      </c>
      <c r="S76" s="237">
        <v>2551000</v>
      </c>
      <c r="T76" s="237"/>
      <c r="U76" s="684">
        <v>2551000</v>
      </c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175">
        <f t="shared" si="480"/>
        <v>2551000</v>
      </c>
      <c r="AG76" s="246">
        <f t="shared" si="481"/>
        <v>0</v>
      </c>
      <c r="AH76" s="685">
        <f>U76*F76</f>
        <v>2551000</v>
      </c>
      <c r="AI76" s="246"/>
      <c r="AJ76" s="246"/>
      <c r="AK76" s="246"/>
      <c r="AL76" s="246"/>
      <c r="AM76" s="246"/>
      <c r="AN76" s="246"/>
      <c r="AO76" s="246"/>
      <c r="AP76" s="246"/>
      <c r="AQ76" s="246"/>
      <c r="AR76" s="246"/>
      <c r="AS76" s="177">
        <f t="shared" si="414"/>
        <v>2551000</v>
      </c>
      <c r="AT76" s="246"/>
      <c r="AU76" s="685"/>
      <c r="AV76" s="246"/>
      <c r="AW76" s="246"/>
      <c r="AX76" s="246"/>
      <c r="AY76" s="246"/>
      <c r="AZ76" s="246"/>
      <c r="BA76" s="246"/>
      <c r="BB76" s="246"/>
      <c r="BC76" s="246"/>
      <c r="BD76" s="246"/>
      <c r="BE76" s="246"/>
      <c r="BF76" s="199"/>
      <c r="BG76" s="178">
        <f t="shared" ref="BG76:BG77" si="483">AF76-AS76-BF76</f>
        <v>0</v>
      </c>
      <c r="BH76" s="179">
        <f t="shared" ref="BH76:BH77" si="484">SUM(AS76)</f>
        <v>2551000</v>
      </c>
      <c r="BI76" s="180">
        <f t="shared" si="482"/>
        <v>0</v>
      </c>
      <c r="BJ76" s="181"/>
      <c r="BK76" s="285"/>
      <c r="BL76" s="556"/>
      <c r="BM76" s="556"/>
      <c r="BN76" s="567"/>
      <c r="BO76" s="561"/>
      <c r="BP76" s="323"/>
      <c r="BQ76" s="323"/>
      <c r="BR76" s="556"/>
      <c r="BS76" s="323"/>
      <c r="BT76" s="323"/>
      <c r="BU76" s="323"/>
      <c r="BV76" s="323"/>
      <c r="BW76" s="323"/>
      <c r="BX76" s="323"/>
      <c r="BY76" s="323"/>
      <c r="BZ76" s="323"/>
      <c r="CA76" s="323"/>
      <c r="CB76" s="55"/>
      <c r="CC76" s="323"/>
      <c r="CD76" s="323"/>
      <c r="CE76" s="323"/>
      <c r="CF76" s="323"/>
      <c r="CG76" s="323"/>
      <c r="CH76" s="323"/>
      <c r="CI76" s="323"/>
      <c r="CJ76" s="323"/>
      <c r="CK76" s="323"/>
      <c r="CL76" s="323"/>
      <c r="CM76" s="323"/>
      <c r="CN76" s="323"/>
      <c r="CO76" s="55"/>
      <c r="CP76" s="203"/>
      <c r="CQ76" s="262"/>
      <c r="CR76" s="203"/>
      <c r="CS76" s="203"/>
      <c r="CT76" s="203"/>
      <c r="CU76" s="204"/>
      <c r="CV76" s="204"/>
      <c r="CW76" s="204"/>
      <c r="CX76" s="204"/>
      <c r="CY76" s="204"/>
      <c r="CZ76" s="204"/>
      <c r="DA76" s="204"/>
      <c r="DB76" s="204"/>
      <c r="DC76" s="204"/>
      <c r="DD76" s="204"/>
      <c r="DE76" s="204"/>
    </row>
    <row r="77" spans="1:127" s="205" customFormat="1" ht="24.75" customHeight="1" x14ac:dyDescent="0.2">
      <c r="A77" s="193"/>
      <c r="B77" s="234" t="s">
        <v>290</v>
      </c>
      <c r="C77" s="304" t="s">
        <v>246</v>
      </c>
      <c r="D77" s="235">
        <v>1</v>
      </c>
      <c r="E77" s="638"/>
      <c r="F77" s="709">
        <v>1</v>
      </c>
      <c r="G77" s="242"/>
      <c r="H77" s="196"/>
      <c r="I77" s="292"/>
      <c r="J77" s="292"/>
      <c r="K77" s="196"/>
      <c r="L77" s="196"/>
      <c r="M77" s="196"/>
      <c r="N77" s="196"/>
      <c r="O77" s="196"/>
      <c r="P77" s="196"/>
      <c r="Q77" s="197">
        <f t="shared" si="476"/>
        <v>1</v>
      </c>
      <c r="R77" s="308" t="s">
        <v>35</v>
      </c>
      <c r="S77" s="237">
        <v>587500</v>
      </c>
      <c r="T77" s="237"/>
      <c r="U77" s="684">
        <f>S77</f>
        <v>587500</v>
      </c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175">
        <f t="shared" si="480"/>
        <v>587500</v>
      </c>
      <c r="AG77" s="246">
        <f t="shared" si="481"/>
        <v>0</v>
      </c>
      <c r="AH77" s="685">
        <f t="shared" si="403"/>
        <v>587500</v>
      </c>
      <c r="AI77" s="246"/>
      <c r="AJ77" s="246"/>
      <c r="AK77" s="246"/>
      <c r="AL77" s="246"/>
      <c r="AM77" s="246"/>
      <c r="AN77" s="246"/>
      <c r="AO77" s="246"/>
      <c r="AP77" s="246"/>
      <c r="AQ77" s="246"/>
      <c r="AR77" s="246"/>
      <c r="AS77" s="177">
        <f t="shared" si="414"/>
        <v>587500</v>
      </c>
      <c r="AT77" s="246"/>
      <c r="AU77" s="685"/>
      <c r="AV77" s="246"/>
      <c r="AW77" s="246"/>
      <c r="AX77" s="246"/>
      <c r="AY77" s="246"/>
      <c r="AZ77" s="246"/>
      <c r="BA77" s="246"/>
      <c r="BB77" s="246"/>
      <c r="BC77" s="246"/>
      <c r="BD77" s="246"/>
      <c r="BE77" s="246"/>
      <c r="BF77" s="199"/>
      <c r="BG77" s="178">
        <f t="shared" si="483"/>
        <v>0</v>
      </c>
      <c r="BH77" s="179">
        <f t="shared" si="484"/>
        <v>587500</v>
      </c>
      <c r="BI77" s="180">
        <f t="shared" si="482"/>
        <v>0</v>
      </c>
      <c r="BJ77" s="181"/>
      <c r="BK77" s="285"/>
      <c r="BL77" s="556"/>
      <c r="BM77" s="556"/>
      <c r="BN77" s="567"/>
      <c r="BO77" s="561"/>
      <c r="BP77" s="323"/>
      <c r="BQ77" s="323"/>
      <c r="BR77" s="556"/>
      <c r="BS77" s="323"/>
      <c r="BT77" s="323"/>
      <c r="BU77" s="323"/>
      <c r="BV77" s="323"/>
      <c r="BW77" s="323"/>
      <c r="BX77" s="323"/>
      <c r="BY77" s="323"/>
      <c r="BZ77" s="323"/>
      <c r="CA77" s="323"/>
      <c r="CB77" s="55"/>
      <c r="CC77" s="323"/>
      <c r="CD77" s="323"/>
      <c r="CE77" s="323"/>
      <c r="CF77" s="323"/>
      <c r="CG77" s="323"/>
      <c r="CH77" s="323"/>
      <c r="CI77" s="323"/>
      <c r="CJ77" s="323"/>
      <c r="CK77" s="323"/>
      <c r="CL77" s="323"/>
      <c r="CM77" s="323"/>
      <c r="CN77" s="323"/>
      <c r="CO77" s="55"/>
      <c r="CP77" s="203"/>
      <c r="CQ77" s="262"/>
      <c r="CR77" s="203"/>
      <c r="CS77" s="203"/>
      <c r="CT77" s="203"/>
      <c r="CU77" s="204"/>
      <c r="CV77" s="204"/>
      <c r="CW77" s="204"/>
      <c r="CX77" s="204"/>
      <c r="CY77" s="204"/>
      <c r="CZ77" s="204"/>
      <c r="DA77" s="204"/>
      <c r="DB77" s="204"/>
      <c r="DC77" s="204"/>
      <c r="DD77" s="204"/>
      <c r="DE77" s="204"/>
    </row>
    <row r="78" spans="1:127" s="205" customFormat="1" ht="24.75" customHeight="1" x14ac:dyDescent="0.2">
      <c r="A78" s="193">
        <v>3</v>
      </c>
      <c r="B78" s="234" t="s">
        <v>248</v>
      </c>
      <c r="C78" s="304" t="s">
        <v>246</v>
      </c>
      <c r="D78" s="235">
        <v>1</v>
      </c>
      <c r="E78" s="235">
        <v>1</v>
      </c>
      <c r="F78" s="709">
        <v>1</v>
      </c>
      <c r="G78" s="242"/>
      <c r="H78" s="196"/>
      <c r="I78" s="196"/>
      <c r="J78" s="196"/>
      <c r="K78" s="196"/>
      <c r="L78" s="196"/>
      <c r="M78" s="196"/>
      <c r="N78" s="196"/>
      <c r="O78" s="196"/>
      <c r="P78" s="196"/>
      <c r="Q78" s="197">
        <f t="shared" ref="Q78" si="485">SUM(E78:P78)</f>
        <v>2</v>
      </c>
      <c r="R78" s="308" t="s">
        <v>259</v>
      </c>
      <c r="S78" s="237">
        <v>3000000</v>
      </c>
      <c r="T78" s="237">
        <v>717958</v>
      </c>
      <c r="U78" s="684">
        <v>779018</v>
      </c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175">
        <f>Q78*S78</f>
        <v>6000000</v>
      </c>
      <c r="AG78" s="246">
        <f>T78*E78</f>
        <v>717958</v>
      </c>
      <c r="AH78" s="685">
        <f t="shared" ref="AH78:AH80" si="486">U78*F78</f>
        <v>779018</v>
      </c>
      <c r="AI78" s="246">
        <f t="shared" ref="AI78:AI80" si="487">V78*G78</f>
        <v>0</v>
      </c>
      <c r="AJ78" s="246">
        <f t="shared" ref="AJ78:AJ80" si="488">W78*H78</f>
        <v>0</v>
      </c>
      <c r="AK78" s="246">
        <f t="shared" ref="AK78:AK80" si="489">X78*I78</f>
        <v>0</v>
      </c>
      <c r="AL78" s="246">
        <f t="shared" ref="AL78:AL80" si="490">Y78*J78</f>
        <v>0</v>
      </c>
      <c r="AM78" s="246">
        <f t="shared" ref="AM78:AM80" si="491">Z78*K78</f>
        <v>0</v>
      </c>
      <c r="AN78" s="246">
        <f t="shared" ref="AN78:AN80" si="492">AA78*L78</f>
        <v>0</v>
      </c>
      <c r="AO78" s="246">
        <f t="shared" ref="AO78:AO80" si="493">AB78*M78</f>
        <v>0</v>
      </c>
      <c r="AP78" s="246">
        <f t="shared" ref="AP78:AP80" si="494">AC78*N78</f>
        <v>0</v>
      </c>
      <c r="AQ78" s="246">
        <f t="shared" ref="AQ78:AQ80" si="495">AD78*O78</f>
        <v>0</v>
      </c>
      <c r="AR78" s="246">
        <f t="shared" ref="AR78:AR80" si="496">AE78*P78</f>
        <v>0</v>
      </c>
      <c r="AS78" s="247">
        <f t="shared" ref="AS78:AS80" si="497">SUM(AG78:AR78)</f>
        <v>1496976</v>
      </c>
      <c r="AT78" s="246"/>
      <c r="AU78" s="246"/>
      <c r="AV78" s="246"/>
      <c r="AW78" s="246">
        <f t="shared" ref="AW78:AW80" si="498">SUM(AJ78*14%)</f>
        <v>0</v>
      </c>
      <c r="AX78" s="246">
        <f t="shared" ref="AX78:AX80" si="499">SUM(AK78*14%)</f>
        <v>0</v>
      </c>
      <c r="AY78" s="246">
        <f t="shared" ref="AY78:AY80" si="500">SUM(AL78*14%)</f>
        <v>0</v>
      </c>
      <c r="AZ78" s="246">
        <f t="shared" ref="AZ78:AZ80" si="501">SUM(AM78*14%)</f>
        <v>0</v>
      </c>
      <c r="BA78" s="246">
        <f t="shared" ref="BA78:BA80" si="502">SUM(AN78*14%)</f>
        <v>0</v>
      </c>
      <c r="BB78" s="246">
        <f t="shared" ref="BB78:BB80" si="503">SUM(AO78*14%)</f>
        <v>0</v>
      </c>
      <c r="BC78" s="246">
        <f t="shared" ref="BC78:BC80" si="504">SUM(AP78*14%)</f>
        <v>0</v>
      </c>
      <c r="BD78" s="246">
        <f t="shared" ref="BD78:BD80" si="505">SUM(AQ78*14%)</f>
        <v>0</v>
      </c>
      <c r="BE78" s="246">
        <f t="shared" ref="BE78:BE80" si="506">SUM(AR78*14%)</f>
        <v>0</v>
      </c>
      <c r="BF78" s="222">
        <f t="shared" ref="BF78:BF80" si="507">SUM(AT78:BE78)</f>
        <v>0</v>
      </c>
      <c r="BG78" s="178">
        <v>0</v>
      </c>
      <c r="BH78" s="179">
        <f>S78*D78</f>
        <v>3000000</v>
      </c>
      <c r="BI78" s="180">
        <f t="shared" ref="BI78:BI88" si="508">BH78-AS78</f>
        <v>1503024</v>
      </c>
      <c r="BJ78" s="181">
        <f t="shared" ref="BJ78:BJ80" si="509">SUM(Q78/D78)</f>
        <v>2</v>
      </c>
      <c r="BK78" s="285"/>
      <c r="BL78" s="323"/>
      <c r="BM78" s="323"/>
      <c r="BN78" s="582"/>
      <c r="BO78" s="561"/>
      <c r="BP78" s="323"/>
      <c r="BQ78" s="323"/>
      <c r="BR78" s="323">
        <f t="shared" ref="BR78:BT80" si="510">SUM(AI78*12.5%)</f>
        <v>0</v>
      </c>
      <c r="BS78" s="323">
        <f t="shared" ref="BS78:BU80" si="511">SUM(AJ78*12.5%)</f>
        <v>0</v>
      </c>
      <c r="BT78" s="323">
        <f t="shared" ref="BT78:BV80" si="512">SUM(AK78*12.5%)</f>
        <v>0</v>
      </c>
      <c r="BU78" s="323">
        <f t="shared" ref="BU78:BW80" si="513">SUM(AL78*12.5%)</f>
        <v>0</v>
      </c>
      <c r="BV78" s="323">
        <f t="shared" ref="BV78:BX80" si="514">SUM(AM78*12.5%)</f>
        <v>0</v>
      </c>
      <c r="BW78" s="323">
        <f t="shared" ref="BW78:BY80" si="515">SUM(AN78*12.5%)</f>
        <v>0</v>
      </c>
      <c r="BX78" s="323">
        <f t="shared" ref="BX78:BZ80" si="516">SUM(AO78*12.5%)</f>
        <v>0</v>
      </c>
      <c r="BY78" s="323">
        <f t="shared" ref="BY78:CA80" si="517">SUM(AP78*12.5%)</f>
        <v>0</v>
      </c>
      <c r="BZ78" s="323">
        <f t="shared" ref="BZ78:CB80" si="518">SUM(AQ78*12.5%)</f>
        <v>0</v>
      </c>
      <c r="CA78" s="323">
        <f t="shared" ref="CA78:CC80" si="519">SUM(AR78*12.5%)</f>
        <v>0</v>
      </c>
      <c r="CB78" s="55">
        <f t="shared" ref="CB78" si="520">SUM(BP78:CA78)</f>
        <v>0</v>
      </c>
      <c r="CC78" s="323"/>
      <c r="CD78" s="323"/>
      <c r="CE78" s="323"/>
      <c r="CF78" s="323"/>
      <c r="CG78" s="323"/>
      <c r="CH78" s="323"/>
      <c r="CI78" s="323"/>
      <c r="CJ78" s="323"/>
      <c r="CK78" s="323"/>
      <c r="CL78" s="323"/>
      <c r="CM78" s="323"/>
      <c r="CN78" s="323"/>
      <c r="CO78" s="55">
        <f t="shared" ref="CO78:CQ80" si="521">SUM(CC78:CN78)</f>
        <v>0</v>
      </c>
      <c r="CP78" s="203"/>
      <c r="CQ78" s="262"/>
      <c r="CR78" s="203"/>
      <c r="CS78" s="203"/>
      <c r="CT78" s="203"/>
      <c r="CU78" s="204"/>
      <c r="CV78" s="204"/>
      <c r="CW78" s="204"/>
      <c r="CX78" s="204"/>
      <c r="CY78" s="204"/>
      <c r="CZ78" s="204"/>
      <c r="DA78" s="204"/>
      <c r="DB78" s="204"/>
      <c r="DC78" s="204"/>
      <c r="DD78" s="204"/>
      <c r="DE78" s="204"/>
    </row>
    <row r="79" spans="1:127" s="205" customFormat="1" ht="24.75" customHeight="1" x14ac:dyDescent="0.2">
      <c r="A79" s="193"/>
      <c r="B79" s="635" t="s">
        <v>249</v>
      </c>
      <c r="C79" s="636"/>
      <c r="D79" s="234"/>
      <c r="E79" s="650"/>
      <c r="F79" s="235"/>
      <c r="G79" s="638"/>
      <c r="H79" s="196"/>
      <c r="I79" s="242"/>
      <c r="J79" s="196"/>
      <c r="K79" s="292"/>
      <c r="L79" s="292"/>
      <c r="M79" s="196"/>
      <c r="N79" s="196"/>
      <c r="O79" s="196"/>
      <c r="P79" s="196"/>
      <c r="Q79" s="196"/>
      <c r="R79" s="196"/>
      <c r="S79" s="303"/>
      <c r="T79" s="303"/>
      <c r="U79" s="684"/>
      <c r="V79" s="637"/>
      <c r="W79" s="206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686"/>
      <c r="AI79" s="639"/>
      <c r="AJ79" s="246"/>
      <c r="AK79" s="246"/>
      <c r="AL79" s="246"/>
      <c r="AM79" s="246"/>
      <c r="AN79" s="246"/>
      <c r="AO79" s="246"/>
      <c r="AP79" s="246"/>
      <c r="AQ79" s="246"/>
      <c r="AR79" s="246"/>
      <c r="AS79" s="246"/>
      <c r="AT79" s="246"/>
      <c r="AU79" s="687"/>
      <c r="AV79" s="246"/>
      <c r="AW79" s="246"/>
      <c r="AX79" s="246"/>
      <c r="AY79" s="246"/>
      <c r="AZ79" s="246"/>
      <c r="BA79" s="246"/>
      <c r="BB79" s="246"/>
      <c r="BC79" s="246"/>
      <c r="BD79" s="246"/>
      <c r="BE79" s="246"/>
      <c r="BF79" s="246"/>
      <c r="BG79" s="246"/>
      <c r="BH79" s="199"/>
      <c r="BI79" s="180">
        <f t="shared" si="508"/>
        <v>0</v>
      </c>
      <c r="BJ79" s="749"/>
      <c r="BK79" s="750">
        <f>BJ79-AU79-BH79</f>
        <v>0</v>
      </c>
      <c r="BL79" s="699"/>
      <c r="BM79" s="700"/>
      <c r="BN79" s="556"/>
      <c r="BO79" s="556"/>
      <c r="BP79" s="567">
        <f>SUM(BN79-BO79)</f>
        <v>0</v>
      </c>
      <c r="BQ79" s="561"/>
      <c r="BR79" s="323"/>
      <c r="BS79" s="323"/>
      <c r="BT79" s="556">
        <f t="shared" si="510"/>
        <v>0</v>
      </c>
      <c r="BU79" s="323">
        <f t="shared" si="511"/>
        <v>0</v>
      </c>
      <c r="BV79" s="323">
        <f t="shared" si="512"/>
        <v>0</v>
      </c>
      <c r="BW79" s="323">
        <f t="shared" si="513"/>
        <v>0</v>
      </c>
      <c r="BX79" s="323">
        <f t="shared" si="514"/>
        <v>0</v>
      </c>
      <c r="BY79" s="323">
        <f t="shared" si="515"/>
        <v>0</v>
      </c>
      <c r="BZ79" s="323">
        <f t="shared" si="516"/>
        <v>0</v>
      </c>
      <c r="CA79" s="323">
        <f t="shared" si="517"/>
        <v>0</v>
      </c>
      <c r="CB79" s="323">
        <f t="shared" si="518"/>
        <v>0</v>
      </c>
      <c r="CC79" s="323">
        <f t="shared" si="519"/>
        <v>0</v>
      </c>
      <c r="CD79" s="55">
        <f t="shared" ref="CD79" si="522">SUM(BR79:CC79)</f>
        <v>0</v>
      </c>
      <c r="CE79" s="323"/>
      <c r="CF79" s="323"/>
      <c r="CG79" s="323"/>
      <c r="CH79" s="323"/>
      <c r="CI79" s="323"/>
      <c r="CJ79" s="323"/>
      <c r="CK79" s="323"/>
      <c r="CL79" s="323"/>
      <c r="CM79" s="323"/>
      <c r="CN79" s="323"/>
      <c r="CO79" s="323"/>
      <c r="CP79" s="323"/>
      <c r="CQ79" s="55">
        <f t="shared" si="521"/>
        <v>0</v>
      </c>
      <c r="CR79" s="203"/>
      <c r="CS79" s="262"/>
      <c r="CT79" s="203"/>
      <c r="CU79" s="203"/>
      <c r="CV79" s="203"/>
      <c r="CW79" s="204"/>
      <c r="CX79" s="204"/>
      <c r="CY79" s="204"/>
      <c r="CZ79" s="204"/>
      <c r="DA79" s="204"/>
      <c r="DB79" s="204"/>
      <c r="DC79" s="204"/>
      <c r="DD79" s="204"/>
      <c r="DE79" s="204"/>
      <c r="DF79" s="204"/>
      <c r="DG79" s="204"/>
    </row>
    <row r="80" spans="1:127" s="205" customFormat="1" ht="24.75" customHeight="1" x14ac:dyDescent="0.2">
      <c r="A80" s="193">
        <v>4</v>
      </c>
      <c r="B80" s="234" t="s">
        <v>250</v>
      </c>
      <c r="C80" s="304" t="s">
        <v>246</v>
      </c>
      <c r="D80" s="235">
        <v>3</v>
      </c>
      <c r="E80" s="638">
        <v>3</v>
      </c>
      <c r="F80" s="196"/>
      <c r="G80" s="242"/>
      <c r="H80" s="196"/>
      <c r="I80" s="292"/>
      <c r="J80" s="292"/>
      <c r="K80" s="196"/>
      <c r="L80" s="196"/>
      <c r="M80" s="196"/>
      <c r="N80" s="196"/>
      <c r="O80" s="196"/>
      <c r="P80" s="196"/>
      <c r="Q80" s="197">
        <f t="shared" ref="Q80" si="523">SUM(E80:P80)</f>
        <v>3</v>
      </c>
      <c r="R80" s="308" t="s">
        <v>260</v>
      </c>
      <c r="S80" s="237">
        <v>15000</v>
      </c>
      <c r="T80" s="237">
        <v>15000</v>
      </c>
      <c r="U80" s="683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175">
        <f t="shared" ref="AF80" si="524">Q80*S80</f>
        <v>45000</v>
      </c>
      <c r="AG80" s="246">
        <f t="shared" ref="AG80" si="525">T80*E80</f>
        <v>45000</v>
      </c>
      <c r="AH80" s="685">
        <f t="shared" si="486"/>
        <v>0</v>
      </c>
      <c r="AI80" s="639">
        <f t="shared" si="487"/>
        <v>0</v>
      </c>
      <c r="AJ80" s="246">
        <f t="shared" si="488"/>
        <v>0</v>
      </c>
      <c r="AK80" s="246">
        <f t="shared" si="489"/>
        <v>0</v>
      </c>
      <c r="AL80" s="246">
        <f t="shared" si="490"/>
        <v>0</v>
      </c>
      <c r="AM80" s="246">
        <f t="shared" si="491"/>
        <v>0</v>
      </c>
      <c r="AN80" s="246">
        <f t="shared" si="492"/>
        <v>0</v>
      </c>
      <c r="AO80" s="246">
        <f t="shared" si="493"/>
        <v>0</v>
      </c>
      <c r="AP80" s="246">
        <f t="shared" si="494"/>
        <v>0</v>
      </c>
      <c r="AQ80" s="246">
        <f t="shared" si="495"/>
        <v>0</v>
      </c>
      <c r="AR80" s="246">
        <f t="shared" si="496"/>
        <v>0</v>
      </c>
      <c r="AS80" s="177">
        <f t="shared" si="497"/>
        <v>45000</v>
      </c>
      <c r="AT80" s="246">
        <f>AG80*1.5%</f>
        <v>675</v>
      </c>
      <c r="AU80" s="685"/>
      <c r="AV80" s="246"/>
      <c r="AW80" s="246">
        <f t="shared" si="498"/>
        <v>0</v>
      </c>
      <c r="AX80" s="246">
        <f t="shared" si="499"/>
        <v>0</v>
      </c>
      <c r="AY80" s="246">
        <f t="shared" si="500"/>
        <v>0</v>
      </c>
      <c r="AZ80" s="246">
        <f t="shared" si="501"/>
        <v>0</v>
      </c>
      <c r="BA80" s="246">
        <f t="shared" si="502"/>
        <v>0</v>
      </c>
      <c r="BB80" s="246">
        <f t="shared" si="503"/>
        <v>0</v>
      </c>
      <c r="BC80" s="246">
        <f t="shared" si="504"/>
        <v>0</v>
      </c>
      <c r="BD80" s="246">
        <f t="shared" si="505"/>
        <v>0</v>
      </c>
      <c r="BE80" s="246">
        <f t="shared" si="506"/>
        <v>0</v>
      </c>
      <c r="BF80" s="199">
        <f t="shared" si="507"/>
        <v>675</v>
      </c>
      <c r="BG80" s="178">
        <f>AF80-AS80</f>
        <v>0</v>
      </c>
      <c r="BH80" s="179">
        <f t="shared" ref="BH80:BH86" si="526">S80*D80</f>
        <v>45000</v>
      </c>
      <c r="BI80" s="180">
        <f t="shared" si="508"/>
        <v>0</v>
      </c>
      <c r="BJ80" s="751">
        <f t="shared" si="509"/>
        <v>1</v>
      </c>
      <c r="BK80" s="752"/>
      <c r="BL80" s="748"/>
      <c r="BM80" s="556"/>
      <c r="BN80" s="567"/>
      <c r="BO80" s="561"/>
      <c r="BP80" s="323"/>
      <c r="BQ80" s="323"/>
      <c r="BR80" s="556">
        <f t="shared" si="510"/>
        <v>0</v>
      </c>
      <c r="BS80" s="323">
        <f t="shared" si="511"/>
        <v>0</v>
      </c>
      <c r="BT80" s="323">
        <f t="shared" si="512"/>
        <v>0</v>
      </c>
      <c r="BU80" s="323">
        <f t="shared" si="513"/>
        <v>0</v>
      </c>
      <c r="BV80" s="323">
        <f t="shared" si="514"/>
        <v>0</v>
      </c>
      <c r="BW80" s="323">
        <f t="shared" si="515"/>
        <v>0</v>
      </c>
      <c r="BX80" s="323">
        <f t="shared" si="516"/>
        <v>0</v>
      </c>
      <c r="BY80" s="323">
        <f t="shared" si="517"/>
        <v>0</v>
      </c>
      <c r="BZ80" s="323">
        <f t="shared" si="518"/>
        <v>0</v>
      </c>
      <c r="CA80" s="323">
        <f t="shared" si="519"/>
        <v>0</v>
      </c>
      <c r="CB80" s="55">
        <f t="shared" ref="CB80" si="527">SUM(BP80:CA80)</f>
        <v>0</v>
      </c>
      <c r="CC80" s="323"/>
      <c r="CD80" s="323"/>
      <c r="CE80" s="323"/>
      <c r="CF80" s="323"/>
      <c r="CG80" s="323"/>
      <c r="CH80" s="323"/>
      <c r="CI80" s="323"/>
      <c r="CJ80" s="323"/>
      <c r="CK80" s="323"/>
      <c r="CL80" s="323"/>
      <c r="CM80" s="323"/>
      <c r="CN80" s="323"/>
      <c r="CO80" s="55">
        <f t="shared" si="521"/>
        <v>0</v>
      </c>
      <c r="CP80" s="203"/>
      <c r="CQ80" s="262"/>
      <c r="CR80" s="203"/>
      <c r="CS80" s="203"/>
      <c r="CT80" s="203"/>
      <c r="CU80" s="204"/>
      <c r="CV80" s="204"/>
      <c r="CW80" s="204"/>
      <c r="CX80" s="204"/>
      <c r="CY80" s="204"/>
      <c r="CZ80" s="204"/>
      <c r="DA80" s="204"/>
      <c r="DB80" s="204"/>
      <c r="DC80" s="204"/>
      <c r="DD80" s="204"/>
      <c r="DE80" s="204"/>
    </row>
    <row r="81" spans="1:111" s="205" customFormat="1" ht="24.75" customHeight="1" x14ac:dyDescent="0.2">
      <c r="A81" s="193">
        <v>5</v>
      </c>
      <c r="B81" s="234" t="s">
        <v>251</v>
      </c>
      <c r="C81" s="304" t="s">
        <v>246</v>
      </c>
      <c r="D81" s="235">
        <v>3</v>
      </c>
      <c r="E81" s="638">
        <v>3</v>
      </c>
      <c r="F81" s="196"/>
      <c r="G81" s="242"/>
      <c r="H81" s="196"/>
      <c r="I81" s="292"/>
      <c r="J81" s="292"/>
      <c r="K81" s="196"/>
      <c r="L81" s="196"/>
      <c r="M81" s="196"/>
      <c r="N81" s="196"/>
      <c r="O81" s="196"/>
      <c r="P81" s="196"/>
      <c r="Q81" s="197">
        <f t="shared" si="476"/>
        <v>3</v>
      </c>
      <c r="R81" s="308" t="s">
        <v>260</v>
      </c>
      <c r="S81" s="237">
        <v>12000</v>
      </c>
      <c r="T81" s="237">
        <v>12000</v>
      </c>
      <c r="U81" s="683"/>
      <c r="V81" s="275"/>
      <c r="W81" s="275"/>
      <c r="X81" s="275"/>
      <c r="Y81" s="275"/>
      <c r="Z81" s="275"/>
      <c r="AA81" s="275"/>
      <c r="AB81" s="275"/>
      <c r="AC81" s="275"/>
      <c r="AD81" s="275"/>
      <c r="AE81" s="275"/>
      <c r="AF81" s="175">
        <f t="shared" si="477"/>
        <v>36000</v>
      </c>
      <c r="AG81" s="246">
        <f t="shared" si="478"/>
        <v>36000</v>
      </c>
      <c r="AH81" s="685">
        <f t="shared" si="403"/>
        <v>0</v>
      </c>
      <c r="AI81" s="639">
        <f t="shared" si="404"/>
        <v>0</v>
      </c>
      <c r="AJ81" s="246">
        <f t="shared" si="405"/>
        <v>0</v>
      </c>
      <c r="AK81" s="246">
        <f t="shared" si="406"/>
        <v>0</v>
      </c>
      <c r="AL81" s="246">
        <f t="shared" si="407"/>
        <v>0</v>
      </c>
      <c r="AM81" s="246">
        <f t="shared" si="408"/>
        <v>0</v>
      </c>
      <c r="AN81" s="246">
        <f t="shared" si="409"/>
        <v>0</v>
      </c>
      <c r="AO81" s="246">
        <f t="shared" si="410"/>
        <v>0</v>
      </c>
      <c r="AP81" s="246">
        <f t="shared" si="411"/>
        <v>0</v>
      </c>
      <c r="AQ81" s="246">
        <f t="shared" si="412"/>
        <v>0</v>
      </c>
      <c r="AR81" s="246">
        <f t="shared" si="413"/>
        <v>0</v>
      </c>
      <c r="AS81" s="177">
        <f t="shared" si="414"/>
        <v>36000</v>
      </c>
      <c r="AT81" s="246">
        <f t="shared" ref="AT81:AT86" si="528">AG81*1.5%</f>
        <v>540</v>
      </c>
      <c r="AU81" s="685"/>
      <c r="AV81" s="246"/>
      <c r="AW81" s="246">
        <f t="shared" si="415"/>
        <v>0</v>
      </c>
      <c r="AX81" s="246">
        <f t="shared" si="416"/>
        <v>0</v>
      </c>
      <c r="AY81" s="246">
        <f t="shared" si="417"/>
        <v>0</v>
      </c>
      <c r="AZ81" s="246">
        <f t="shared" si="418"/>
        <v>0</v>
      </c>
      <c r="BA81" s="246">
        <f t="shared" si="419"/>
        <v>0</v>
      </c>
      <c r="BB81" s="246">
        <f t="shared" si="420"/>
        <v>0</v>
      </c>
      <c r="BC81" s="246">
        <f t="shared" si="421"/>
        <v>0</v>
      </c>
      <c r="BD81" s="246">
        <f t="shared" si="422"/>
        <v>0</v>
      </c>
      <c r="BE81" s="246">
        <f t="shared" si="423"/>
        <v>0</v>
      </c>
      <c r="BF81" s="199">
        <f t="shared" si="424"/>
        <v>540</v>
      </c>
      <c r="BG81" s="178">
        <f t="shared" ref="BG81:BG86" si="529">AF81-AS81</f>
        <v>0</v>
      </c>
      <c r="BH81" s="179">
        <f t="shared" si="526"/>
        <v>36000</v>
      </c>
      <c r="BI81" s="180">
        <f t="shared" si="508"/>
        <v>0</v>
      </c>
      <c r="BJ81" s="751">
        <f t="shared" si="426"/>
        <v>1</v>
      </c>
      <c r="BK81" s="752"/>
      <c r="BL81" s="748"/>
      <c r="BM81" s="556"/>
      <c r="BN81" s="567"/>
      <c r="BO81" s="561"/>
      <c r="BP81" s="323"/>
      <c r="BQ81" s="323"/>
      <c r="BR81" s="556">
        <f t="shared" si="427"/>
        <v>0</v>
      </c>
      <c r="BS81" s="323">
        <f t="shared" si="428"/>
        <v>0</v>
      </c>
      <c r="BT81" s="323">
        <f t="shared" si="429"/>
        <v>0</v>
      </c>
      <c r="BU81" s="323">
        <f t="shared" si="430"/>
        <v>0</v>
      </c>
      <c r="BV81" s="323">
        <f t="shared" si="431"/>
        <v>0</v>
      </c>
      <c r="BW81" s="323">
        <f t="shared" si="432"/>
        <v>0</v>
      </c>
      <c r="BX81" s="323">
        <f t="shared" si="433"/>
        <v>0</v>
      </c>
      <c r="BY81" s="323">
        <f t="shared" si="434"/>
        <v>0</v>
      </c>
      <c r="BZ81" s="323">
        <f t="shared" si="435"/>
        <v>0</v>
      </c>
      <c r="CA81" s="323">
        <f t="shared" si="436"/>
        <v>0</v>
      </c>
      <c r="CB81" s="55">
        <f t="shared" si="479"/>
        <v>0</v>
      </c>
      <c r="CC81" s="323"/>
      <c r="CD81" s="323"/>
      <c r="CE81" s="323"/>
      <c r="CF81" s="323"/>
      <c r="CG81" s="323"/>
      <c r="CH81" s="323"/>
      <c r="CI81" s="323"/>
      <c r="CJ81" s="323"/>
      <c r="CK81" s="323"/>
      <c r="CL81" s="323"/>
      <c r="CM81" s="323"/>
      <c r="CN81" s="323"/>
      <c r="CO81" s="55">
        <f t="shared" si="438"/>
        <v>0</v>
      </c>
      <c r="CP81" s="203"/>
      <c r="CQ81" s="262"/>
      <c r="CR81" s="203"/>
      <c r="CS81" s="203"/>
      <c r="CT81" s="203"/>
      <c r="CU81" s="204"/>
      <c r="CV81" s="204"/>
      <c r="CW81" s="204"/>
      <c r="CX81" s="204"/>
      <c r="CY81" s="204"/>
      <c r="CZ81" s="204"/>
      <c r="DA81" s="204"/>
      <c r="DB81" s="204"/>
      <c r="DC81" s="204"/>
      <c r="DD81" s="204"/>
      <c r="DE81" s="204"/>
    </row>
    <row r="82" spans="1:111" s="205" customFormat="1" ht="24.75" customHeight="1" x14ac:dyDescent="0.2">
      <c r="A82" s="193">
        <v>6</v>
      </c>
      <c r="B82" s="234" t="s">
        <v>252</v>
      </c>
      <c r="C82" s="304" t="s">
        <v>246</v>
      </c>
      <c r="D82" s="235">
        <v>1</v>
      </c>
      <c r="E82" s="638">
        <v>1</v>
      </c>
      <c r="F82" s="196"/>
      <c r="G82" s="242"/>
      <c r="H82" s="196"/>
      <c r="I82" s="292"/>
      <c r="J82" s="292"/>
      <c r="K82" s="196"/>
      <c r="L82" s="196"/>
      <c r="M82" s="196"/>
      <c r="N82" s="196"/>
      <c r="O82" s="196"/>
      <c r="P82" s="196"/>
      <c r="Q82" s="303">
        <f>SUM(E82:P82)</f>
        <v>1</v>
      </c>
      <c r="R82" s="308" t="s">
        <v>260</v>
      </c>
      <c r="S82" s="237">
        <v>45000</v>
      </c>
      <c r="T82" s="237">
        <v>45000</v>
      </c>
      <c r="U82" s="682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175">
        <f>Q82*S82</f>
        <v>45000</v>
      </c>
      <c r="AG82" s="246">
        <f t="shared" ref="AG82:AG85" si="530">T82*E82</f>
        <v>45000</v>
      </c>
      <c r="AH82" s="685">
        <f t="shared" ref="AH82:AH85" si="531">U82*F82</f>
        <v>0</v>
      </c>
      <c r="AI82" s="639">
        <f t="shared" ref="AI82:AI85" si="532">V82*G82</f>
        <v>0</v>
      </c>
      <c r="AJ82" s="246">
        <f t="shared" ref="AJ82:AJ85" si="533">W82*H82</f>
        <v>0</v>
      </c>
      <c r="AK82" s="246">
        <f t="shared" ref="AK82:AK85" si="534">X82*I82</f>
        <v>0</v>
      </c>
      <c r="AL82" s="246">
        <f t="shared" ref="AL82:AL85" si="535">Y82*J82</f>
        <v>0</v>
      </c>
      <c r="AM82" s="246">
        <f t="shared" ref="AM82:AM85" si="536">Z82*K82</f>
        <v>0</v>
      </c>
      <c r="AN82" s="246">
        <f t="shared" ref="AN82:AN85" si="537">AA82*L82</f>
        <v>0</v>
      </c>
      <c r="AO82" s="246">
        <f t="shared" ref="AO82:AO85" si="538">AB82*M82</f>
        <v>0</v>
      </c>
      <c r="AP82" s="246">
        <f t="shared" ref="AP82:AP85" si="539">AC82*N82</f>
        <v>0</v>
      </c>
      <c r="AQ82" s="246">
        <f t="shared" ref="AQ82:AQ85" si="540">AD82*O82</f>
        <v>0</v>
      </c>
      <c r="AR82" s="246">
        <f t="shared" ref="AR82:AR85" si="541">AE82*P82</f>
        <v>0</v>
      </c>
      <c r="AS82" s="177">
        <f t="shared" ref="AS82:AS85" si="542">SUM(AG82:AR82)</f>
        <v>45000</v>
      </c>
      <c r="AT82" s="246">
        <f t="shared" si="528"/>
        <v>675</v>
      </c>
      <c r="AU82" s="685"/>
      <c r="AV82" s="246"/>
      <c r="AW82" s="246">
        <f t="shared" ref="AW82:AW85" si="543">SUM(AJ82*14%)</f>
        <v>0</v>
      </c>
      <c r="AX82" s="246">
        <f t="shared" ref="AX82:AX85" si="544">SUM(AK82*14%)</f>
        <v>0</v>
      </c>
      <c r="AY82" s="246">
        <f t="shared" ref="AY82:AY85" si="545">SUM(AL82*14%)</f>
        <v>0</v>
      </c>
      <c r="AZ82" s="246">
        <f t="shared" ref="AZ82:AZ85" si="546">SUM(AM82*14%)</f>
        <v>0</v>
      </c>
      <c r="BA82" s="246">
        <f t="shared" ref="BA82:BA85" si="547">SUM(AN82*14%)</f>
        <v>0</v>
      </c>
      <c r="BB82" s="246">
        <f t="shared" ref="BB82:BB85" si="548">SUM(AO82*14%)</f>
        <v>0</v>
      </c>
      <c r="BC82" s="246">
        <f t="shared" ref="BC82:BC85" si="549">SUM(AP82*14%)</f>
        <v>0</v>
      </c>
      <c r="BD82" s="246">
        <f t="shared" ref="BD82:BD85" si="550">SUM(AQ82*14%)</f>
        <v>0</v>
      </c>
      <c r="BE82" s="246">
        <f t="shared" ref="BE82:BE85" si="551">SUM(AR82*14%)</f>
        <v>0</v>
      </c>
      <c r="BF82" s="199">
        <f t="shared" ref="BF82:BF85" si="552">SUM(AT82:BE82)</f>
        <v>675</v>
      </c>
      <c r="BG82" s="178">
        <f t="shared" si="529"/>
        <v>0</v>
      </c>
      <c r="BH82" s="179">
        <f t="shared" si="526"/>
        <v>45000</v>
      </c>
      <c r="BI82" s="180">
        <f t="shared" si="508"/>
        <v>0</v>
      </c>
      <c r="BJ82" s="751">
        <f t="shared" ref="BJ82:BJ85" si="553">SUM(Q82/D82)</f>
        <v>1</v>
      </c>
      <c r="BK82" s="752"/>
      <c r="BL82" s="748"/>
      <c r="BM82" s="556"/>
      <c r="BN82" s="567"/>
      <c r="BO82" s="561"/>
      <c r="BP82" s="323"/>
      <c r="BQ82" s="323"/>
      <c r="BR82" s="556">
        <f t="shared" ref="BR82:BR85" si="554">SUM(AI82*12.5%)</f>
        <v>0</v>
      </c>
      <c r="BS82" s="323">
        <f t="shared" ref="BS82:BS85" si="555">SUM(AJ82*12.5%)</f>
        <v>0</v>
      </c>
      <c r="BT82" s="323">
        <f t="shared" ref="BT82:BT85" si="556">SUM(AK82*12.5%)</f>
        <v>0</v>
      </c>
      <c r="BU82" s="323">
        <f t="shared" ref="BU82:BU85" si="557">SUM(AL82*12.5%)</f>
        <v>0</v>
      </c>
      <c r="BV82" s="323">
        <f t="shared" ref="BV82:BV85" si="558">SUM(AM82*12.5%)</f>
        <v>0</v>
      </c>
      <c r="BW82" s="323">
        <f t="shared" ref="BW82:BW85" si="559">SUM(AN82*12.5%)</f>
        <v>0</v>
      </c>
      <c r="BX82" s="323">
        <f t="shared" ref="BX82:BX85" si="560">SUM(AO82*12.5%)</f>
        <v>0</v>
      </c>
      <c r="BY82" s="323">
        <f t="shared" ref="BY82:BY85" si="561">SUM(AP82*12.5%)</f>
        <v>0</v>
      </c>
      <c r="BZ82" s="323">
        <f t="shared" ref="BZ82:BZ85" si="562">SUM(AQ82*12.5%)</f>
        <v>0</v>
      </c>
      <c r="CA82" s="323">
        <f t="shared" ref="CA82:CA85" si="563">SUM(AR82*12.5%)</f>
        <v>0</v>
      </c>
      <c r="CB82" s="55">
        <f t="shared" ref="CB82" si="564">SUM(BP82:CA82)</f>
        <v>0</v>
      </c>
      <c r="CC82" s="323"/>
      <c r="CD82" s="323"/>
      <c r="CE82" s="323"/>
      <c r="CF82" s="323"/>
      <c r="CG82" s="323"/>
      <c r="CH82" s="323"/>
      <c r="CI82" s="323"/>
      <c r="CJ82" s="323"/>
      <c r="CK82" s="323"/>
      <c r="CL82" s="323"/>
      <c r="CM82" s="323"/>
      <c r="CN82" s="323"/>
      <c r="CO82" s="55">
        <f t="shared" ref="CO82:CO85" si="565">SUM(CC82:CN82)</f>
        <v>0</v>
      </c>
      <c r="CP82" s="203"/>
      <c r="CQ82" s="262"/>
      <c r="CR82" s="203"/>
      <c r="CS82" s="203"/>
      <c r="CT82" s="203"/>
      <c r="CU82" s="204"/>
      <c r="CV82" s="204"/>
      <c r="CW82" s="204"/>
      <c r="CX82" s="204"/>
      <c r="CY82" s="204"/>
      <c r="CZ82" s="204"/>
      <c r="DA82" s="204"/>
      <c r="DB82" s="204"/>
      <c r="DC82" s="204"/>
      <c r="DD82" s="204"/>
      <c r="DE82" s="204"/>
    </row>
    <row r="83" spans="1:111" s="205" customFormat="1" ht="24.75" customHeight="1" x14ac:dyDescent="0.2">
      <c r="A83" s="193">
        <v>7</v>
      </c>
      <c r="B83" s="234" t="s">
        <v>253</v>
      </c>
      <c r="C83" s="304" t="s">
        <v>246</v>
      </c>
      <c r="D83" s="235">
        <v>2</v>
      </c>
      <c r="E83" s="638">
        <v>2</v>
      </c>
      <c r="F83" s="196"/>
      <c r="G83" s="242"/>
      <c r="H83" s="196"/>
      <c r="I83" s="292"/>
      <c r="J83" s="292"/>
      <c r="K83" s="196"/>
      <c r="L83" s="196"/>
      <c r="M83" s="196"/>
      <c r="N83" s="196"/>
      <c r="O83" s="196"/>
      <c r="P83" s="196"/>
      <c r="Q83" s="197">
        <f t="shared" ref="Q83" si="566">SUM(E83:P83)</f>
        <v>2</v>
      </c>
      <c r="R83" s="308" t="s">
        <v>260</v>
      </c>
      <c r="S83" s="237">
        <v>100000</v>
      </c>
      <c r="T83" s="237">
        <v>100000</v>
      </c>
      <c r="U83" s="683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175">
        <f t="shared" ref="AF83" si="567">Q83*S83</f>
        <v>200000</v>
      </c>
      <c r="AG83" s="246">
        <f t="shared" si="530"/>
        <v>200000</v>
      </c>
      <c r="AH83" s="685">
        <f t="shared" si="531"/>
        <v>0</v>
      </c>
      <c r="AI83" s="639">
        <f t="shared" si="532"/>
        <v>0</v>
      </c>
      <c r="AJ83" s="246">
        <f t="shared" si="533"/>
        <v>0</v>
      </c>
      <c r="AK83" s="246">
        <f t="shared" si="534"/>
        <v>0</v>
      </c>
      <c r="AL83" s="246">
        <f t="shared" si="535"/>
        <v>0</v>
      </c>
      <c r="AM83" s="246">
        <f t="shared" si="536"/>
        <v>0</v>
      </c>
      <c r="AN83" s="246">
        <f t="shared" si="537"/>
        <v>0</v>
      </c>
      <c r="AO83" s="246">
        <f t="shared" si="538"/>
        <v>0</v>
      </c>
      <c r="AP83" s="246">
        <f t="shared" si="539"/>
        <v>0</v>
      </c>
      <c r="AQ83" s="246">
        <f t="shared" si="540"/>
        <v>0</v>
      </c>
      <c r="AR83" s="246">
        <f t="shared" si="541"/>
        <v>0</v>
      </c>
      <c r="AS83" s="177">
        <f t="shared" si="542"/>
        <v>200000</v>
      </c>
      <c r="AT83" s="246">
        <f t="shared" si="528"/>
        <v>3000</v>
      </c>
      <c r="AU83" s="685"/>
      <c r="AV83" s="246"/>
      <c r="AW83" s="246">
        <f t="shared" si="543"/>
        <v>0</v>
      </c>
      <c r="AX83" s="246">
        <f t="shared" si="544"/>
        <v>0</v>
      </c>
      <c r="AY83" s="246">
        <f t="shared" si="545"/>
        <v>0</v>
      </c>
      <c r="AZ83" s="246">
        <f t="shared" si="546"/>
        <v>0</v>
      </c>
      <c r="BA83" s="246">
        <f t="shared" si="547"/>
        <v>0</v>
      </c>
      <c r="BB83" s="246">
        <f t="shared" si="548"/>
        <v>0</v>
      </c>
      <c r="BC83" s="246">
        <f t="shared" si="549"/>
        <v>0</v>
      </c>
      <c r="BD83" s="246">
        <f t="shared" si="550"/>
        <v>0</v>
      </c>
      <c r="BE83" s="246">
        <f t="shared" si="551"/>
        <v>0</v>
      </c>
      <c r="BF83" s="199">
        <f t="shared" si="552"/>
        <v>3000</v>
      </c>
      <c r="BG83" s="178">
        <f t="shared" si="529"/>
        <v>0</v>
      </c>
      <c r="BH83" s="179">
        <f t="shared" si="526"/>
        <v>200000</v>
      </c>
      <c r="BI83" s="180">
        <f t="shared" si="508"/>
        <v>0</v>
      </c>
      <c r="BJ83" s="751">
        <f t="shared" si="553"/>
        <v>1</v>
      </c>
      <c r="BK83" s="752"/>
      <c r="BL83" s="748"/>
      <c r="BM83" s="556"/>
      <c r="BN83" s="567"/>
      <c r="BO83" s="561"/>
      <c r="BP83" s="323"/>
      <c r="BQ83" s="323"/>
      <c r="BR83" s="556">
        <f t="shared" si="554"/>
        <v>0</v>
      </c>
      <c r="BS83" s="323">
        <f t="shared" si="555"/>
        <v>0</v>
      </c>
      <c r="BT83" s="323">
        <f t="shared" si="556"/>
        <v>0</v>
      </c>
      <c r="BU83" s="323">
        <f t="shared" si="557"/>
        <v>0</v>
      </c>
      <c r="BV83" s="323">
        <f t="shared" si="558"/>
        <v>0</v>
      </c>
      <c r="BW83" s="323">
        <f t="shared" si="559"/>
        <v>0</v>
      </c>
      <c r="BX83" s="323">
        <f t="shared" si="560"/>
        <v>0</v>
      </c>
      <c r="BY83" s="323">
        <f t="shared" si="561"/>
        <v>0</v>
      </c>
      <c r="BZ83" s="323">
        <f t="shared" si="562"/>
        <v>0</v>
      </c>
      <c r="CA83" s="323">
        <f t="shared" si="563"/>
        <v>0</v>
      </c>
      <c r="CB83" s="55">
        <f t="shared" ref="CB83" si="568">SUM(BP83:CA83)</f>
        <v>0</v>
      </c>
      <c r="CC83" s="323"/>
      <c r="CD83" s="323"/>
      <c r="CE83" s="323"/>
      <c r="CF83" s="323"/>
      <c r="CG83" s="323"/>
      <c r="CH83" s="323"/>
      <c r="CI83" s="323"/>
      <c r="CJ83" s="323"/>
      <c r="CK83" s="323"/>
      <c r="CL83" s="323"/>
      <c r="CM83" s="323"/>
      <c r="CN83" s="323"/>
      <c r="CO83" s="55">
        <f t="shared" si="565"/>
        <v>0</v>
      </c>
      <c r="CP83" s="203"/>
      <c r="CQ83" s="262"/>
      <c r="CR83" s="203"/>
      <c r="CS83" s="203"/>
      <c r="CT83" s="203"/>
      <c r="CU83" s="204"/>
      <c r="CV83" s="204"/>
      <c r="CW83" s="204"/>
      <c r="CX83" s="204"/>
      <c r="CY83" s="204"/>
      <c r="CZ83" s="204"/>
      <c r="DA83" s="204"/>
      <c r="DB83" s="204"/>
      <c r="DC83" s="204"/>
      <c r="DD83" s="204"/>
      <c r="DE83" s="204"/>
    </row>
    <row r="84" spans="1:111" s="205" customFormat="1" ht="24.75" customHeight="1" x14ac:dyDescent="0.2">
      <c r="A84" s="193">
        <v>8</v>
      </c>
      <c r="B84" s="234" t="s">
        <v>254</v>
      </c>
      <c r="C84" s="304" t="s">
        <v>246</v>
      </c>
      <c r="D84" s="235">
        <v>1</v>
      </c>
      <c r="E84" s="638">
        <v>1</v>
      </c>
      <c r="F84" s="196"/>
      <c r="G84" s="242"/>
      <c r="H84" s="196"/>
      <c r="I84" s="292"/>
      <c r="J84" s="292"/>
      <c r="K84" s="196"/>
      <c r="L84" s="196"/>
      <c r="M84" s="196"/>
      <c r="N84" s="196"/>
      <c r="O84" s="196"/>
      <c r="P84" s="196"/>
      <c r="Q84" s="303">
        <f>SUM(E84:P84)</f>
        <v>1</v>
      </c>
      <c r="R84" s="308" t="s">
        <v>245</v>
      </c>
      <c r="S84" s="237">
        <v>93000</v>
      </c>
      <c r="T84" s="237">
        <v>93000</v>
      </c>
      <c r="U84" s="682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175">
        <f>Q84*S84</f>
        <v>93000</v>
      </c>
      <c r="AG84" s="246">
        <f t="shared" si="530"/>
        <v>93000</v>
      </c>
      <c r="AH84" s="685">
        <f t="shared" si="531"/>
        <v>0</v>
      </c>
      <c r="AI84" s="639">
        <f t="shared" si="532"/>
        <v>0</v>
      </c>
      <c r="AJ84" s="246">
        <f t="shared" si="533"/>
        <v>0</v>
      </c>
      <c r="AK84" s="246">
        <f t="shared" si="534"/>
        <v>0</v>
      </c>
      <c r="AL84" s="246">
        <f t="shared" si="535"/>
        <v>0</v>
      </c>
      <c r="AM84" s="246">
        <f t="shared" si="536"/>
        <v>0</v>
      </c>
      <c r="AN84" s="246">
        <f t="shared" si="537"/>
        <v>0</v>
      </c>
      <c r="AO84" s="246">
        <f t="shared" si="538"/>
        <v>0</v>
      </c>
      <c r="AP84" s="246">
        <f t="shared" si="539"/>
        <v>0</v>
      </c>
      <c r="AQ84" s="246">
        <f t="shared" si="540"/>
        <v>0</v>
      </c>
      <c r="AR84" s="246">
        <f t="shared" si="541"/>
        <v>0</v>
      </c>
      <c r="AS84" s="177">
        <f t="shared" si="542"/>
        <v>93000</v>
      </c>
      <c r="AT84" s="246">
        <f t="shared" si="528"/>
        <v>1395</v>
      </c>
      <c r="AU84" s="685"/>
      <c r="AV84" s="246"/>
      <c r="AW84" s="246">
        <f t="shared" si="543"/>
        <v>0</v>
      </c>
      <c r="AX84" s="246">
        <f t="shared" si="544"/>
        <v>0</v>
      </c>
      <c r="AY84" s="246">
        <f t="shared" si="545"/>
        <v>0</v>
      </c>
      <c r="AZ84" s="246">
        <f t="shared" si="546"/>
        <v>0</v>
      </c>
      <c r="BA84" s="246">
        <f t="shared" si="547"/>
        <v>0</v>
      </c>
      <c r="BB84" s="246">
        <f t="shared" si="548"/>
        <v>0</v>
      </c>
      <c r="BC84" s="246">
        <f t="shared" si="549"/>
        <v>0</v>
      </c>
      <c r="BD84" s="246">
        <f t="shared" si="550"/>
        <v>0</v>
      </c>
      <c r="BE84" s="246">
        <f t="shared" si="551"/>
        <v>0</v>
      </c>
      <c r="BF84" s="199">
        <f t="shared" si="552"/>
        <v>1395</v>
      </c>
      <c r="BG84" s="178">
        <f t="shared" si="529"/>
        <v>0</v>
      </c>
      <c r="BH84" s="179">
        <f t="shared" si="526"/>
        <v>93000</v>
      </c>
      <c r="BI84" s="180">
        <f t="shared" si="508"/>
        <v>0</v>
      </c>
      <c r="BJ84" s="751">
        <f t="shared" si="553"/>
        <v>1</v>
      </c>
      <c r="BK84" s="752"/>
      <c r="BL84" s="748"/>
      <c r="BM84" s="556"/>
      <c r="BN84" s="567"/>
      <c r="BO84" s="561"/>
      <c r="BP84" s="323"/>
      <c r="BQ84" s="323"/>
      <c r="BR84" s="556">
        <f t="shared" si="554"/>
        <v>0</v>
      </c>
      <c r="BS84" s="323">
        <f t="shared" si="555"/>
        <v>0</v>
      </c>
      <c r="BT84" s="323">
        <f t="shared" si="556"/>
        <v>0</v>
      </c>
      <c r="BU84" s="323">
        <f t="shared" si="557"/>
        <v>0</v>
      </c>
      <c r="BV84" s="323">
        <f t="shared" si="558"/>
        <v>0</v>
      </c>
      <c r="BW84" s="323">
        <f t="shared" si="559"/>
        <v>0</v>
      </c>
      <c r="BX84" s="323">
        <f t="shared" si="560"/>
        <v>0</v>
      </c>
      <c r="BY84" s="323">
        <f t="shared" si="561"/>
        <v>0</v>
      </c>
      <c r="BZ84" s="323">
        <f t="shared" si="562"/>
        <v>0</v>
      </c>
      <c r="CA84" s="323">
        <f t="shared" si="563"/>
        <v>0</v>
      </c>
      <c r="CB84" s="55">
        <f t="shared" ref="CB84" si="569">SUM(BP84:CA84)</f>
        <v>0</v>
      </c>
      <c r="CC84" s="323"/>
      <c r="CD84" s="323"/>
      <c r="CE84" s="323"/>
      <c r="CF84" s="323"/>
      <c r="CG84" s="323"/>
      <c r="CH84" s="323"/>
      <c r="CI84" s="323"/>
      <c r="CJ84" s="323"/>
      <c r="CK84" s="323"/>
      <c r="CL84" s="323"/>
      <c r="CM84" s="323"/>
      <c r="CN84" s="323"/>
      <c r="CO84" s="55">
        <f t="shared" si="565"/>
        <v>0</v>
      </c>
      <c r="CP84" s="203"/>
      <c r="CQ84" s="262"/>
      <c r="CR84" s="203"/>
      <c r="CS84" s="203"/>
      <c r="CT84" s="203"/>
      <c r="CU84" s="204"/>
      <c r="CV84" s="204"/>
      <c r="CW84" s="204"/>
      <c r="CX84" s="204"/>
      <c r="CY84" s="204"/>
      <c r="CZ84" s="204"/>
      <c r="DA84" s="204"/>
      <c r="DB84" s="204"/>
      <c r="DC84" s="204"/>
      <c r="DD84" s="204"/>
      <c r="DE84" s="204"/>
    </row>
    <row r="85" spans="1:111" s="205" customFormat="1" ht="24.75" customHeight="1" x14ac:dyDescent="0.2">
      <c r="A85" s="193">
        <v>9</v>
      </c>
      <c r="B85" s="234" t="s">
        <v>255</v>
      </c>
      <c r="C85" s="304" t="s">
        <v>246</v>
      </c>
      <c r="D85" s="235">
        <v>1</v>
      </c>
      <c r="E85" s="638">
        <v>1</v>
      </c>
      <c r="F85" s="196"/>
      <c r="G85" s="242"/>
      <c r="H85" s="196"/>
      <c r="I85" s="292"/>
      <c r="J85" s="292"/>
      <c r="K85" s="196"/>
      <c r="L85" s="196"/>
      <c r="M85" s="196"/>
      <c r="N85" s="196"/>
      <c r="O85" s="196"/>
      <c r="P85" s="196"/>
      <c r="Q85" s="197">
        <f t="shared" ref="Q85" si="570">SUM(E85:P85)</f>
        <v>1</v>
      </c>
      <c r="R85" s="308" t="s">
        <v>245</v>
      </c>
      <c r="S85" s="237">
        <v>50000</v>
      </c>
      <c r="T85" s="237">
        <v>50000</v>
      </c>
      <c r="U85" s="683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175">
        <f t="shared" ref="AF85" si="571">Q85*S85</f>
        <v>50000</v>
      </c>
      <c r="AG85" s="246">
        <f t="shared" si="530"/>
        <v>50000</v>
      </c>
      <c r="AH85" s="685">
        <f t="shared" si="531"/>
        <v>0</v>
      </c>
      <c r="AI85" s="639">
        <f t="shared" si="532"/>
        <v>0</v>
      </c>
      <c r="AJ85" s="246">
        <f t="shared" si="533"/>
        <v>0</v>
      </c>
      <c r="AK85" s="246">
        <f t="shared" si="534"/>
        <v>0</v>
      </c>
      <c r="AL85" s="246">
        <f t="shared" si="535"/>
        <v>0</v>
      </c>
      <c r="AM85" s="246">
        <f t="shared" si="536"/>
        <v>0</v>
      </c>
      <c r="AN85" s="246">
        <f t="shared" si="537"/>
        <v>0</v>
      </c>
      <c r="AO85" s="246">
        <f t="shared" si="538"/>
        <v>0</v>
      </c>
      <c r="AP85" s="246">
        <f t="shared" si="539"/>
        <v>0</v>
      </c>
      <c r="AQ85" s="246">
        <f t="shared" si="540"/>
        <v>0</v>
      </c>
      <c r="AR85" s="246">
        <f t="shared" si="541"/>
        <v>0</v>
      </c>
      <c r="AS85" s="177">
        <f t="shared" si="542"/>
        <v>50000</v>
      </c>
      <c r="AT85" s="246">
        <f t="shared" si="528"/>
        <v>750</v>
      </c>
      <c r="AU85" s="685"/>
      <c r="AV85" s="246"/>
      <c r="AW85" s="246">
        <f t="shared" si="543"/>
        <v>0</v>
      </c>
      <c r="AX85" s="246">
        <f t="shared" si="544"/>
        <v>0</v>
      </c>
      <c r="AY85" s="246">
        <f t="shared" si="545"/>
        <v>0</v>
      </c>
      <c r="AZ85" s="246">
        <f t="shared" si="546"/>
        <v>0</v>
      </c>
      <c r="BA85" s="246">
        <f t="shared" si="547"/>
        <v>0</v>
      </c>
      <c r="BB85" s="246">
        <f t="shared" si="548"/>
        <v>0</v>
      </c>
      <c r="BC85" s="246">
        <f t="shared" si="549"/>
        <v>0</v>
      </c>
      <c r="BD85" s="246">
        <f t="shared" si="550"/>
        <v>0</v>
      </c>
      <c r="BE85" s="246">
        <f t="shared" si="551"/>
        <v>0</v>
      </c>
      <c r="BF85" s="199">
        <f t="shared" si="552"/>
        <v>750</v>
      </c>
      <c r="BG85" s="178">
        <f t="shared" si="529"/>
        <v>0</v>
      </c>
      <c r="BH85" s="179">
        <f t="shared" si="526"/>
        <v>50000</v>
      </c>
      <c r="BI85" s="180">
        <f t="shared" si="508"/>
        <v>0</v>
      </c>
      <c r="BJ85" s="751">
        <f t="shared" si="553"/>
        <v>1</v>
      </c>
      <c r="BK85" s="752"/>
      <c r="BL85" s="748"/>
      <c r="BM85" s="556"/>
      <c r="BN85" s="567"/>
      <c r="BO85" s="561"/>
      <c r="BP85" s="323"/>
      <c r="BQ85" s="323"/>
      <c r="BR85" s="556">
        <f t="shared" si="554"/>
        <v>0</v>
      </c>
      <c r="BS85" s="323">
        <f t="shared" si="555"/>
        <v>0</v>
      </c>
      <c r="BT85" s="323">
        <f t="shared" si="556"/>
        <v>0</v>
      </c>
      <c r="BU85" s="323">
        <f t="shared" si="557"/>
        <v>0</v>
      </c>
      <c r="BV85" s="323">
        <f t="shared" si="558"/>
        <v>0</v>
      </c>
      <c r="BW85" s="323">
        <f t="shared" si="559"/>
        <v>0</v>
      </c>
      <c r="BX85" s="323">
        <f t="shared" si="560"/>
        <v>0</v>
      </c>
      <c r="BY85" s="323">
        <f t="shared" si="561"/>
        <v>0</v>
      </c>
      <c r="BZ85" s="323">
        <f t="shared" si="562"/>
        <v>0</v>
      </c>
      <c r="CA85" s="323">
        <f t="shared" si="563"/>
        <v>0</v>
      </c>
      <c r="CB85" s="55">
        <f t="shared" ref="CB85" si="572">SUM(BP85:CA85)</f>
        <v>0</v>
      </c>
      <c r="CC85" s="323"/>
      <c r="CD85" s="323"/>
      <c r="CE85" s="323"/>
      <c r="CF85" s="323"/>
      <c r="CG85" s="323"/>
      <c r="CH85" s="323"/>
      <c r="CI85" s="323"/>
      <c r="CJ85" s="323"/>
      <c r="CK85" s="323"/>
      <c r="CL85" s="323"/>
      <c r="CM85" s="323"/>
      <c r="CN85" s="323"/>
      <c r="CO85" s="55">
        <f t="shared" si="565"/>
        <v>0</v>
      </c>
      <c r="CP85" s="203"/>
      <c r="CQ85" s="262"/>
      <c r="CR85" s="203"/>
      <c r="CS85" s="203"/>
      <c r="CT85" s="203"/>
      <c r="CU85" s="204"/>
      <c r="CV85" s="204"/>
      <c r="CW85" s="204"/>
      <c r="CX85" s="204"/>
      <c r="CY85" s="204"/>
      <c r="CZ85" s="204"/>
      <c r="DA85" s="204"/>
      <c r="DB85" s="204"/>
      <c r="DC85" s="204"/>
      <c r="DD85" s="204"/>
      <c r="DE85" s="204"/>
    </row>
    <row r="86" spans="1:111" s="205" customFormat="1" ht="24.75" customHeight="1" x14ac:dyDescent="0.2">
      <c r="A86" s="193">
        <v>10</v>
      </c>
      <c r="B86" s="234" t="s">
        <v>256</v>
      </c>
      <c r="C86" s="304" t="s">
        <v>246</v>
      </c>
      <c r="D86" s="235">
        <v>2</v>
      </c>
      <c r="E86" s="638">
        <v>2</v>
      </c>
      <c r="F86" s="196"/>
      <c r="G86" s="242"/>
      <c r="H86" s="196"/>
      <c r="I86" s="292"/>
      <c r="J86" s="292"/>
      <c r="K86" s="196"/>
      <c r="L86" s="196"/>
      <c r="M86" s="196"/>
      <c r="N86" s="196"/>
      <c r="O86" s="196"/>
      <c r="P86" s="196"/>
      <c r="Q86" s="303">
        <f>SUM(E86:P86)</f>
        <v>2</v>
      </c>
      <c r="R86" s="308" t="s">
        <v>245</v>
      </c>
      <c r="S86" s="237">
        <v>400000</v>
      </c>
      <c r="T86" s="237">
        <v>400000</v>
      </c>
      <c r="U86" s="682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175">
        <f>Q86*S86</f>
        <v>800000</v>
      </c>
      <c r="AG86" s="246">
        <f t="shared" si="478"/>
        <v>800000</v>
      </c>
      <c r="AH86" s="685">
        <f t="shared" si="403"/>
        <v>0</v>
      </c>
      <c r="AI86" s="639">
        <f t="shared" si="404"/>
        <v>0</v>
      </c>
      <c r="AJ86" s="246">
        <f t="shared" si="405"/>
        <v>0</v>
      </c>
      <c r="AK86" s="246">
        <f t="shared" si="406"/>
        <v>0</v>
      </c>
      <c r="AL86" s="246">
        <f t="shared" si="407"/>
        <v>0</v>
      </c>
      <c r="AM86" s="246">
        <f t="shared" si="408"/>
        <v>0</v>
      </c>
      <c r="AN86" s="246">
        <f t="shared" si="409"/>
        <v>0</v>
      </c>
      <c r="AO86" s="246">
        <f t="shared" si="410"/>
        <v>0</v>
      </c>
      <c r="AP86" s="246">
        <f t="shared" si="411"/>
        <v>0</v>
      </c>
      <c r="AQ86" s="246">
        <f t="shared" si="412"/>
        <v>0</v>
      </c>
      <c r="AR86" s="246">
        <f t="shared" si="413"/>
        <v>0</v>
      </c>
      <c r="AS86" s="177">
        <f t="shared" si="414"/>
        <v>800000</v>
      </c>
      <c r="AT86" s="246">
        <f t="shared" si="528"/>
        <v>12000</v>
      </c>
      <c r="AU86" s="685"/>
      <c r="AV86" s="246"/>
      <c r="AW86" s="246">
        <f t="shared" si="415"/>
        <v>0</v>
      </c>
      <c r="AX86" s="246">
        <f t="shared" si="416"/>
        <v>0</v>
      </c>
      <c r="AY86" s="246">
        <f t="shared" si="417"/>
        <v>0</v>
      </c>
      <c r="AZ86" s="246">
        <f t="shared" si="418"/>
        <v>0</v>
      </c>
      <c r="BA86" s="246">
        <f t="shared" si="419"/>
        <v>0</v>
      </c>
      <c r="BB86" s="246">
        <f t="shared" si="420"/>
        <v>0</v>
      </c>
      <c r="BC86" s="246">
        <f t="shared" si="421"/>
        <v>0</v>
      </c>
      <c r="BD86" s="246">
        <f t="shared" si="422"/>
        <v>0</v>
      </c>
      <c r="BE86" s="246">
        <f t="shared" si="423"/>
        <v>0</v>
      </c>
      <c r="BF86" s="199">
        <f t="shared" si="424"/>
        <v>12000</v>
      </c>
      <c r="BG86" s="178">
        <f t="shared" si="529"/>
        <v>0</v>
      </c>
      <c r="BH86" s="179">
        <f t="shared" si="526"/>
        <v>800000</v>
      </c>
      <c r="BI86" s="180">
        <f t="shared" si="508"/>
        <v>0</v>
      </c>
      <c r="BJ86" s="751">
        <f t="shared" si="426"/>
        <v>1</v>
      </c>
      <c r="BK86" s="752"/>
      <c r="BL86" s="748"/>
      <c r="BM86" s="556"/>
      <c r="BN86" s="567"/>
      <c r="BO86" s="561"/>
      <c r="BP86" s="323"/>
      <c r="BQ86" s="323"/>
      <c r="BR86" s="556">
        <f t="shared" si="427"/>
        <v>0</v>
      </c>
      <c r="BS86" s="323">
        <f t="shared" si="428"/>
        <v>0</v>
      </c>
      <c r="BT86" s="323">
        <f t="shared" si="429"/>
        <v>0</v>
      </c>
      <c r="BU86" s="323">
        <f t="shared" si="430"/>
        <v>0</v>
      </c>
      <c r="BV86" s="323">
        <f t="shared" si="431"/>
        <v>0</v>
      </c>
      <c r="BW86" s="323">
        <f t="shared" si="432"/>
        <v>0</v>
      </c>
      <c r="BX86" s="323">
        <f t="shared" si="433"/>
        <v>0</v>
      </c>
      <c r="BY86" s="323">
        <f t="shared" si="434"/>
        <v>0</v>
      </c>
      <c r="BZ86" s="323">
        <f t="shared" si="435"/>
        <v>0</v>
      </c>
      <c r="CA86" s="323">
        <f t="shared" si="436"/>
        <v>0</v>
      </c>
      <c r="CB86" s="55">
        <f t="shared" ref="CB86" si="573">SUM(BP86:CA86)</f>
        <v>0</v>
      </c>
      <c r="CC86" s="323"/>
      <c r="CD86" s="323"/>
      <c r="CE86" s="323"/>
      <c r="CF86" s="323"/>
      <c r="CG86" s="323"/>
      <c r="CH86" s="323"/>
      <c r="CI86" s="323"/>
      <c r="CJ86" s="323"/>
      <c r="CK86" s="323"/>
      <c r="CL86" s="323"/>
      <c r="CM86" s="323"/>
      <c r="CN86" s="323"/>
      <c r="CO86" s="55">
        <f t="shared" si="438"/>
        <v>0</v>
      </c>
      <c r="CP86" s="203"/>
      <c r="CQ86" s="262"/>
      <c r="CR86" s="203"/>
      <c r="CS86" s="203"/>
      <c r="CT86" s="203"/>
      <c r="CU86" s="204"/>
      <c r="CV86" s="204"/>
      <c r="CW86" s="204"/>
      <c r="CX86" s="204"/>
      <c r="CY86" s="204"/>
      <c r="CZ86" s="204"/>
      <c r="DA86" s="204"/>
      <c r="DB86" s="204"/>
      <c r="DC86" s="204"/>
      <c r="DD86" s="204"/>
      <c r="DE86" s="204"/>
    </row>
    <row r="87" spans="1:111" s="205" customFormat="1" ht="24.75" customHeight="1" x14ac:dyDescent="0.2">
      <c r="A87" s="193"/>
      <c r="B87" s="635" t="s">
        <v>257</v>
      </c>
      <c r="C87" s="636"/>
      <c r="D87" s="234"/>
      <c r="E87" s="650"/>
      <c r="F87" s="235"/>
      <c r="G87" s="638"/>
      <c r="H87" s="196"/>
      <c r="I87" s="242"/>
      <c r="J87" s="196"/>
      <c r="K87" s="292"/>
      <c r="L87" s="292"/>
      <c r="M87" s="196"/>
      <c r="N87" s="196"/>
      <c r="O87" s="196"/>
      <c r="P87" s="196"/>
      <c r="Q87" s="196"/>
      <c r="R87" s="196"/>
      <c r="S87" s="303"/>
      <c r="T87" s="303"/>
      <c r="U87" s="684"/>
      <c r="V87" s="637"/>
      <c r="W87" s="206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686"/>
      <c r="AI87" s="639"/>
      <c r="AJ87" s="246"/>
      <c r="AK87" s="246"/>
      <c r="AL87" s="246"/>
      <c r="AM87" s="246"/>
      <c r="AN87" s="246"/>
      <c r="AO87" s="246"/>
      <c r="AP87" s="246"/>
      <c r="AQ87" s="246"/>
      <c r="AR87" s="246"/>
      <c r="AS87" s="246"/>
      <c r="AT87" s="246"/>
      <c r="AU87" s="687"/>
      <c r="AV87" s="246"/>
      <c r="AW87" s="246"/>
      <c r="AX87" s="246"/>
      <c r="AY87" s="246"/>
      <c r="AZ87" s="246"/>
      <c r="BA87" s="246"/>
      <c r="BB87" s="246"/>
      <c r="BC87" s="246"/>
      <c r="BD87" s="246"/>
      <c r="BE87" s="246"/>
      <c r="BF87" s="246"/>
      <c r="BG87" s="246"/>
      <c r="BH87" s="199"/>
      <c r="BI87" s="180">
        <f t="shared" si="508"/>
        <v>0</v>
      </c>
      <c r="BJ87" s="749"/>
      <c r="BK87" s="750">
        <f>BJ87-AU87-BH87</f>
        <v>0</v>
      </c>
      <c r="BL87" s="699"/>
      <c r="BM87" s="700"/>
      <c r="BN87" s="556"/>
      <c r="BO87" s="556"/>
      <c r="BP87" s="567">
        <f>SUM(BN87-BO87)</f>
        <v>0</v>
      </c>
      <c r="BQ87" s="561"/>
      <c r="BR87" s="323"/>
      <c r="BS87" s="323"/>
      <c r="BT87" s="556">
        <f t="shared" ref="BT87" si="574">SUM(AK87*12.5%)</f>
        <v>0</v>
      </c>
      <c r="BU87" s="323">
        <f t="shared" si="430"/>
        <v>0</v>
      </c>
      <c r="BV87" s="323">
        <f t="shared" si="431"/>
        <v>0</v>
      </c>
      <c r="BW87" s="323">
        <f t="shared" si="432"/>
        <v>0</v>
      </c>
      <c r="BX87" s="323">
        <f t="shared" si="433"/>
        <v>0</v>
      </c>
      <c r="BY87" s="323">
        <f t="shared" si="434"/>
        <v>0</v>
      </c>
      <c r="BZ87" s="323">
        <f t="shared" si="435"/>
        <v>0</v>
      </c>
      <c r="CA87" s="323">
        <f t="shared" si="436"/>
        <v>0</v>
      </c>
      <c r="CB87" s="323">
        <f t="shared" ref="CB87" si="575">SUM(AS87*12.5%)</f>
        <v>0</v>
      </c>
      <c r="CC87" s="323">
        <f t="shared" ref="CC87" si="576">SUM(AT87*12.5%)</f>
        <v>0</v>
      </c>
      <c r="CD87" s="55">
        <f t="shared" ref="CD87" si="577">SUM(BR87:CC87)</f>
        <v>0</v>
      </c>
      <c r="CE87" s="323"/>
      <c r="CF87" s="323"/>
      <c r="CG87" s="323"/>
      <c r="CH87" s="323"/>
      <c r="CI87" s="323"/>
      <c r="CJ87" s="323"/>
      <c r="CK87" s="323"/>
      <c r="CL87" s="323"/>
      <c r="CM87" s="323"/>
      <c r="CN87" s="323"/>
      <c r="CO87" s="323"/>
      <c r="CP87" s="323"/>
      <c r="CQ87" s="55">
        <f t="shared" ref="CQ87" si="578">SUM(CE87:CP87)</f>
        <v>0</v>
      </c>
      <c r="CR87" s="203"/>
      <c r="CS87" s="262"/>
      <c r="CT87" s="203"/>
      <c r="CU87" s="203"/>
      <c r="CV87" s="203"/>
      <c r="CW87" s="204"/>
      <c r="CX87" s="204"/>
      <c r="CY87" s="204"/>
      <c r="CZ87" s="204"/>
      <c r="DA87" s="204"/>
      <c r="DB87" s="204"/>
      <c r="DC87" s="204"/>
      <c r="DD87" s="204"/>
      <c r="DE87" s="204"/>
      <c r="DF87" s="204"/>
      <c r="DG87" s="204"/>
    </row>
    <row r="88" spans="1:111" s="205" customFormat="1" ht="24.75" customHeight="1" thickBot="1" x14ac:dyDescent="0.25">
      <c r="A88" s="193">
        <v>11</v>
      </c>
      <c r="B88" s="234" t="s">
        <v>258</v>
      </c>
      <c r="C88" s="304" t="s">
        <v>246</v>
      </c>
      <c r="D88" s="235">
        <v>4</v>
      </c>
      <c r="E88" s="638">
        <v>4</v>
      </c>
      <c r="F88" s="196"/>
      <c r="G88" s="242"/>
      <c r="H88" s="196"/>
      <c r="I88" s="292"/>
      <c r="J88" s="292"/>
      <c r="K88" s="196"/>
      <c r="L88" s="196"/>
      <c r="M88" s="196"/>
      <c r="N88" s="196"/>
      <c r="O88" s="196"/>
      <c r="P88" s="196"/>
      <c r="Q88" s="197">
        <f t="shared" ref="Q88" si="579">SUM(E88:P88)</f>
        <v>4</v>
      </c>
      <c r="R88" s="308" t="s">
        <v>25</v>
      </c>
      <c r="S88" s="237">
        <v>100000</v>
      </c>
      <c r="T88" s="237">
        <v>100000</v>
      </c>
      <c r="U88" s="683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175">
        <f t="shared" ref="AF88" si="580">Q88*S88</f>
        <v>400000</v>
      </c>
      <c r="AG88" s="246">
        <f t="shared" si="478"/>
        <v>400000</v>
      </c>
      <c r="AH88" s="685">
        <f t="shared" si="403"/>
        <v>0</v>
      </c>
      <c r="AI88" s="246">
        <f t="shared" si="404"/>
        <v>0</v>
      </c>
      <c r="AJ88" s="246">
        <f t="shared" si="405"/>
        <v>0</v>
      </c>
      <c r="AK88" s="246">
        <f t="shared" si="406"/>
        <v>0</v>
      </c>
      <c r="AL88" s="246">
        <f t="shared" si="407"/>
        <v>0</v>
      </c>
      <c r="AM88" s="246">
        <f t="shared" si="408"/>
        <v>0</v>
      </c>
      <c r="AN88" s="246">
        <f t="shared" si="409"/>
        <v>0</v>
      </c>
      <c r="AO88" s="246">
        <f t="shared" si="410"/>
        <v>0</v>
      </c>
      <c r="AP88" s="246">
        <f t="shared" si="411"/>
        <v>0</v>
      </c>
      <c r="AQ88" s="246">
        <f t="shared" si="412"/>
        <v>0</v>
      </c>
      <c r="AR88" s="246">
        <f t="shared" si="413"/>
        <v>0</v>
      </c>
      <c r="AS88" s="177">
        <f t="shared" si="414"/>
        <v>400000</v>
      </c>
      <c r="AT88" s="246"/>
      <c r="AU88" s="685"/>
      <c r="AV88" s="246"/>
      <c r="AW88" s="246">
        <f t="shared" si="415"/>
        <v>0</v>
      </c>
      <c r="AX88" s="246">
        <f t="shared" si="416"/>
        <v>0</v>
      </c>
      <c r="AY88" s="246">
        <f t="shared" si="417"/>
        <v>0</v>
      </c>
      <c r="AZ88" s="246">
        <f t="shared" si="418"/>
        <v>0</v>
      </c>
      <c r="BA88" s="246">
        <f t="shared" si="419"/>
        <v>0</v>
      </c>
      <c r="BB88" s="246">
        <f t="shared" si="420"/>
        <v>0</v>
      </c>
      <c r="BC88" s="246">
        <f t="shared" si="421"/>
        <v>0</v>
      </c>
      <c r="BD88" s="246">
        <f t="shared" si="422"/>
        <v>0</v>
      </c>
      <c r="BE88" s="246">
        <f t="shared" si="423"/>
        <v>0</v>
      </c>
      <c r="BF88" s="199">
        <f t="shared" si="424"/>
        <v>0</v>
      </c>
      <c r="BG88" s="178">
        <f t="shared" si="425"/>
        <v>0</v>
      </c>
      <c r="BH88" s="179">
        <f>S88*D88</f>
        <v>400000</v>
      </c>
      <c r="BI88" s="180">
        <f t="shared" si="508"/>
        <v>0</v>
      </c>
      <c r="BJ88" s="181">
        <f t="shared" si="426"/>
        <v>1</v>
      </c>
      <c r="BK88" s="285"/>
      <c r="BL88" s="556"/>
      <c r="BM88" s="556"/>
      <c r="BN88" s="567"/>
      <c r="BO88" s="561"/>
      <c r="BP88" s="323"/>
      <c r="BQ88" s="323"/>
      <c r="BR88" s="556">
        <f t="shared" si="427"/>
        <v>0</v>
      </c>
      <c r="BS88" s="323">
        <f t="shared" si="428"/>
        <v>0</v>
      </c>
      <c r="BT88" s="323">
        <f t="shared" si="429"/>
        <v>0</v>
      </c>
      <c r="BU88" s="323">
        <f t="shared" si="430"/>
        <v>0</v>
      </c>
      <c r="BV88" s="323">
        <f t="shared" si="431"/>
        <v>0</v>
      </c>
      <c r="BW88" s="323">
        <f t="shared" si="432"/>
        <v>0</v>
      </c>
      <c r="BX88" s="323">
        <f t="shared" si="433"/>
        <v>0</v>
      </c>
      <c r="BY88" s="323">
        <f t="shared" si="434"/>
        <v>0</v>
      </c>
      <c r="BZ88" s="323">
        <f t="shared" si="435"/>
        <v>0</v>
      </c>
      <c r="CA88" s="323">
        <f t="shared" si="436"/>
        <v>0</v>
      </c>
      <c r="CB88" s="55">
        <f t="shared" ref="CB88:CB89" si="581">SUM(BP88:CA88)</f>
        <v>0</v>
      </c>
      <c r="CC88" s="323"/>
      <c r="CD88" s="323"/>
      <c r="CE88" s="323"/>
      <c r="CF88" s="323"/>
      <c r="CG88" s="323"/>
      <c r="CH88" s="323"/>
      <c r="CI88" s="323"/>
      <c r="CJ88" s="323"/>
      <c r="CK88" s="323"/>
      <c r="CL88" s="323"/>
      <c r="CM88" s="323"/>
      <c r="CN88" s="323"/>
      <c r="CO88" s="55">
        <f t="shared" si="438"/>
        <v>0</v>
      </c>
      <c r="CP88" s="203"/>
      <c r="CQ88" s="262"/>
      <c r="CR88" s="203"/>
      <c r="CS88" s="203"/>
      <c r="CT88" s="203"/>
      <c r="CU88" s="204"/>
      <c r="CV88" s="204"/>
      <c r="CW88" s="204"/>
      <c r="CX88" s="204"/>
      <c r="CY88" s="204"/>
      <c r="CZ88" s="204"/>
      <c r="DA88" s="204"/>
      <c r="DB88" s="204"/>
      <c r="DC88" s="204"/>
      <c r="DD88" s="204"/>
      <c r="DE88" s="204"/>
    </row>
    <row r="89" spans="1:111" s="184" customFormat="1" ht="24.75" customHeight="1" thickBot="1" x14ac:dyDescent="0.25">
      <c r="A89" s="208"/>
      <c r="B89" s="209" t="s">
        <v>4</v>
      </c>
      <c r="C89" s="209"/>
      <c r="D89" s="210"/>
      <c r="E89" s="211"/>
      <c r="F89" s="211"/>
      <c r="G89" s="243"/>
      <c r="H89" s="211"/>
      <c r="I89" s="293"/>
      <c r="J89" s="293"/>
      <c r="K89" s="211"/>
      <c r="L89" s="211"/>
      <c r="M89" s="211"/>
      <c r="N89" s="211"/>
      <c r="O89" s="211"/>
      <c r="P89" s="211"/>
      <c r="Q89" s="212"/>
      <c r="R89" s="213"/>
      <c r="S89" s="214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6">
        <f t="shared" ref="AF89:AS89" si="582">SUM(AF71:AF88)</f>
        <v>26109500</v>
      </c>
      <c r="AG89" s="216">
        <f t="shared" si="582"/>
        <v>2386958</v>
      </c>
      <c r="AH89" s="216">
        <f>SUM(AH71:AH88)</f>
        <v>6900768</v>
      </c>
      <c r="AI89" s="216">
        <f t="shared" si="582"/>
        <v>0</v>
      </c>
      <c r="AJ89" s="216">
        <f t="shared" si="582"/>
        <v>0</v>
      </c>
      <c r="AK89" s="216">
        <f t="shared" si="582"/>
        <v>0</v>
      </c>
      <c r="AL89" s="216">
        <f t="shared" si="582"/>
        <v>0</v>
      </c>
      <c r="AM89" s="216">
        <f t="shared" si="582"/>
        <v>0</v>
      </c>
      <c r="AN89" s="216">
        <f t="shared" si="582"/>
        <v>0</v>
      </c>
      <c r="AO89" s="216">
        <f t="shared" si="582"/>
        <v>0</v>
      </c>
      <c r="AP89" s="216">
        <f t="shared" si="582"/>
        <v>0</v>
      </c>
      <c r="AQ89" s="216">
        <f t="shared" si="582"/>
        <v>0</v>
      </c>
      <c r="AR89" s="216">
        <f t="shared" si="582"/>
        <v>0</v>
      </c>
      <c r="AS89" s="216">
        <f t="shared" si="582"/>
        <v>9287726</v>
      </c>
      <c r="AT89" s="216">
        <f>SUM(AT74:AT88)</f>
        <v>19035</v>
      </c>
      <c r="AU89" s="216">
        <f t="shared" ref="AU89:BE89" si="583">SUM(AU86:AU88)</f>
        <v>0</v>
      </c>
      <c r="AV89" s="216">
        <f t="shared" si="583"/>
        <v>0</v>
      </c>
      <c r="AW89" s="216">
        <f t="shared" si="583"/>
        <v>0</v>
      </c>
      <c r="AX89" s="216">
        <f t="shared" si="583"/>
        <v>0</v>
      </c>
      <c r="AY89" s="216">
        <f t="shared" si="583"/>
        <v>0</v>
      </c>
      <c r="AZ89" s="216">
        <f t="shared" si="583"/>
        <v>0</v>
      </c>
      <c r="BA89" s="216">
        <f t="shared" si="583"/>
        <v>0</v>
      </c>
      <c r="BB89" s="216">
        <f t="shared" si="583"/>
        <v>0</v>
      </c>
      <c r="BC89" s="216">
        <f t="shared" si="583"/>
        <v>0</v>
      </c>
      <c r="BD89" s="216">
        <f t="shared" si="583"/>
        <v>0</v>
      </c>
      <c r="BE89" s="216">
        <f t="shared" si="583"/>
        <v>0</v>
      </c>
      <c r="BF89" s="216">
        <f>SUM(BF71:BF88)</f>
        <v>19035</v>
      </c>
      <c r="BG89" s="217">
        <f>SUM(BG71:BG88)</f>
        <v>0</v>
      </c>
      <c r="BH89" s="217">
        <f>SUM(BH71+BH74+BH78+BH80+BH81+BH82+BH83+BH84+BH85+BH86+BH88)</f>
        <v>11575000</v>
      </c>
      <c r="BI89" s="217">
        <f>SUM(BI71:BI88)</f>
        <v>3255274</v>
      </c>
      <c r="BJ89" s="182">
        <v>1</v>
      </c>
      <c r="BK89" s="286"/>
      <c r="BL89" s="556">
        <f t="shared" ref="BL89" si="584">SUM(AI89-BR89)</f>
        <v>0</v>
      </c>
      <c r="BM89" s="556">
        <f t="shared" ref="BM89" si="585">SUM(G89*T89)</f>
        <v>0</v>
      </c>
      <c r="BN89" s="567">
        <f t="shared" ref="BN89" si="586">SUM(BL89-BM89)</f>
        <v>0</v>
      </c>
      <c r="BO89" s="561"/>
      <c r="BP89" s="323"/>
      <c r="BQ89" s="323"/>
      <c r="BR89" s="556">
        <f t="shared" si="427"/>
        <v>0</v>
      </c>
      <c r="BS89" s="323">
        <f t="shared" si="428"/>
        <v>0</v>
      </c>
      <c r="BT89" s="323">
        <f t="shared" si="429"/>
        <v>0</v>
      </c>
      <c r="BU89" s="323">
        <f t="shared" si="430"/>
        <v>0</v>
      </c>
      <c r="BV89" s="323">
        <f t="shared" si="431"/>
        <v>0</v>
      </c>
      <c r="BW89" s="323">
        <f t="shared" si="432"/>
        <v>0</v>
      </c>
      <c r="BX89" s="323">
        <f t="shared" si="433"/>
        <v>0</v>
      </c>
      <c r="BY89" s="323">
        <f t="shared" si="434"/>
        <v>0</v>
      </c>
      <c r="BZ89" s="323">
        <f t="shared" si="435"/>
        <v>0</v>
      </c>
      <c r="CA89" s="323">
        <f t="shared" si="436"/>
        <v>0</v>
      </c>
      <c r="CB89" s="55">
        <f t="shared" si="581"/>
        <v>0</v>
      </c>
      <c r="CC89" s="323"/>
      <c r="CD89" s="323"/>
      <c r="CE89" s="323"/>
      <c r="CF89" s="323"/>
      <c r="CG89" s="323"/>
      <c r="CH89" s="323"/>
      <c r="CI89" s="323"/>
      <c r="CJ89" s="323"/>
      <c r="CK89" s="323"/>
      <c r="CL89" s="323"/>
      <c r="CM89" s="323"/>
      <c r="CN89" s="323"/>
      <c r="CO89" s="55">
        <f t="shared" si="438"/>
        <v>0</v>
      </c>
      <c r="CP89" s="218"/>
      <c r="CQ89" s="264"/>
      <c r="CR89" s="218"/>
      <c r="CS89" s="218"/>
      <c r="CT89" s="218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</row>
    <row r="90" spans="1:111" s="174" customFormat="1" x14ac:dyDescent="0.2">
      <c r="A90" s="190"/>
      <c r="B90" s="172"/>
      <c r="D90" s="169"/>
      <c r="E90" s="169"/>
      <c r="F90" s="169"/>
      <c r="G90" s="244"/>
      <c r="H90" s="169"/>
      <c r="I90" s="295"/>
      <c r="J90" s="295"/>
      <c r="K90" s="169"/>
      <c r="L90" s="169"/>
      <c r="M90" s="169"/>
      <c r="N90" s="169"/>
      <c r="O90" s="169"/>
      <c r="P90" s="169"/>
      <c r="Q90" s="185"/>
      <c r="R90" s="190"/>
      <c r="AS90" s="161"/>
      <c r="BF90" s="220">
        <f>SUM(AS89)</f>
        <v>9287726</v>
      </c>
      <c r="BG90" s="186">
        <v>0</v>
      </c>
      <c r="BH90" s="221">
        <f>SUM(BI89+AS89)</f>
        <v>12543000</v>
      </c>
      <c r="BI90" s="187">
        <f>SUM(BG89)</f>
        <v>0</v>
      </c>
      <c r="BJ90" s="183" t="s">
        <v>29</v>
      </c>
      <c r="BK90" s="287"/>
      <c r="BL90" s="164"/>
      <c r="BM90" s="173"/>
      <c r="BN90" s="252"/>
      <c r="BO90" s="259"/>
      <c r="BP90" s="252"/>
      <c r="BQ90" s="252"/>
      <c r="BR90" s="252"/>
      <c r="BS90" s="259"/>
      <c r="BT90" s="252"/>
      <c r="BU90" s="252"/>
      <c r="BV90" s="252"/>
      <c r="BW90" s="259"/>
      <c r="BX90" s="252"/>
      <c r="BY90" s="252"/>
      <c r="BZ90" s="252"/>
      <c r="CA90" s="259"/>
      <c r="CB90" s="252"/>
      <c r="CC90" s="252"/>
      <c r="CD90" s="252"/>
      <c r="CE90" s="259"/>
      <c r="CF90" s="252"/>
      <c r="CG90" s="252"/>
      <c r="CH90" s="252"/>
      <c r="CI90" s="259"/>
      <c r="CJ90" s="252"/>
      <c r="CK90" s="252"/>
      <c r="CL90" s="252"/>
      <c r="CM90" s="259"/>
      <c r="CN90" s="252"/>
      <c r="CO90" s="252"/>
      <c r="CP90" s="252"/>
      <c r="CQ90" s="259"/>
      <c r="CR90" s="252"/>
      <c r="CS90" s="252"/>
      <c r="CT90" s="255"/>
      <c r="CU90" s="173"/>
      <c r="CV90" s="173"/>
      <c r="CW90" s="173"/>
      <c r="CX90" s="173"/>
      <c r="CY90" s="173"/>
      <c r="CZ90" s="173"/>
      <c r="DA90" s="173"/>
      <c r="DB90" s="173"/>
      <c r="DC90" s="173"/>
      <c r="DD90" s="173"/>
      <c r="DE90" s="173"/>
      <c r="DF90" s="173"/>
    </row>
    <row r="91" spans="1:111" s="174" customFormat="1" x14ac:dyDescent="0.2">
      <c r="A91" s="190"/>
      <c r="B91" s="172"/>
      <c r="D91" s="169"/>
      <c r="E91" s="169"/>
      <c r="F91" s="169"/>
      <c r="G91" s="244"/>
      <c r="H91" s="169"/>
      <c r="I91" s="295"/>
      <c r="J91" s="295"/>
      <c r="K91" s="169"/>
      <c r="L91" s="169"/>
      <c r="M91" s="169"/>
      <c r="N91" s="169"/>
      <c r="O91" s="169"/>
      <c r="P91" s="169"/>
      <c r="Q91" s="185"/>
      <c r="R91" s="190"/>
      <c r="AS91" s="648">
        <f>SUM(AS80:AS86)</f>
        <v>1269000</v>
      </c>
      <c r="BF91" s="233">
        <f>SUM(AT91:AY91)</f>
        <v>0</v>
      </c>
      <c r="BG91" s="183"/>
      <c r="BH91" s="231"/>
      <c r="BI91" s="189">
        <f>SUM(BI89-BI90)</f>
        <v>3255274</v>
      </c>
      <c r="BJ91" s="183" t="s">
        <v>28</v>
      </c>
      <c r="BK91" s="287"/>
      <c r="BL91" s="164"/>
      <c r="BM91" s="173"/>
      <c r="BN91" s="252"/>
      <c r="BO91" s="259"/>
      <c r="BP91" s="252"/>
      <c r="BQ91" s="252"/>
      <c r="BR91" s="252"/>
      <c r="BS91" s="259"/>
      <c r="BT91" s="252"/>
      <c r="BU91" s="252"/>
      <c r="BV91" s="252"/>
      <c r="BW91" s="259"/>
      <c r="BX91" s="252"/>
      <c r="BY91" s="252"/>
      <c r="BZ91" s="252"/>
      <c r="CA91" s="259"/>
      <c r="CB91" s="252"/>
      <c r="CC91" s="252"/>
      <c r="CD91" s="252"/>
      <c r="CE91" s="259"/>
      <c r="CF91" s="252"/>
      <c r="CG91" s="252"/>
      <c r="CH91" s="252"/>
      <c r="CI91" s="259"/>
      <c r="CJ91" s="252"/>
      <c r="CK91" s="252"/>
      <c r="CL91" s="252"/>
      <c r="CM91" s="259"/>
      <c r="CN91" s="252"/>
      <c r="CO91" s="252"/>
      <c r="CP91" s="252"/>
      <c r="CQ91" s="259"/>
      <c r="CR91" s="252"/>
      <c r="CS91" s="252"/>
      <c r="CT91" s="255"/>
      <c r="CU91" s="173"/>
      <c r="CV91" s="173"/>
      <c r="CW91" s="173"/>
      <c r="CX91" s="173"/>
      <c r="CY91" s="173"/>
      <c r="CZ91" s="173"/>
      <c r="DA91" s="173"/>
      <c r="DB91" s="173"/>
      <c r="DC91" s="173"/>
      <c r="DD91" s="173"/>
      <c r="DE91" s="173"/>
      <c r="DF91" s="173"/>
    </row>
    <row r="92" spans="1:111" s="174" customFormat="1" x14ac:dyDescent="0.2">
      <c r="A92" s="190"/>
      <c r="B92" s="172"/>
      <c r="D92" s="169"/>
      <c r="E92" s="169"/>
      <c r="F92" s="169"/>
      <c r="G92" s="244"/>
      <c r="H92" s="169"/>
      <c r="I92" s="295"/>
      <c r="J92" s="295"/>
      <c r="K92" s="169"/>
      <c r="L92" s="169"/>
      <c r="M92" s="169"/>
      <c r="N92" s="169"/>
      <c r="O92" s="169"/>
      <c r="P92" s="169"/>
      <c r="Q92" s="185"/>
      <c r="R92" s="190"/>
      <c r="T92" s="646"/>
      <c r="AS92" s="161"/>
      <c r="BF92" s="162"/>
      <c r="BG92" s="162"/>
      <c r="BH92" s="163"/>
      <c r="BI92" s="163"/>
      <c r="BJ92" s="161"/>
      <c r="BK92" s="288"/>
      <c r="BL92" s="164"/>
      <c r="BM92" s="173"/>
      <c r="BN92" s="252"/>
      <c r="BO92" s="259"/>
      <c r="BP92" s="252"/>
      <c r="BQ92" s="252"/>
      <c r="BR92" s="252"/>
      <c r="BS92" s="259"/>
      <c r="BT92" s="252"/>
      <c r="BU92" s="252"/>
      <c r="BV92" s="252"/>
      <c r="BW92" s="259"/>
      <c r="BX92" s="252"/>
      <c r="BY92" s="252"/>
      <c r="BZ92" s="252"/>
      <c r="CA92" s="259"/>
      <c r="CB92" s="252"/>
      <c r="CC92" s="252"/>
      <c r="CD92" s="252"/>
      <c r="CE92" s="259"/>
      <c r="CF92" s="252"/>
      <c r="CG92" s="252"/>
      <c r="CH92" s="252"/>
      <c r="CI92" s="259"/>
      <c r="CJ92" s="252"/>
      <c r="CK92" s="252"/>
      <c r="CL92" s="252"/>
      <c r="CM92" s="259"/>
      <c r="CN92" s="252"/>
      <c r="CO92" s="252"/>
      <c r="CP92" s="252"/>
      <c r="CQ92" s="259"/>
      <c r="CR92" s="252"/>
      <c r="CS92" s="252"/>
      <c r="CT92" s="255"/>
      <c r="CU92" s="173"/>
      <c r="CV92" s="173"/>
      <c r="CW92" s="173"/>
      <c r="CX92" s="173"/>
      <c r="CY92" s="173"/>
      <c r="CZ92" s="173"/>
      <c r="DA92" s="173"/>
      <c r="DB92" s="173"/>
      <c r="DC92" s="173"/>
      <c r="DD92" s="173"/>
      <c r="DE92" s="173"/>
      <c r="DF92" s="173"/>
    </row>
    <row r="93" spans="1:111" s="174" customFormat="1" x14ac:dyDescent="0.2">
      <c r="A93" s="190"/>
      <c r="B93" s="172"/>
      <c r="D93" s="169"/>
      <c r="E93" s="169"/>
      <c r="F93" s="169"/>
      <c r="G93" s="244"/>
      <c r="H93" s="169"/>
      <c r="I93" s="295"/>
      <c r="J93" s="295"/>
      <c r="K93" s="169"/>
      <c r="L93" s="169"/>
      <c r="M93" s="169"/>
      <c r="N93" s="169"/>
      <c r="O93" s="169"/>
      <c r="P93" s="169"/>
      <c r="Q93" s="185"/>
      <c r="R93" s="190"/>
      <c r="AG93" s="647">
        <f>AG89+AH89</f>
        <v>9287726</v>
      </c>
      <c r="AS93" s="161"/>
      <c r="BF93" s="162"/>
      <c r="BG93" s="162"/>
      <c r="BH93" s="163"/>
      <c r="BI93" s="163"/>
      <c r="BJ93" s="161"/>
      <c r="BK93" s="288"/>
      <c r="BL93" s="164"/>
      <c r="BM93" s="173"/>
      <c r="BN93" s="252"/>
      <c r="BO93" s="259"/>
      <c r="BP93" s="252"/>
      <c r="BQ93" s="252"/>
      <c r="BR93" s="252"/>
      <c r="BS93" s="259"/>
      <c r="BT93" s="252"/>
      <c r="BU93" s="252"/>
      <c r="BV93" s="252"/>
      <c r="BW93" s="259"/>
      <c r="BX93" s="252"/>
      <c r="BY93" s="252"/>
      <c r="BZ93" s="252"/>
      <c r="CA93" s="259"/>
      <c r="CB93" s="252"/>
      <c r="CC93" s="252"/>
      <c r="CD93" s="252"/>
      <c r="CE93" s="259"/>
      <c r="CF93" s="252"/>
      <c r="CG93" s="252"/>
      <c r="CH93" s="252"/>
      <c r="CI93" s="259"/>
      <c r="CJ93" s="252"/>
      <c r="CK93" s="252"/>
      <c r="CL93" s="252"/>
      <c r="CM93" s="259"/>
      <c r="CN93" s="252"/>
      <c r="CO93" s="252"/>
      <c r="CP93" s="252"/>
      <c r="CQ93" s="259"/>
      <c r="CR93" s="252"/>
      <c r="CS93" s="252"/>
      <c r="CT93" s="255"/>
      <c r="CU93" s="173"/>
      <c r="CV93" s="173"/>
      <c r="CW93" s="173"/>
      <c r="CX93" s="173"/>
      <c r="CY93" s="173"/>
      <c r="CZ93" s="173"/>
      <c r="DA93" s="173"/>
      <c r="DB93" s="173"/>
      <c r="DC93" s="173"/>
      <c r="DD93" s="173"/>
      <c r="DE93" s="173"/>
      <c r="DF93" s="173"/>
    </row>
    <row r="94" spans="1:111" s="174" customFormat="1" x14ac:dyDescent="0.2">
      <c r="A94" s="190"/>
      <c r="B94" s="172"/>
      <c r="D94" s="169"/>
      <c r="E94" s="169"/>
      <c r="F94" s="169"/>
      <c r="G94" s="244"/>
      <c r="H94" s="169"/>
      <c r="I94" s="295"/>
      <c r="J94" s="295"/>
      <c r="K94" s="169"/>
      <c r="L94" s="169"/>
      <c r="M94" s="169"/>
      <c r="N94" s="169"/>
      <c r="O94" s="169"/>
      <c r="P94" s="169"/>
      <c r="Q94" s="185"/>
      <c r="R94" s="190"/>
      <c r="AS94" s="161"/>
      <c r="BF94" s="162"/>
      <c r="BG94" s="162"/>
      <c r="BH94" s="163"/>
      <c r="BI94" s="163"/>
      <c r="BJ94" s="161"/>
      <c r="BK94" s="288"/>
      <c r="BL94" s="164"/>
      <c r="BM94" s="173"/>
      <c r="BN94" s="252"/>
      <c r="BO94" s="259"/>
      <c r="BP94" s="252"/>
      <c r="BQ94" s="252"/>
      <c r="BR94" s="252"/>
      <c r="BS94" s="259"/>
      <c r="BT94" s="252"/>
      <c r="BU94" s="252"/>
      <c r="BV94" s="252"/>
      <c r="BW94" s="259"/>
      <c r="BX94" s="252"/>
      <c r="BY94" s="252"/>
      <c r="BZ94" s="252"/>
      <c r="CA94" s="259"/>
      <c r="CB94" s="252"/>
      <c r="CC94" s="252"/>
      <c r="CD94" s="252"/>
      <c r="CE94" s="259"/>
      <c r="CF94" s="252"/>
      <c r="CG94" s="252"/>
      <c r="CH94" s="252"/>
      <c r="CI94" s="259"/>
      <c r="CJ94" s="252"/>
      <c r="CK94" s="252"/>
      <c r="CL94" s="252"/>
      <c r="CM94" s="259"/>
      <c r="CN94" s="252"/>
      <c r="CO94" s="252"/>
      <c r="CP94" s="252"/>
      <c r="CQ94" s="259"/>
      <c r="CR94" s="252"/>
      <c r="CS94" s="252"/>
      <c r="CT94" s="255"/>
      <c r="CU94" s="173"/>
      <c r="CV94" s="173"/>
      <c r="CW94" s="173"/>
      <c r="CX94" s="173"/>
      <c r="CY94" s="173"/>
      <c r="CZ94" s="173"/>
      <c r="DA94" s="173"/>
      <c r="DB94" s="173"/>
      <c r="DC94" s="173"/>
      <c r="DD94" s="173"/>
      <c r="DE94" s="173"/>
      <c r="DF94" s="173"/>
    </row>
    <row r="95" spans="1:111" s="174" customFormat="1" x14ac:dyDescent="0.2">
      <c r="A95" s="190"/>
      <c r="B95" s="172"/>
      <c r="D95" s="169"/>
      <c r="E95" s="169"/>
      <c r="F95" s="169"/>
      <c r="G95" s="244"/>
      <c r="H95" s="169"/>
      <c r="I95" s="295"/>
      <c r="J95" s="295"/>
      <c r="K95" s="169"/>
      <c r="L95" s="169"/>
      <c r="M95" s="169"/>
      <c r="N95" s="169"/>
      <c r="O95" s="169"/>
      <c r="P95" s="169"/>
      <c r="Q95" s="185"/>
      <c r="R95" s="190"/>
      <c r="AS95" s="161"/>
      <c r="BF95" s="162"/>
      <c r="BG95" s="162"/>
      <c r="BH95" s="163"/>
      <c r="BI95" s="163"/>
      <c r="BJ95" s="743"/>
      <c r="BK95" s="288"/>
      <c r="BL95" s="164"/>
      <c r="BM95" s="173"/>
      <c r="BN95" s="252"/>
      <c r="BO95" s="259"/>
      <c r="BP95" s="252"/>
      <c r="BQ95" s="252"/>
      <c r="BR95" s="252"/>
      <c r="BS95" s="259"/>
      <c r="BT95" s="252"/>
      <c r="BU95" s="252"/>
      <c r="BV95" s="252"/>
      <c r="BW95" s="259"/>
      <c r="BX95" s="252"/>
      <c r="BY95" s="252"/>
      <c r="BZ95" s="252"/>
      <c r="CA95" s="259"/>
      <c r="CB95" s="252"/>
      <c r="CC95" s="252"/>
      <c r="CD95" s="252"/>
      <c r="CE95" s="259"/>
      <c r="CF95" s="252"/>
      <c r="CG95" s="252"/>
      <c r="CH95" s="252"/>
      <c r="CI95" s="259"/>
      <c r="CJ95" s="252"/>
      <c r="CK95" s="252"/>
      <c r="CL95" s="252"/>
      <c r="CM95" s="259"/>
      <c r="CN95" s="252"/>
      <c r="CO95" s="252"/>
      <c r="CP95" s="252"/>
      <c r="CQ95" s="259"/>
      <c r="CR95" s="252"/>
      <c r="CS95" s="252"/>
      <c r="CT95" s="255"/>
      <c r="CU95" s="173"/>
      <c r="CV95" s="173"/>
      <c r="CW95" s="173"/>
      <c r="CX95" s="173"/>
      <c r="CY95" s="173"/>
      <c r="CZ95" s="173"/>
      <c r="DA95" s="173"/>
      <c r="DB95" s="173"/>
      <c r="DC95" s="173"/>
      <c r="DD95" s="173"/>
      <c r="DE95" s="173"/>
      <c r="DF95" s="173"/>
    </row>
    <row r="96" spans="1:111" s="174" customFormat="1" x14ac:dyDescent="0.2">
      <c r="A96" s="190"/>
      <c r="B96" s="172"/>
      <c r="D96" s="169"/>
      <c r="E96" s="169"/>
      <c r="F96" s="169"/>
      <c r="G96" s="244"/>
      <c r="H96" s="169"/>
      <c r="I96" s="295"/>
      <c r="J96" s="295"/>
      <c r="K96" s="169"/>
      <c r="L96" s="169"/>
      <c r="M96" s="169"/>
      <c r="N96" s="169"/>
      <c r="O96" s="169"/>
      <c r="P96" s="169"/>
      <c r="Q96" s="185"/>
      <c r="R96" s="190"/>
      <c r="AS96" s="161"/>
      <c r="BF96" s="162"/>
      <c r="BG96" s="162"/>
      <c r="BH96" s="163"/>
      <c r="BI96" s="163"/>
      <c r="BJ96" s="161"/>
      <c r="BK96" s="288"/>
      <c r="BL96" s="164"/>
      <c r="BM96" s="173"/>
      <c r="BN96" s="252"/>
      <c r="BO96" s="259"/>
      <c r="BP96" s="252"/>
      <c r="BQ96" s="252"/>
      <c r="BR96" s="252"/>
      <c r="BS96" s="259"/>
      <c r="BT96" s="252"/>
      <c r="BU96" s="252"/>
      <c r="BV96" s="252"/>
      <c r="BW96" s="259"/>
      <c r="BX96" s="252"/>
      <c r="BY96" s="252"/>
      <c r="BZ96" s="252"/>
      <c r="CA96" s="259"/>
      <c r="CB96" s="252"/>
      <c r="CC96" s="252"/>
      <c r="CD96" s="252"/>
      <c r="CE96" s="259"/>
      <c r="CF96" s="252"/>
      <c r="CG96" s="252"/>
      <c r="CH96" s="252"/>
      <c r="CI96" s="259"/>
      <c r="CJ96" s="252"/>
      <c r="CK96" s="252"/>
      <c r="CL96" s="252"/>
      <c r="CM96" s="259"/>
      <c r="CN96" s="252"/>
      <c r="CO96" s="252"/>
      <c r="CP96" s="252"/>
      <c r="CQ96" s="259"/>
      <c r="CR96" s="252"/>
      <c r="CS96" s="252"/>
      <c r="CT96" s="255"/>
      <c r="CU96" s="173"/>
      <c r="CV96" s="173"/>
      <c r="CW96" s="173"/>
      <c r="CX96" s="173"/>
      <c r="CY96" s="173"/>
      <c r="CZ96" s="173"/>
      <c r="DA96" s="173"/>
      <c r="DB96" s="173"/>
      <c r="DC96" s="173"/>
      <c r="DD96" s="173"/>
      <c r="DE96" s="173"/>
      <c r="DF96" s="173"/>
    </row>
    <row r="97" spans="1:110" s="174" customFormat="1" x14ac:dyDescent="0.2">
      <c r="A97" s="190"/>
      <c r="B97" s="172"/>
      <c r="D97" s="169"/>
      <c r="E97" s="169"/>
      <c r="F97" s="169"/>
      <c r="G97" s="244"/>
      <c r="H97" s="169"/>
      <c r="I97" s="295"/>
      <c r="J97" s="295"/>
      <c r="K97" s="169"/>
      <c r="L97" s="169"/>
      <c r="M97" s="169"/>
      <c r="N97" s="169"/>
      <c r="O97" s="169"/>
      <c r="P97" s="169"/>
      <c r="Q97" s="185"/>
      <c r="R97" s="190"/>
      <c r="AS97" s="161"/>
      <c r="BF97" s="162"/>
      <c r="BG97" s="162"/>
      <c r="BH97" s="163"/>
      <c r="BI97" s="163"/>
      <c r="BJ97" s="161"/>
      <c r="BK97" s="288"/>
      <c r="BL97" s="164"/>
      <c r="BM97" s="173"/>
      <c r="BN97" s="252"/>
      <c r="BO97" s="259"/>
      <c r="BP97" s="252"/>
      <c r="BQ97" s="252"/>
      <c r="BR97" s="252"/>
      <c r="BS97" s="259"/>
      <c r="BT97" s="252"/>
      <c r="BU97" s="252"/>
      <c r="BV97" s="252"/>
      <c r="BW97" s="259"/>
      <c r="BX97" s="252"/>
      <c r="BY97" s="252"/>
      <c r="BZ97" s="252"/>
      <c r="CA97" s="259"/>
      <c r="CB97" s="252"/>
      <c r="CC97" s="252"/>
      <c r="CD97" s="252"/>
      <c r="CE97" s="259"/>
      <c r="CF97" s="252"/>
      <c r="CG97" s="252"/>
      <c r="CH97" s="252"/>
      <c r="CI97" s="259"/>
      <c r="CJ97" s="252"/>
      <c r="CK97" s="252"/>
      <c r="CL97" s="252"/>
      <c r="CM97" s="259"/>
      <c r="CN97" s="252"/>
      <c r="CO97" s="252"/>
      <c r="CP97" s="252"/>
      <c r="CQ97" s="259"/>
      <c r="CR97" s="252"/>
      <c r="CS97" s="252"/>
      <c r="CT97" s="255"/>
      <c r="CU97" s="173"/>
      <c r="CV97" s="173"/>
      <c r="CW97" s="173"/>
      <c r="CX97" s="173"/>
      <c r="CY97" s="173"/>
      <c r="CZ97" s="173"/>
      <c r="DA97" s="173"/>
      <c r="DB97" s="173"/>
      <c r="DC97" s="173"/>
      <c r="DD97" s="173"/>
      <c r="DE97" s="173"/>
      <c r="DF97" s="173"/>
    </row>
    <row r="98" spans="1:110" s="174" customFormat="1" x14ac:dyDescent="0.2">
      <c r="A98" s="190"/>
      <c r="B98" s="172"/>
      <c r="D98" s="169"/>
      <c r="E98" s="169"/>
      <c r="F98" s="169"/>
      <c r="G98" s="244"/>
      <c r="H98" s="169"/>
      <c r="I98" s="295"/>
      <c r="J98" s="295"/>
      <c r="K98" s="169"/>
      <c r="L98" s="169"/>
      <c r="M98" s="169"/>
      <c r="N98" s="169"/>
      <c r="O98" s="169"/>
      <c r="P98" s="169"/>
      <c r="Q98" s="185"/>
      <c r="R98" s="190"/>
      <c r="AS98" s="161"/>
      <c r="BF98" s="162"/>
      <c r="BG98" s="162"/>
      <c r="BH98" s="163"/>
      <c r="BI98" s="163"/>
      <c r="BJ98" s="161"/>
      <c r="BK98" s="288"/>
      <c r="BL98" s="164"/>
      <c r="BM98" s="173"/>
      <c r="BN98" s="252"/>
      <c r="BO98" s="259"/>
      <c r="BP98" s="252"/>
      <c r="BQ98" s="252"/>
      <c r="BR98" s="252"/>
      <c r="BS98" s="259"/>
      <c r="BT98" s="252"/>
      <c r="BU98" s="252"/>
      <c r="BV98" s="252"/>
      <c r="BW98" s="259"/>
      <c r="BX98" s="252"/>
      <c r="BY98" s="252"/>
      <c r="BZ98" s="252"/>
      <c r="CA98" s="259"/>
      <c r="CB98" s="252"/>
      <c r="CC98" s="252"/>
      <c r="CD98" s="252"/>
      <c r="CE98" s="259"/>
      <c r="CF98" s="252"/>
      <c r="CG98" s="252"/>
      <c r="CH98" s="252"/>
      <c r="CI98" s="259"/>
      <c r="CJ98" s="252"/>
      <c r="CK98" s="252"/>
      <c r="CL98" s="252"/>
      <c r="CM98" s="259"/>
      <c r="CN98" s="252"/>
      <c r="CO98" s="252"/>
      <c r="CP98" s="252"/>
      <c r="CQ98" s="259"/>
      <c r="CR98" s="252"/>
      <c r="CS98" s="252"/>
      <c r="CT98" s="255"/>
      <c r="CU98" s="173"/>
      <c r="CV98" s="173"/>
      <c r="CW98" s="173"/>
      <c r="CX98" s="173"/>
      <c r="CY98" s="173"/>
      <c r="CZ98" s="173"/>
      <c r="DA98" s="173"/>
      <c r="DB98" s="173"/>
      <c r="DC98" s="173"/>
      <c r="DD98" s="173"/>
      <c r="DE98" s="173"/>
      <c r="DF98" s="173"/>
    </row>
    <row r="99" spans="1:110" s="174" customFormat="1" x14ac:dyDescent="0.2">
      <c r="A99" s="190"/>
      <c r="B99" s="172"/>
      <c r="D99" s="169"/>
      <c r="E99" s="169"/>
      <c r="F99" s="169"/>
      <c r="G99" s="244"/>
      <c r="H99" s="169"/>
      <c r="I99" s="295"/>
      <c r="J99" s="295"/>
      <c r="K99" s="169"/>
      <c r="L99" s="169"/>
      <c r="M99" s="169"/>
      <c r="N99" s="169"/>
      <c r="O99" s="169"/>
      <c r="P99" s="169"/>
      <c r="Q99" s="185"/>
      <c r="R99" s="190"/>
      <c r="AS99" s="161"/>
      <c r="BF99" s="162"/>
      <c r="BG99" s="162"/>
      <c r="BH99" s="163"/>
      <c r="BI99" s="163"/>
      <c r="BJ99" s="161"/>
      <c r="BK99" s="288"/>
      <c r="BL99" s="164"/>
      <c r="BM99" s="173"/>
      <c r="BN99" s="252"/>
      <c r="BO99" s="259"/>
      <c r="BP99" s="252"/>
      <c r="BQ99" s="252"/>
      <c r="BR99" s="252"/>
      <c r="BS99" s="259"/>
      <c r="BT99" s="252"/>
      <c r="BU99" s="252"/>
      <c r="BV99" s="252"/>
      <c r="BW99" s="259"/>
      <c r="BX99" s="252"/>
      <c r="BY99" s="252"/>
      <c r="BZ99" s="252"/>
      <c r="CA99" s="259"/>
      <c r="CB99" s="252"/>
      <c r="CC99" s="252"/>
      <c r="CD99" s="252"/>
      <c r="CE99" s="259"/>
      <c r="CF99" s="252"/>
      <c r="CG99" s="252"/>
      <c r="CH99" s="252"/>
      <c r="CI99" s="259"/>
      <c r="CJ99" s="252"/>
      <c r="CK99" s="252"/>
      <c r="CL99" s="252"/>
      <c r="CM99" s="259"/>
      <c r="CN99" s="252"/>
      <c r="CO99" s="252"/>
      <c r="CP99" s="252"/>
      <c r="CQ99" s="259"/>
      <c r="CR99" s="252"/>
      <c r="CS99" s="252"/>
      <c r="CT99" s="255"/>
      <c r="CU99" s="173"/>
      <c r="CV99" s="173"/>
      <c r="CW99" s="173"/>
      <c r="CX99" s="173"/>
      <c r="CY99" s="173"/>
      <c r="CZ99" s="173"/>
      <c r="DA99" s="173"/>
      <c r="DB99" s="173"/>
      <c r="DC99" s="173"/>
      <c r="DD99" s="173"/>
      <c r="DE99" s="173"/>
      <c r="DF99" s="173"/>
    </row>
    <row r="100" spans="1:110" s="174" customFormat="1" x14ac:dyDescent="0.2">
      <c r="A100" s="190"/>
      <c r="B100" s="172"/>
      <c r="D100" s="169"/>
      <c r="E100" s="169"/>
      <c r="F100" s="169"/>
      <c r="G100" s="244"/>
      <c r="H100" s="169"/>
      <c r="I100" s="295"/>
      <c r="J100" s="295"/>
      <c r="K100" s="169"/>
      <c r="L100" s="169"/>
      <c r="M100" s="169"/>
      <c r="N100" s="169"/>
      <c r="O100" s="169"/>
      <c r="P100" s="169"/>
      <c r="Q100" s="185"/>
      <c r="R100" s="190"/>
      <c r="AS100" s="161"/>
      <c r="BF100" s="162"/>
      <c r="BG100" s="162"/>
      <c r="BH100" s="163"/>
      <c r="BI100" s="163"/>
      <c r="BJ100" s="161"/>
      <c r="BK100" s="288"/>
      <c r="BL100" s="164"/>
      <c r="BM100" s="173"/>
      <c r="BN100" s="252"/>
      <c r="BO100" s="259"/>
      <c r="BP100" s="252"/>
      <c r="BQ100" s="252"/>
      <c r="BR100" s="252"/>
      <c r="BS100" s="259"/>
      <c r="BT100" s="252"/>
      <c r="BU100" s="252"/>
      <c r="BV100" s="252"/>
      <c r="BW100" s="259"/>
      <c r="BX100" s="252"/>
      <c r="BY100" s="252"/>
      <c r="BZ100" s="252"/>
      <c r="CA100" s="259"/>
      <c r="CB100" s="252"/>
      <c r="CC100" s="252"/>
      <c r="CD100" s="252"/>
      <c r="CE100" s="259"/>
      <c r="CF100" s="252"/>
      <c r="CG100" s="252"/>
      <c r="CH100" s="252"/>
      <c r="CI100" s="259"/>
      <c r="CJ100" s="252"/>
      <c r="CK100" s="252"/>
      <c r="CL100" s="252"/>
      <c r="CM100" s="259"/>
      <c r="CN100" s="252"/>
      <c r="CO100" s="252"/>
      <c r="CP100" s="252"/>
      <c r="CQ100" s="259"/>
      <c r="CR100" s="252"/>
      <c r="CS100" s="252"/>
      <c r="CT100" s="255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73"/>
    </row>
    <row r="101" spans="1:110" s="174" customFormat="1" x14ac:dyDescent="0.2">
      <c r="A101" s="190"/>
      <c r="B101" s="172"/>
      <c r="D101" s="169"/>
      <c r="E101" s="169"/>
      <c r="F101" s="169"/>
      <c r="G101" s="244"/>
      <c r="H101" s="169"/>
      <c r="I101" s="295"/>
      <c r="J101" s="295"/>
      <c r="K101" s="169"/>
      <c r="L101" s="169"/>
      <c r="M101" s="169"/>
      <c r="N101" s="169"/>
      <c r="O101" s="169"/>
      <c r="P101" s="169"/>
      <c r="Q101" s="185"/>
      <c r="R101" s="190"/>
      <c r="AS101" s="161"/>
      <c r="BF101" s="162"/>
      <c r="BG101" s="162"/>
      <c r="BH101" s="163"/>
      <c r="BI101" s="163"/>
      <c r="BJ101" s="161"/>
      <c r="BK101" s="288"/>
      <c r="BL101" s="164"/>
      <c r="BM101" s="173"/>
      <c r="BN101" s="252"/>
      <c r="BO101" s="259"/>
      <c r="BP101" s="252"/>
      <c r="BQ101" s="252"/>
      <c r="BR101" s="252"/>
      <c r="BS101" s="259"/>
      <c r="BT101" s="252"/>
      <c r="BU101" s="252"/>
      <c r="BV101" s="252"/>
      <c r="BW101" s="259"/>
      <c r="BX101" s="252"/>
      <c r="BY101" s="252"/>
      <c r="BZ101" s="252"/>
      <c r="CA101" s="259"/>
      <c r="CB101" s="252"/>
      <c r="CC101" s="252"/>
      <c r="CD101" s="252"/>
      <c r="CE101" s="259"/>
      <c r="CF101" s="252"/>
      <c r="CG101" s="252"/>
      <c r="CH101" s="252"/>
      <c r="CI101" s="259"/>
      <c r="CJ101" s="252"/>
      <c r="CK101" s="252"/>
      <c r="CL101" s="252"/>
      <c r="CM101" s="259"/>
      <c r="CN101" s="252"/>
      <c r="CO101" s="252"/>
      <c r="CP101" s="252"/>
      <c r="CQ101" s="259"/>
      <c r="CR101" s="252"/>
      <c r="CS101" s="252"/>
      <c r="CT101" s="255"/>
      <c r="CU101" s="173"/>
      <c r="CV101" s="173"/>
      <c r="CW101" s="173"/>
      <c r="CX101" s="173"/>
      <c r="CY101" s="173"/>
      <c r="CZ101" s="173"/>
      <c r="DA101" s="173"/>
      <c r="DB101" s="173"/>
      <c r="DC101" s="173"/>
      <c r="DD101" s="173"/>
      <c r="DE101" s="173"/>
      <c r="DF101" s="173"/>
    </row>
    <row r="102" spans="1:110" s="174" customFormat="1" x14ac:dyDescent="0.2">
      <c r="A102" s="190"/>
      <c r="B102" s="172"/>
      <c r="D102" s="169"/>
      <c r="E102" s="169"/>
      <c r="F102" s="169"/>
      <c r="G102" s="244"/>
      <c r="H102" s="169"/>
      <c r="I102" s="295"/>
      <c r="J102" s="295"/>
      <c r="K102" s="169"/>
      <c r="L102" s="169"/>
      <c r="M102" s="169"/>
      <c r="N102" s="169"/>
      <c r="O102" s="169"/>
      <c r="P102" s="169"/>
      <c r="Q102" s="185"/>
      <c r="R102" s="190"/>
      <c r="AS102" s="161"/>
      <c r="BF102" s="162"/>
      <c r="BG102" s="162"/>
      <c r="BH102" s="163"/>
      <c r="BI102" s="163"/>
      <c r="BJ102" s="161"/>
      <c r="BK102" s="288"/>
      <c r="BL102" s="164"/>
      <c r="BM102" s="173"/>
      <c r="BN102" s="252"/>
      <c r="BO102" s="259"/>
      <c r="BP102" s="252"/>
      <c r="BQ102" s="252"/>
      <c r="BR102" s="252"/>
      <c r="BS102" s="259"/>
      <c r="BT102" s="252"/>
      <c r="BU102" s="252"/>
      <c r="BV102" s="252"/>
      <c r="BW102" s="259"/>
      <c r="BX102" s="252"/>
      <c r="BY102" s="252"/>
      <c r="BZ102" s="252"/>
      <c r="CA102" s="259"/>
      <c r="CB102" s="252"/>
      <c r="CC102" s="252"/>
      <c r="CD102" s="252"/>
      <c r="CE102" s="259"/>
      <c r="CF102" s="252"/>
      <c r="CG102" s="252"/>
      <c r="CH102" s="252"/>
      <c r="CI102" s="259"/>
      <c r="CJ102" s="252"/>
      <c r="CK102" s="252"/>
      <c r="CL102" s="252"/>
      <c r="CM102" s="259"/>
      <c r="CN102" s="252"/>
      <c r="CO102" s="252"/>
      <c r="CP102" s="252"/>
      <c r="CQ102" s="259"/>
      <c r="CR102" s="252"/>
      <c r="CS102" s="252"/>
      <c r="CT102" s="255"/>
      <c r="CU102" s="173"/>
      <c r="CV102" s="173"/>
      <c r="CW102" s="173"/>
      <c r="CX102" s="173"/>
      <c r="CY102" s="173"/>
      <c r="CZ102" s="173"/>
      <c r="DA102" s="173"/>
      <c r="DB102" s="173"/>
      <c r="DC102" s="173"/>
      <c r="DD102" s="173"/>
      <c r="DE102" s="173"/>
      <c r="DF102" s="173"/>
    </row>
    <row r="103" spans="1:110" s="174" customFormat="1" x14ac:dyDescent="0.2">
      <c r="A103" s="190"/>
      <c r="B103" s="172"/>
      <c r="D103" s="169"/>
      <c r="E103" s="169"/>
      <c r="F103" s="169"/>
      <c r="G103" s="244"/>
      <c r="H103" s="169"/>
      <c r="I103" s="295"/>
      <c r="J103" s="295"/>
      <c r="K103" s="169"/>
      <c r="L103" s="169"/>
      <c r="M103" s="169"/>
      <c r="N103" s="169"/>
      <c r="O103" s="169"/>
      <c r="P103" s="169"/>
      <c r="Q103" s="185"/>
      <c r="R103" s="190"/>
      <c r="AS103" s="161"/>
      <c r="BF103" s="162"/>
      <c r="BG103" s="162"/>
      <c r="BH103" s="163"/>
      <c r="BI103" s="163"/>
      <c r="BJ103" s="161"/>
      <c r="BK103" s="288"/>
      <c r="BL103" s="164"/>
      <c r="BM103" s="173"/>
      <c r="BN103" s="252"/>
      <c r="BO103" s="259"/>
      <c r="BP103" s="252"/>
      <c r="BQ103" s="252"/>
      <c r="BR103" s="252"/>
      <c r="BS103" s="259"/>
      <c r="BT103" s="252"/>
      <c r="BU103" s="252"/>
      <c r="BV103" s="252"/>
      <c r="BW103" s="259"/>
      <c r="BX103" s="252"/>
      <c r="BY103" s="252"/>
      <c r="BZ103" s="252"/>
      <c r="CA103" s="259"/>
      <c r="CB103" s="252"/>
      <c r="CC103" s="252"/>
      <c r="CD103" s="252"/>
      <c r="CE103" s="259"/>
      <c r="CF103" s="252"/>
      <c r="CG103" s="252"/>
      <c r="CH103" s="252"/>
      <c r="CI103" s="259"/>
      <c r="CJ103" s="252"/>
      <c r="CK103" s="252"/>
      <c r="CL103" s="252"/>
      <c r="CM103" s="259"/>
      <c r="CN103" s="252"/>
      <c r="CO103" s="252"/>
      <c r="CP103" s="252"/>
      <c r="CQ103" s="259"/>
      <c r="CR103" s="252"/>
      <c r="CS103" s="252"/>
      <c r="CT103" s="255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</row>
    <row r="104" spans="1:110" s="174" customFormat="1" x14ac:dyDescent="0.2">
      <c r="A104" s="190"/>
      <c r="B104" s="172"/>
      <c r="D104" s="169"/>
      <c r="E104" s="169"/>
      <c r="F104" s="169"/>
      <c r="G104" s="244"/>
      <c r="H104" s="169"/>
      <c r="I104" s="295"/>
      <c r="J104" s="295"/>
      <c r="K104" s="169"/>
      <c r="L104" s="169"/>
      <c r="M104" s="169"/>
      <c r="N104" s="169"/>
      <c r="O104" s="169"/>
      <c r="P104" s="169"/>
      <c r="Q104" s="185"/>
      <c r="R104" s="190"/>
      <c r="AS104" s="161"/>
      <c r="BF104" s="162"/>
      <c r="BG104" s="162"/>
      <c r="BH104" s="163"/>
      <c r="BI104" s="163"/>
      <c r="BJ104" s="161"/>
      <c r="BK104" s="288"/>
      <c r="BL104" s="164"/>
      <c r="BM104" s="173"/>
      <c r="BN104" s="252"/>
      <c r="BO104" s="259"/>
      <c r="BP104" s="252"/>
      <c r="BQ104" s="252"/>
      <c r="BR104" s="252"/>
      <c r="BS104" s="259"/>
      <c r="BT104" s="252"/>
      <c r="BU104" s="252"/>
      <c r="BV104" s="252"/>
      <c r="BW104" s="259"/>
      <c r="BX104" s="252"/>
      <c r="BY104" s="252"/>
      <c r="BZ104" s="252"/>
      <c r="CA104" s="259"/>
      <c r="CB104" s="252"/>
      <c r="CC104" s="252"/>
      <c r="CD104" s="252"/>
      <c r="CE104" s="259"/>
      <c r="CF104" s="252"/>
      <c r="CG104" s="252"/>
      <c r="CH104" s="252"/>
      <c r="CI104" s="259"/>
      <c r="CJ104" s="252"/>
      <c r="CK104" s="252"/>
      <c r="CL104" s="252"/>
      <c r="CM104" s="259"/>
      <c r="CN104" s="252"/>
      <c r="CO104" s="252"/>
      <c r="CP104" s="252"/>
      <c r="CQ104" s="259"/>
      <c r="CR104" s="252"/>
      <c r="CS104" s="252"/>
      <c r="CT104" s="255"/>
      <c r="CU104" s="173"/>
      <c r="CV104" s="173"/>
      <c r="CW104" s="173"/>
      <c r="CX104" s="173"/>
      <c r="CY104" s="173"/>
      <c r="CZ104" s="173"/>
      <c r="DA104" s="173"/>
      <c r="DB104" s="173"/>
      <c r="DC104" s="173"/>
      <c r="DD104" s="173"/>
      <c r="DE104" s="173"/>
      <c r="DF104" s="173"/>
    </row>
    <row r="105" spans="1:110" s="174" customFormat="1" x14ac:dyDescent="0.2">
      <c r="A105" s="190"/>
      <c r="B105" s="172"/>
      <c r="D105" s="169"/>
      <c r="E105" s="169"/>
      <c r="F105" s="169"/>
      <c r="G105" s="244"/>
      <c r="H105" s="169"/>
      <c r="I105" s="295"/>
      <c r="J105" s="295"/>
      <c r="K105" s="169"/>
      <c r="L105" s="169"/>
      <c r="M105" s="169"/>
      <c r="N105" s="169"/>
      <c r="O105" s="169"/>
      <c r="P105" s="169"/>
      <c r="Q105" s="185"/>
      <c r="R105" s="190"/>
      <c r="AS105" s="161"/>
      <c r="BF105" s="162"/>
      <c r="BG105" s="162"/>
      <c r="BH105" s="163"/>
      <c r="BI105" s="163"/>
      <c r="BJ105" s="161"/>
      <c r="BK105" s="288"/>
      <c r="BL105" s="164"/>
      <c r="BM105" s="173"/>
      <c r="BN105" s="252"/>
      <c r="BO105" s="259"/>
      <c r="BP105" s="252"/>
      <c r="BQ105" s="252"/>
      <c r="BR105" s="252"/>
      <c r="BS105" s="259"/>
      <c r="BT105" s="252"/>
      <c r="BU105" s="252"/>
      <c r="BV105" s="252"/>
      <c r="BW105" s="259"/>
      <c r="BX105" s="252"/>
      <c r="BY105" s="252"/>
      <c r="BZ105" s="252"/>
      <c r="CA105" s="259"/>
      <c r="CB105" s="252"/>
      <c r="CC105" s="252"/>
      <c r="CD105" s="252"/>
      <c r="CE105" s="259"/>
      <c r="CF105" s="252"/>
      <c r="CG105" s="252"/>
      <c r="CH105" s="252"/>
      <c r="CI105" s="259"/>
      <c r="CJ105" s="252"/>
      <c r="CK105" s="252"/>
      <c r="CL105" s="252"/>
      <c r="CM105" s="259"/>
      <c r="CN105" s="252"/>
      <c r="CO105" s="252"/>
      <c r="CP105" s="252"/>
      <c r="CQ105" s="259"/>
      <c r="CR105" s="252"/>
      <c r="CS105" s="252"/>
      <c r="CT105" s="255"/>
      <c r="CU105" s="173"/>
      <c r="CV105" s="173"/>
      <c r="CW105" s="173"/>
      <c r="CX105" s="173"/>
      <c r="CY105" s="173"/>
      <c r="CZ105" s="173"/>
      <c r="DA105" s="173"/>
      <c r="DB105" s="173"/>
      <c r="DC105" s="173"/>
      <c r="DD105" s="173"/>
      <c r="DE105" s="173"/>
      <c r="DF105" s="173"/>
    </row>
    <row r="106" spans="1:110" s="174" customFormat="1" x14ac:dyDescent="0.2">
      <c r="A106" s="190"/>
      <c r="B106" s="172"/>
      <c r="D106" s="169"/>
      <c r="E106" s="169"/>
      <c r="F106" s="169"/>
      <c r="G106" s="244"/>
      <c r="H106" s="169"/>
      <c r="I106" s="295"/>
      <c r="J106" s="295"/>
      <c r="K106" s="169"/>
      <c r="L106" s="169"/>
      <c r="M106" s="169"/>
      <c r="N106" s="169"/>
      <c r="O106" s="169"/>
      <c r="P106" s="169"/>
      <c r="Q106" s="185"/>
      <c r="R106" s="190"/>
      <c r="AS106" s="161"/>
      <c r="BF106" s="162"/>
      <c r="BG106" s="162"/>
      <c r="BH106" s="163"/>
      <c r="BI106" s="163"/>
      <c r="BJ106" s="161"/>
      <c r="BK106" s="288"/>
      <c r="BL106" s="164"/>
      <c r="BM106" s="173"/>
      <c r="BN106" s="252"/>
      <c r="BO106" s="259"/>
      <c r="BP106" s="252"/>
      <c r="BQ106" s="252"/>
      <c r="BR106" s="252"/>
      <c r="BS106" s="259"/>
      <c r="BT106" s="252"/>
      <c r="BU106" s="252"/>
      <c r="BV106" s="252"/>
      <c r="BW106" s="259"/>
      <c r="BX106" s="252"/>
      <c r="BY106" s="252"/>
      <c r="BZ106" s="252"/>
      <c r="CA106" s="259"/>
      <c r="CB106" s="252"/>
      <c r="CC106" s="252"/>
      <c r="CD106" s="252"/>
      <c r="CE106" s="259"/>
      <c r="CF106" s="252"/>
      <c r="CG106" s="252"/>
      <c r="CH106" s="252"/>
      <c r="CI106" s="259"/>
      <c r="CJ106" s="252"/>
      <c r="CK106" s="252"/>
      <c r="CL106" s="252"/>
      <c r="CM106" s="259"/>
      <c r="CN106" s="252"/>
      <c r="CO106" s="252"/>
      <c r="CP106" s="252"/>
      <c r="CQ106" s="259"/>
      <c r="CR106" s="252"/>
      <c r="CS106" s="252"/>
      <c r="CT106" s="255"/>
      <c r="CU106" s="173"/>
      <c r="CV106" s="173"/>
      <c r="CW106" s="173"/>
      <c r="CX106" s="173"/>
      <c r="CY106" s="173"/>
      <c r="CZ106" s="173"/>
      <c r="DA106" s="173"/>
      <c r="DB106" s="173"/>
      <c r="DC106" s="173"/>
      <c r="DD106" s="173"/>
      <c r="DE106" s="173"/>
      <c r="DF106" s="173"/>
    </row>
    <row r="107" spans="1:110" s="174" customFormat="1" x14ac:dyDescent="0.2">
      <c r="A107" s="190"/>
      <c r="B107" s="172"/>
      <c r="D107" s="169"/>
      <c r="E107" s="169"/>
      <c r="F107" s="169"/>
      <c r="G107" s="244"/>
      <c r="H107" s="169"/>
      <c r="I107" s="295"/>
      <c r="J107" s="295"/>
      <c r="K107" s="169"/>
      <c r="L107" s="169"/>
      <c r="M107" s="169"/>
      <c r="N107" s="169"/>
      <c r="O107" s="169"/>
      <c r="P107" s="169"/>
      <c r="Q107" s="185"/>
      <c r="R107" s="190"/>
      <c r="AS107" s="161"/>
      <c r="BF107" s="162"/>
      <c r="BG107" s="162"/>
      <c r="BH107" s="163"/>
      <c r="BI107" s="163"/>
      <c r="BJ107" s="161"/>
      <c r="BK107" s="288"/>
      <c r="BL107" s="164"/>
      <c r="BM107" s="173"/>
      <c r="BN107" s="252"/>
      <c r="BO107" s="259"/>
      <c r="BP107" s="252"/>
      <c r="BQ107" s="252"/>
      <c r="BR107" s="252"/>
      <c r="BS107" s="259"/>
      <c r="BT107" s="252"/>
      <c r="BU107" s="252"/>
      <c r="BV107" s="252"/>
      <c r="BW107" s="259"/>
      <c r="BX107" s="252"/>
      <c r="BY107" s="252"/>
      <c r="BZ107" s="252"/>
      <c r="CA107" s="259"/>
      <c r="CB107" s="252"/>
      <c r="CC107" s="252"/>
      <c r="CD107" s="252"/>
      <c r="CE107" s="259"/>
      <c r="CF107" s="252"/>
      <c r="CG107" s="252"/>
      <c r="CH107" s="252"/>
      <c r="CI107" s="259"/>
      <c r="CJ107" s="252"/>
      <c r="CK107" s="252"/>
      <c r="CL107" s="252"/>
      <c r="CM107" s="259"/>
      <c r="CN107" s="252"/>
      <c r="CO107" s="252"/>
      <c r="CP107" s="252"/>
      <c r="CQ107" s="259"/>
      <c r="CR107" s="252"/>
      <c r="CS107" s="252"/>
      <c r="CT107" s="255"/>
      <c r="CU107" s="173"/>
      <c r="CV107" s="173"/>
      <c r="CW107" s="173"/>
      <c r="CX107" s="173"/>
      <c r="CY107" s="173"/>
      <c r="CZ107" s="173"/>
      <c r="DA107" s="173"/>
      <c r="DB107" s="173"/>
      <c r="DC107" s="173"/>
      <c r="DD107" s="173"/>
      <c r="DE107" s="173"/>
      <c r="DF107" s="173"/>
    </row>
    <row r="108" spans="1:110" s="174" customFormat="1" x14ac:dyDescent="0.2">
      <c r="A108" s="190"/>
      <c r="B108" s="172"/>
      <c r="D108" s="169"/>
      <c r="E108" s="169"/>
      <c r="F108" s="169"/>
      <c r="G108" s="244"/>
      <c r="H108" s="169"/>
      <c r="I108" s="295"/>
      <c r="J108" s="295"/>
      <c r="K108" s="169"/>
      <c r="L108" s="169"/>
      <c r="M108" s="169"/>
      <c r="N108" s="169"/>
      <c r="O108" s="169"/>
      <c r="P108" s="169"/>
      <c r="Q108" s="185"/>
      <c r="R108" s="190"/>
      <c r="AS108" s="161"/>
      <c r="BF108" s="162"/>
      <c r="BG108" s="162"/>
      <c r="BH108" s="163"/>
      <c r="BI108" s="163"/>
      <c r="BJ108" s="161"/>
      <c r="BK108" s="288"/>
      <c r="BL108" s="164"/>
      <c r="BM108" s="173"/>
      <c r="BN108" s="252"/>
      <c r="BO108" s="259"/>
      <c r="BP108" s="252"/>
      <c r="BQ108" s="252"/>
      <c r="BR108" s="252"/>
      <c r="BS108" s="259"/>
      <c r="BT108" s="252"/>
      <c r="BU108" s="252"/>
      <c r="BV108" s="252"/>
      <c r="BW108" s="259"/>
      <c r="BX108" s="252"/>
      <c r="BY108" s="252"/>
      <c r="BZ108" s="252"/>
      <c r="CA108" s="259"/>
      <c r="CB108" s="252"/>
      <c r="CC108" s="252"/>
      <c r="CD108" s="252"/>
      <c r="CE108" s="259"/>
      <c r="CF108" s="252"/>
      <c r="CG108" s="252"/>
      <c r="CH108" s="252"/>
      <c r="CI108" s="259"/>
      <c r="CJ108" s="252"/>
      <c r="CK108" s="252"/>
      <c r="CL108" s="252"/>
      <c r="CM108" s="259"/>
      <c r="CN108" s="252"/>
      <c r="CO108" s="252"/>
      <c r="CP108" s="252"/>
      <c r="CQ108" s="259"/>
      <c r="CR108" s="252"/>
      <c r="CS108" s="252"/>
      <c r="CT108" s="255"/>
      <c r="CU108" s="173"/>
      <c r="CV108" s="173"/>
      <c r="CW108" s="173"/>
      <c r="CX108" s="173"/>
      <c r="CY108" s="173"/>
      <c r="CZ108" s="173"/>
      <c r="DA108" s="173"/>
      <c r="DB108" s="173"/>
      <c r="DC108" s="173"/>
      <c r="DD108" s="173"/>
      <c r="DE108" s="173"/>
      <c r="DF108" s="173"/>
    </row>
    <row r="109" spans="1:110" s="174" customFormat="1" x14ac:dyDescent="0.2">
      <c r="A109" s="190"/>
      <c r="B109" s="172"/>
      <c r="D109" s="169"/>
      <c r="E109" s="169"/>
      <c r="F109" s="169"/>
      <c r="G109" s="244"/>
      <c r="H109" s="169"/>
      <c r="I109" s="295"/>
      <c r="J109" s="295"/>
      <c r="K109" s="169"/>
      <c r="L109" s="169"/>
      <c r="M109" s="169"/>
      <c r="N109" s="169"/>
      <c r="O109" s="169"/>
      <c r="P109" s="169"/>
      <c r="Q109" s="185"/>
      <c r="R109" s="190"/>
      <c r="AS109" s="161"/>
      <c r="BF109" s="162"/>
      <c r="BG109" s="162"/>
      <c r="BH109" s="163"/>
      <c r="BI109" s="163"/>
      <c r="BJ109" s="161"/>
      <c r="BK109" s="288"/>
      <c r="BL109" s="164"/>
      <c r="BM109" s="173"/>
      <c r="BN109" s="252"/>
      <c r="BO109" s="259"/>
      <c r="BP109" s="252"/>
      <c r="BQ109" s="252"/>
      <c r="BR109" s="252"/>
      <c r="BS109" s="259"/>
      <c r="BT109" s="252"/>
      <c r="BU109" s="252"/>
      <c r="BV109" s="252"/>
      <c r="BW109" s="259"/>
      <c r="BX109" s="252"/>
      <c r="BY109" s="252"/>
      <c r="BZ109" s="252"/>
      <c r="CA109" s="259"/>
      <c r="CB109" s="252"/>
      <c r="CC109" s="252"/>
      <c r="CD109" s="252"/>
      <c r="CE109" s="259"/>
      <c r="CF109" s="252"/>
      <c r="CG109" s="252"/>
      <c r="CH109" s="252"/>
      <c r="CI109" s="259"/>
      <c r="CJ109" s="252"/>
      <c r="CK109" s="252"/>
      <c r="CL109" s="252"/>
      <c r="CM109" s="259"/>
      <c r="CN109" s="252"/>
      <c r="CO109" s="252"/>
      <c r="CP109" s="252"/>
      <c r="CQ109" s="259"/>
      <c r="CR109" s="252"/>
      <c r="CS109" s="252"/>
      <c r="CT109" s="255"/>
      <c r="CU109" s="173"/>
      <c r="CV109" s="173"/>
      <c r="CW109" s="173"/>
      <c r="CX109" s="173"/>
      <c r="CY109" s="173"/>
      <c r="CZ109" s="173"/>
      <c r="DA109" s="173"/>
      <c r="DB109" s="173"/>
      <c r="DC109" s="173"/>
      <c r="DD109" s="173"/>
      <c r="DE109" s="173"/>
      <c r="DF109" s="173"/>
    </row>
    <row r="110" spans="1:110" s="174" customFormat="1" x14ac:dyDescent="0.2">
      <c r="A110" s="190"/>
      <c r="B110" s="172"/>
      <c r="D110" s="169"/>
      <c r="E110" s="169"/>
      <c r="F110" s="169"/>
      <c r="G110" s="244"/>
      <c r="H110" s="169"/>
      <c r="I110" s="295"/>
      <c r="J110" s="295"/>
      <c r="K110" s="169"/>
      <c r="L110" s="169"/>
      <c r="M110" s="169"/>
      <c r="N110" s="169"/>
      <c r="O110" s="169"/>
      <c r="P110" s="169"/>
      <c r="Q110" s="185"/>
      <c r="R110" s="190"/>
      <c r="AS110" s="161"/>
      <c r="BF110" s="162"/>
      <c r="BG110" s="162"/>
      <c r="BH110" s="163"/>
      <c r="BI110" s="163"/>
      <c r="BJ110" s="161"/>
      <c r="BK110" s="288"/>
      <c r="BL110" s="164"/>
      <c r="BM110" s="173"/>
      <c r="BN110" s="252"/>
      <c r="BO110" s="259"/>
      <c r="BP110" s="252"/>
      <c r="BQ110" s="252"/>
      <c r="BR110" s="252"/>
      <c r="BS110" s="259"/>
      <c r="BT110" s="252"/>
      <c r="BU110" s="252"/>
      <c r="BV110" s="252"/>
      <c r="BW110" s="259"/>
      <c r="BX110" s="252"/>
      <c r="BY110" s="252"/>
      <c r="BZ110" s="252"/>
      <c r="CA110" s="259"/>
      <c r="CB110" s="252"/>
      <c r="CC110" s="252"/>
      <c r="CD110" s="252"/>
      <c r="CE110" s="259"/>
      <c r="CF110" s="252"/>
      <c r="CG110" s="252"/>
      <c r="CH110" s="252"/>
      <c r="CI110" s="259"/>
      <c r="CJ110" s="252"/>
      <c r="CK110" s="252"/>
      <c r="CL110" s="252"/>
      <c r="CM110" s="259"/>
      <c r="CN110" s="252"/>
      <c r="CO110" s="252"/>
      <c r="CP110" s="252"/>
      <c r="CQ110" s="259"/>
      <c r="CR110" s="252"/>
      <c r="CS110" s="252"/>
      <c r="CT110" s="255"/>
      <c r="CU110" s="173"/>
      <c r="CV110" s="173"/>
      <c r="CW110" s="173"/>
      <c r="CX110" s="173"/>
      <c r="CY110" s="173"/>
      <c r="CZ110" s="173"/>
      <c r="DA110" s="173"/>
      <c r="DB110" s="173"/>
      <c r="DC110" s="173"/>
      <c r="DD110" s="173"/>
      <c r="DE110" s="173"/>
      <c r="DF110" s="173"/>
    </row>
    <row r="111" spans="1:110" s="174" customFormat="1" x14ac:dyDescent="0.2">
      <c r="A111" s="190"/>
      <c r="B111" s="172"/>
      <c r="D111" s="169"/>
      <c r="E111" s="169"/>
      <c r="F111" s="169"/>
      <c r="G111" s="244"/>
      <c r="H111" s="169"/>
      <c r="I111" s="295"/>
      <c r="J111" s="295"/>
      <c r="K111" s="169"/>
      <c r="L111" s="169"/>
      <c r="M111" s="169"/>
      <c r="N111" s="169"/>
      <c r="O111" s="169"/>
      <c r="P111" s="169"/>
      <c r="Q111" s="185"/>
      <c r="R111" s="190"/>
      <c r="AS111" s="161"/>
      <c r="BF111" s="162"/>
      <c r="BG111" s="162"/>
      <c r="BH111" s="163"/>
      <c r="BI111" s="163"/>
      <c r="BJ111" s="161"/>
      <c r="BK111" s="288"/>
      <c r="BL111" s="164"/>
      <c r="BM111" s="173"/>
      <c r="BN111" s="252"/>
      <c r="BO111" s="259"/>
      <c r="BP111" s="252"/>
      <c r="BQ111" s="252"/>
      <c r="BR111" s="252"/>
      <c r="BS111" s="259"/>
      <c r="BT111" s="252"/>
      <c r="BU111" s="252"/>
      <c r="BV111" s="252"/>
      <c r="BW111" s="259"/>
      <c r="BX111" s="252"/>
      <c r="BY111" s="252"/>
      <c r="BZ111" s="252"/>
      <c r="CA111" s="259"/>
      <c r="CB111" s="252"/>
      <c r="CC111" s="252"/>
      <c r="CD111" s="252"/>
      <c r="CE111" s="259"/>
      <c r="CF111" s="252"/>
      <c r="CG111" s="252"/>
      <c r="CH111" s="252"/>
      <c r="CI111" s="259"/>
      <c r="CJ111" s="252"/>
      <c r="CK111" s="252"/>
      <c r="CL111" s="252"/>
      <c r="CM111" s="259"/>
      <c r="CN111" s="252"/>
      <c r="CO111" s="252"/>
      <c r="CP111" s="252"/>
      <c r="CQ111" s="259"/>
      <c r="CR111" s="252"/>
      <c r="CS111" s="252"/>
      <c r="CT111" s="255"/>
      <c r="CU111" s="173"/>
      <c r="CV111" s="173"/>
      <c r="CW111" s="173"/>
      <c r="CX111" s="173"/>
      <c r="CY111" s="173"/>
      <c r="CZ111" s="173"/>
      <c r="DA111" s="173"/>
      <c r="DB111" s="173"/>
      <c r="DC111" s="173"/>
      <c r="DD111" s="173"/>
      <c r="DE111" s="173"/>
      <c r="DF111" s="173"/>
    </row>
    <row r="112" spans="1:110" s="174" customFormat="1" x14ac:dyDescent="0.2">
      <c r="A112" s="190"/>
      <c r="B112" s="172"/>
      <c r="D112" s="169"/>
      <c r="E112" s="169"/>
      <c r="F112" s="169"/>
      <c r="G112" s="244"/>
      <c r="H112" s="169"/>
      <c r="I112" s="295"/>
      <c r="J112" s="295"/>
      <c r="K112" s="169"/>
      <c r="L112" s="169"/>
      <c r="M112" s="169"/>
      <c r="N112" s="169"/>
      <c r="O112" s="169"/>
      <c r="P112" s="169"/>
      <c r="Q112" s="185"/>
      <c r="R112" s="190"/>
      <c r="AS112" s="161"/>
      <c r="BF112" s="162"/>
      <c r="BG112" s="162"/>
      <c r="BH112" s="163"/>
      <c r="BI112" s="163"/>
      <c r="BJ112" s="161"/>
      <c r="BK112" s="288"/>
      <c r="BL112" s="164"/>
      <c r="BM112" s="173"/>
      <c r="BN112" s="252"/>
      <c r="BO112" s="259"/>
      <c r="BP112" s="252"/>
      <c r="BQ112" s="252"/>
      <c r="BR112" s="252"/>
      <c r="BS112" s="259"/>
      <c r="BT112" s="252"/>
      <c r="BU112" s="252"/>
      <c r="BV112" s="252"/>
      <c r="BW112" s="259"/>
      <c r="BX112" s="252"/>
      <c r="BY112" s="252"/>
      <c r="BZ112" s="252"/>
      <c r="CA112" s="259"/>
      <c r="CB112" s="252"/>
      <c r="CC112" s="252"/>
      <c r="CD112" s="252"/>
      <c r="CE112" s="259"/>
      <c r="CF112" s="252"/>
      <c r="CG112" s="252"/>
      <c r="CH112" s="252"/>
      <c r="CI112" s="259"/>
      <c r="CJ112" s="252"/>
      <c r="CK112" s="252"/>
      <c r="CL112" s="252"/>
      <c r="CM112" s="259"/>
      <c r="CN112" s="252"/>
      <c r="CO112" s="252"/>
      <c r="CP112" s="252"/>
      <c r="CQ112" s="259"/>
      <c r="CR112" s="252"/>
      <c r="CS112" s="252"/>
      <c r="CT112" s="255"/>
      <c r="CU112" s="173"/>
      <c r="CV112" s="173"/>
      <c r="CW112" s="173"/>
      <c r="CX112" s="173"/>
      <c r="CY112" s="173"/>
      <c r="CZ112" s="173"/>
      <c r="DA112" s="173"/>
      <c r="DB112" s="173"/>
      <c r="DC112" s="173"/>
      <c r="DD112" s="173"/>
      <c r="DE112" s="173"/>
      <c r="DF112" s="173"/>
    </row>
    <row r="113" spans="1:110" s="174" customFormat="1" x14ac:dyDescent="0.2">
      <c r="A113" s="190"/>
      <c r="B113" s="172"/>
      <c r="D113" s="169"/>
      <c r="E113" s="169"/>
      <c r="F113" s="169"/>
      <c r="G113" s="244"/>
      <c r="H113" s="169"/>
      <c r="I113" s="295"/>
      <c r="J113" s="295"/>
      <c r="K113" s="169"/>
      <c r="L113" s="169"/>
      <c r="M113" s="169"/>
      <c r="N113" s="169"/>
      <c r="O113" s="169"/>
      <c r="P113" s="169"/>
      <c r="Q113" s="185"/>
      <c r="R113" s="190"/>
      <c r="AS113" s="161"/>
      <c r="BF113" s="162"/>
      <c r="BG113" s="162"/>
      <c r="BH113" s="163"/>
      <c r="BI113" s="163"/>
      <c r="BJ113" s="161"/>
      <c r="BK113" s="288"/>
      <c r="BL113" s="164"/>
      <c r="BM113" s="173"/>
      <c r="BN113" s="252"/>
      <c r="BO113" s="259"/>
      <c r="BP113" s="252"/>
      <c r="BQ113" s="252"/>
      <c r="BR113" s="252"/>
      <c r="BS113" s="259"/>
      <c r="BT113" s="252"/>
      <c r="BU113" s="252"/>
      <c r="BV113" s="252"/>
      <c r="BW113" s="259"/>
      <c r="BX113" s="252"/>
      <c r="BY113" s="252"/>
      <c r="BZ113" s="252"/>
      <c r="CA113" s="259"/>
      <c r="CB113" s="252"/>
      <c r="CC113" s="252"/>
      <c r="CD113" s="252"/>
      <c r="CE113" s="259"/>
      <c r="CF113" s="252"/>
      <c r="CG113" s="252"/>
      <c r="CH113" s="252"/>
      <c r="CI113" s="259"/>
      <c r="CJ113" s="252"/>
      <c r="CK113" s="252"/>
      <c r="CL113" s="252"/>
      <c r="CM113" s="259"/>
      <c r="CN113" s="252"/>
      <c r="CO113" s="252"/>
      <c r="CP113" s="252"/>
      <c r="CQ113" s="259"/>
      <c r="CR113" s="252"/>
      <c r="CS113" s="252"/>
      <c r="CT113" s="255"/>
      <c r="CU113" s="173"/>
      <c r="CV113" s="173"/>
      <c r="CW113" s="173"/>
      <c r="CX113" s="173"/>
      <c r="CY113" s="173"/>
      <c r="CZ113" s="173"/>
      <c r="DA113" s="173"/>
      <c r="DB113" s="173"/>
      <c r="DC113" s="173"/>
      <c r="DD113" s="173"/>
      <c r="DE113" s="173"/>
      <c r="DF113" s="173"/>
    </row>
    <row r="114" spans="1:110" s="174" customFormat="1" x14ac:dyDescent="0.2">
      <c r="A114" s="190"/>
      <c r="B114" s="172"/>
      <c r="D114" s="169"/>
      <c r="E114" s="169"/>
      <c r="F114" s="169"/>
      <c r="G114" s="244"/>
      <c r="H114" s="169"/>
      <c r="I114" s="295"/>
      <c r="J114" s="295"/>
      <c r="K114" s="169"/>
      <c r="L114" s="169"/>
      <c r="M114" s="169"/>
      <c r="N114" s="169"/>
      <c r="O114" s="169"/>
      <c r="P114" s="169"/>
      <c r="Q114" s="185"/>
      <c r="R114" s="190"/>
      <c r="AS114" s="161"/>
      <c r="BF114" s="162"/>
      <c r="BG114" s="162"/>
      <c r="BH114" s="163"/>
      <c r="BI114" s="163"/>
      <c r="BJ114" s="161"/>
      <c r="BK114" s="288"/>
      <c r="BL114" s="164"/>
      <c r="BM114" s="173"/>
      <c r="BN114" s="252"/>
      <c r="BO114" s="259"/>
      <c r="BP114" s="252"/>
      <c r="BQ114" s="252"/>
      <c r="BR114" s="252"/>
      <c r="BS114" s="259"/>
      <c r="BT114" s="252"/>
      <c r="BU114" s="252"/>
      <c r="BV114" s="252"/>
      <c r="BW114" s="259"/>
      <c r="BX114" s="252"/>
      <c r="BY114" s="252"/>
      <c r="BZ114" s="252"/>
      <c r="CA114" s="259"/>
      <c r="CB114" s="252"/>
      <c r="CC114" s="252"/>
      <c r="CD114" s="252"/>
      <c r="CE114" s="259"/>
      <c r="CF114" s="252"/>
      <c r="CG114" s="252"/>
      <c r="CH114" s="252"/>
      <c r="CI114" s="259"/>
      <c r="CJ114" s="252"/>
      <c r="CK114" s="252"/>
      <c r="CL114" s="252"/>
      <c r="CM114" s="259"/>
      <c r="CN114" s="252"/>
      <c r="CO114" s="252"/>
      <c r="CP114" s="252"/>
      <c r="CQ114" s="259"/>
      <c r="CR114" s="252"/>
      <c r="CS114" s="252"/>
      <c r="CT114" s="255"/>
      <c r="CU114" s="173"/>
      <c r="CV114" s="173"/>
      <c r="CW114" s="173"/>
      <c r="CX114" s="173"/>
      <c r="CY114" s="173"/>
      <c r="CZ114" s="173"/>
      <c r="DA114" s="173"/>
      <c r="DB114" s="173"/>
      <c r="DC114" s="173"/>
      <c r="DD114" s="173"/>
      <c r="DE114" s="173"/>
      <c r="DF114" s="173"/>
    </row>
    <row r="115" spans="1:110" s="174" customFormat="1" x14ac:dyDescent="0.2">
      <c r="A115" s="190"/>
      <c r="B115" s="172"/>
      <c r="D115" s="169"/>
      <c r="E115" s="169"/>
      <c r="F115" s="169"/>
      <c r="G115" s="244"/>
      <c r="H115" s="169"/>
      <c r="I115" s="295"/>
      <c r="J115" s="295"/>
      <c r="K115" s="169"/>
      <c r="L115" s="169"/>
      <c r="M115" s="169"/>
      <c r="N115" s="169"/>
      <c r="O115" s="169"/>
      <c r="P115" s="169"/>
      <c r="Q115" s="185"/>
      <c r="R115" s="190"/>
      <c r="AS115" s="161"/>
      <c r="BF115" s="162"/>
      <c r="BG115" s="162"/>
      <c r="BH115" s="163"/>
      <c r="BI115" s="163"/>
      <c r="BJ115" s="161"/>
      <c r="BK115" s="288"/>
      <c r="BL115" s="164"/>
      <c r="BM115" s="173"/>
      <c r="BN115" s="252"/>
      <c r="BO115" s="259"/>
      <c r="BP115" s="252"/>
      <c r="BQ115" s="252"/>
      <c r="BR115" s="252"/>
      <c r="BS115" s="259"/>
      <c r="BT115" s="252"/>
      <c r="BU115" s="252"/>
      <c r="BV115" s="252"/>
      <c r="BW115" s="259"/>
      <c r="BX115" s="252"/>
      <c r="BY115" s="252"/>
      <c r="BZ115" s="252"/>
      <c r="CA115" s="259"/>
      <c r="CB115" s="252"/>
      <c r="CC115" s="252"/>
      <c r="CD115" s="252"/>
      <c r="CE115" s="259"/>
      <c r="CF115" s="252"/>
      <c r="CG115" s="252"/>
      <c r="CH115" s="252"/>
      <c r="CI115" s="259"/>
      <c r="CJ115" s="252"/>
      <c r="CK115" s="252"/>
      <c r="CL115" s="252"/>
      <c r="CM115" s="259"/>
      <c r="CN115" s="252"/>
      <c r="CO115" s="252"/>
      <c r="CP115" s="252"/>
      <c r="CQ115" s="259"/>
      <c r="CR115" s="252"/>
      <c r="CS115" s="252"/>
      <c r="CT115" s="255"/>
      <c r="CU115" s="173"/>
      <c r="CV115" s="173"/>
      <c r="CW115" s="173"/>
      <c r="CX115" s="173"/>
      <c r="CY115" s="173"/>
      <c r="CZ115" s="173"/>
      <c r="DA115" s="173"/>
      <c r="DB115" s="173"/>
      <c r="DC115" s="173"/>
      <c r="DD115" s="173"/>
      <c r="DE115" s="173"/>
      <c r="DF115" s="173"/>
    </row>
    <row r="116" spans="1:110" s="174" customFormat="1" x14ac:dyDescent="0.2">
      <c r="A116" s="190"/>
      <c r="B116" s="172"/>
      <c r="D116" s="169"/>
      <c r="E116" s="169"/>
      <c r="F116" s="169"/>
      <c r="G116" s="244"/>
      <c r="H116" s="169"/>
      <c r="I116" s="295"/>
      <c r="J116" s="295"/>
      <c r="K116" s="169"/>
      <c r="L116" s="169"/>
      <c r="M116" s="169"/>
      <c r="N116" s="169"/>
      <c r="O116" s="169"/>
      <c r="P116" s="169"/>
      <c r="Q116" s="185"/>
      <c r="R116" s="190"/>
      <c r="AS116" s="161"/>
      <c r="BF116" s="162"/>
      <c r="BG116" s="162"/>
      <c r="BH116" s="163"/>
      <c r="BI116" s="163"/>
      <c r="BJ116" s="161"/>
      <c r="BK116" s="288"/>
      <c r="BL116" s="164"/>
      <c r="BM116" s="173"/>
      <c r="BN116" s="252"/>
      <c r="BO116" s="259"/>
      <c r="BP116" s="252"/>
      <c r="BQ116" s="252"/>
      <c r="BR116" s="252"/>
      <c r="BS116" s="259"/>
      <c r="BT116" s="252"/>
      <c r="BU116" s="252"/>
      <c r="BV116" s="252"/>
      <c r="BW116" s="259"/>
      <c r="BX116" s="252"/>
      <c r="BY116" s="252"/>
      <c r="BZ116" s="252"/>
      <c r="CA116" s="259"/>
      <c r="CB116" s="252"/>
      <c r="CC116" s="252"/>
      <c r="CD116" s="252"/>
      <c r="CE116" s="259"/>
      <c r="CF116" s="252"/>
      <c r="CG116" s="252"/>
      <c r="CH116" s="252"/>
      <c r="CI116" s="259"/>
      <c r="CJ116" s="252"/>
      <c r="CK116" s="252"/>
      <c r="CL116" s="252"/>
      <c r="CM116" s="259"/>
      <c r="CN116" s="252"/>
      <c r="CO116" s="252"/>
      <c r="CP116" s="252"/>
      <c r="CQ116" s="259"/>
      <c r="CR116" s="252"/>
      <c r="CS116" s="252"/>
      <c r="CT116" s="255"/>
      <c r="CU116" s="173"/>
      <c r="CV116" s="173"/>
      <c r="CW116" s="173"/>
      <c r="CX116" s="173"/>
      <c r="CY116" s="173"/>
      <c r="CZ116" s="173"/>
      <c r="DA116" s="173"/>
      <c r="DB116" s="173"/>
      <c r="DC116" s="173"/>
      <c r="DD116" s="173"/>
      <c r="DE116" s="173"/>
      <c r="DF116" s="173"/>
    </row>
    <row r="117" spans="1:110" s="174" customFormat="1" x14ac:dyDescent="0.2">
      <c r="A117" s="190"/>
      <c r="B117" s="172"/>
      <c r="D117" s="169"/>
      <c r="E117" s="169"/>
      <c r="F117" s="169"/>
      <c r="G117" s="244"/>
      <c r="H117" s="169"/>
      <c r="I117" s="295"/>
      <c r="J117" s="295"/>
      <c r="K117" s="169"/>
      <c r="L117" s="169"/>
      <c r="M117" s="169"/>
      <c r="N117" s="169"/>
      <c r="O117" s="169"/>
      <c r="P117" s="169"/>
      <c r="Q117" s="185"/>
      <c r="R117" s="190"/>
      <c r="AS117" s="161"/>
      <c r="BF117" s="162"/>
      <c r="BG117" s="162"/>
      <c r="BH117" s="163"/>
      <c r="BI117" s="163"/>
      <c r="BJ117" s="161"/>
      <c r="BK117" s="288"/>
      <c r="BL117" s="164"/>
      <c r="BM117" s="173"/>
      <c r="BN117" s="252"/>
      <c r="BO117" s="259"/>
      <c r="BP117" s="252"/>
      <c r="BQ117" s="252"/>
      <c r="BR117" s="252"/>
      <c r="BS117" s="259"/>
      <c r="BT117" s="252"/>
      <c r="BU117" s="252"/>
      <c r="BV117" s="252"/>
      <c r="BW117" s="259"/>
      <c r="BX117" s="252"/>
      <c r="BY117" s="252"/>
      <c r="BZ117" s="252"/>
      <c r="CA117" s="259"/>
      <c r="CB117" s="252"/>
      <c r="CC117" s="252"/>
      <c r="CD117" s="252"/>
      <c r="CE117" s="259"/>
      <c r="CF117" s="252"/>
      <c r="CG117" s="252"/>
      <c r="CH117" s="252"/>
      <c r="CI117" s="259"/>
      <c r="CJ117" s="252"/>
      <c r="CK117" s="252"/>
      <c r="CL117" s="252"/>
      <c r="CM117" s="259"/>
      <c r="CN117" s="252"/>
      <c r="CO117" s="252"/>
      <c r="CP117" s="252"/>
      <c r="CQ117" s="259"/>
      <c r="CR117" s="252"/>
      <c r="CS117" s="252"/>
      <c r="CT117" s="255"/>
      <c r="CU117" s="173"/>
      <c r="CV117" s="173"/>
      <c r="CW117" s="173"/>
      <c r="CX117" s="173"/>
      <c r="CY117" s="173"/>
      <c r="CZ117" s="173"/>
      <c r="DA117" s="173"/>
      <c r="DB117" s="173"/>
      <c r="DC117" s="173"/>
      <c r="DD117" s="173"/>
      <c r="DE117" s="173"/>
      <c r="DF117" s="173"/>
    </row>
    <row r="118" spans="1:110" s="174" customFormat="1" x14ac:dyDescent="0.2">
      <c r="A118" s="190"/>
      <c r="B118" s="172"/>
      <c r="D118" s="169"/>
      <c r="E118" s="169"/>
      <c r="F118" s="169"/>
      <c r="G118" s="244"/>
      <c r="H118" s="169"/>
      <c r="I118" s="295"/>
      <c r="J118" s="295"/>
      <c r="K118" s="169"/>
      <c r="L118" s="169"/>
      <c r="M118" s="169"/>
      <c r="N118" s="169"/>
      <c r="O118" s="169"/>
      <c r="P118" s="169"/>
      <c r="Q118" s="185"/>
      <c r="R118" s="190"/>
      <c r="AS118" s="161"/>
      <c r="BF118" s="162"/>
      <c r="BG118" s="162"/>
      <c r="BH118" s="163"/>
      <c r="BI118" s="163"/>
      <c r="BJ118" s="161"/>
      <c r="BK118" s="288"/>
      <c r="BL118" s="164"/>
      <c r="BM118" s="173"/>
      <c r="BN118" s="252"/>
      <c r="BO118" s="259"/>
      <c r="BP118" s="252"/>
      <c r="BQ118" s="252"/>
      <c r="BR118" s="252"/>
      <c r="BS118" s="259"/>
      <c r="BT118" s="252"/>
      <c r="BU118" s="252"/>
      <c r="BV118" s="252"/>
      <c r="BW118" s="259"/>
      <c r="BX118" s="252"/>
      <c r="BY118" s="252"/>
      <c r="BZ118" s="252"/>
      <c r="CA118" s="259"/>
      <c r="CB118" s="252"/>
      <c r="CC118" s="252"/>
      <c r="CD118" s="252"/>
      <c r="CE118" s="259"/>
      <c r="CF118" s="252"/>
      <c r="CG118" s="252"/>
      <c r="CH118" s="252"/>
      <c r="CI118" s="259"/>
      <c r="CJ118" s="252"/>
      <c r="CK118" s="252"/>
      <c r="CL118" s="252"/>
      <c r="CM118" s="259"/>
      <c r="CN118" s="252"/>
      <c r="CO118" s="252"/>
      <c r="CP118" s="252"/>
      <c r="CQ118" s="259"/>
      <c r="CR118" s="252"/>
      <c r="CS118" s="252"/>
      <c r="CT118" s="255"/>
      <c r="CU118" s="173"/>
      <c r="CV118" s="173"/>
      <c r="CW118" s="173"/>
      <c r="CX118" s="173"/>
      <c r="CY118" s="173"/>
      <c r="CZ118" s="173"/>
      <c r="DA118" s="173"/>
      <c r="DB118" s="173"/>
      <c r="DC118" s="173"/>
      <c r="DD118" s="173"/>
      <c r="DE118" s="173"/>
      <c r="DF118" s="173"/>
    </row>
    <row r="119" spans="1:110" s="174" customFormat="1" x14ac:dyDescent="0.2">
      <c r="A119" s="190"/>
      <c r="B119" s="172"/>
      <c r="D119" s="169"/>
      <c r="E119" s="169"/>
      <c r="F119" s="169"/>
      <c r="G119" s="244"/>
      <c r="H119" s="169"/>
      <c r="I119" s="295"/>
      <c r="J119" s="295"/>
      <c r="K119" s="169"/>
      <c r="L119" s="169"/>
      <c r="M119" s="169"/>
      <c r="N119" s="169"/>
      <c r="O119" s="169"/>
      <c r="P119" s="169"/>
      <c r="Q119" s="185"/>
      <c r="R119" s="190"/>
      <c r="AS119" s="161"/>
      <c r="BF119" s="162"/>
      <c r="BG119" s="162"/>
      <c r="BH119" s="163"/>
      <c r="BI119" s="163"/>
      <c r="BJ119" s="161"/>
      <c r="BK119" s="288"/>
      <c r="BL119" s="164"/>
      <c r="BM119" s="173"/>
      <c r="BN119" s="252"/>
      <c r="BO119" s="259"/>
      <c r="BP119" s="252"/>
      <c r="BQ119" s="252"/>
      <c r="BR119" s="252"/>
      <c r="BS119" s="259"/>
      <c r="BT119" s="252"/>
      <c r="BU119" s="252"/>
      <c r="BV119" s="252"/>
      <c r="BW119" s="259"/>
      <c r="BX119" s="252"/>
      <c r="BY119" s="252"/>
      <c r="BZ119" s="252"/>
      <c r="CA119" s="259"/>
      <c r="CB119" s="252"/>
      <c r="CC119" s="252"/>
      <c r="CD119" s="252"/>
      <c r="CE119" s="259"/>
      <c r="CF119" s="252"/>
      <c r="CG119" s="252"/>
      <c r="CH119" s="252"/>
      <c r="CI119" s="259"/>
      <c r="CJ119" s="252"/>
      <c r="CK119" s="252"/>
      <c r="CL119" s="252"/>
      <c r="CM119" s="259"/>
      <c r="CN119" s="252"/>
      <c r="CO119" s="252"/>
      <c r="CP119" s="252"/>
      <c r="CQ119" s="259"/>
      <c r="CR119" s="252"/>
      <c r="CS119" s="252"/>
      <c r="CT119" s="255"/>
      <c r="CU119" s="173"/>
      <c r="CV119" s="173"/>
      <c r="CW119" s="173"/>
      <c r="CX119" s="173"/>
      <c r="CY119" s="173"/>
      <c r="CZ119" s="173"/>
      <c r="DA119" s="173"/>
      <c r="DB119" s="173"/>
      <c r="DC119" s="173"/>
      <c r="DD119" s="173"/>
      <c r="DE119" s="173"/>
      <c r="DF119" s="173"/>
    </row>
    <row r="120" spans="1:110" s="174" customFormat="1" x14ac:dyDescent="0.2">
      <c r="A120" s="190"/>
      <c r="B120" s="172"/>
      <c r="D120" s="169"/>
      <c r="E120" s="169"/>
      <c r="F120" s="169"/>
      <c r="G120" s="244"/>
      <c r="H120" s="169"/>
      <c r="I120" s="295"/>
      <c r="J120" s="295"/>
      <c r="K120" s="169"/>
      <c r="L120" s="169"/>
      <c r="M120" s="169"/>
      <c r="N120" s="169"/>
      <c r="O120" s="169"/>
      <c r="P120" s="169"/>
      <c r="Q120" s="185"/>
      <c r="R120" s="190"/>
      <c r="AS120" s="161"/>
      <c r="BF120" s="162"/>
      <c r="BG120" s="162"/>
      <c r="BH120" s="163"/>
      <c r="BI120" s="163"/>
      <c r="BJ120" s="161"/>
      <c r="BK120" s="288"/>
      <c r="BL120" s="164"/>
      <c r="BM120" s="173"/>
      <c r="BN120" s="252"/>
      <c r="BO120" s="259"/>
      <c r="BP120" s="252"/>
      <c r="BQ120" s="252"/>
      <c r="BR120" s="252"/>
      <c r="BS120" s="259"/>
      <c r="BT120" s="252"/>
      <c r="BU120" s="252"/>
      <c r="BV120" s="252"/>
      <c r="BW120" s="259"/>
      <c r="BX120" s="252"/>
      <c r="BY120" s="252"/>
      <c r="BZ120" s="252"/>
      <c r="CA120" s="259"/>
      <c r="CB120" s="252"/>
      <c r="CC120" s="252"/>
      <c r="CD120" s="252"/>
      <c r="CE120" s="259"/>
      <c r="CF120" s="252"/>
      <c r="CG120" s="252"/>
      <c r="CH120" s="252"/>
      <c r="CI120" s="259"/>
      <c r="CJ120" s="252"/>
      <c r="CK120" s="252"/>
      <c r="CL120" s="252"/>
      <c r="CM120" s="259"/>
      <c r="CN120" s="252"/>
      <c r="CO120" s="252"/>
      <c r="CP120" s="252"/>
      <c r="CQ120" s="259"/>
      <c r="CR120" s="252"/>
      <c r="CS120" s="252"/>
      <c r="CT120" s="255"/>
      <c r="CU120" s="173"/>
      <c r="CV120" s="173"/>
      <c r="CW120" s="173"/>
      <c r="CX120" s="173"/>
      <c r="CY120" s="173"/>
      <c r="CZ120" s="173"/>
      <c r="DA120" s="173"/>
      <c r="DB120" s="173"/>
      <c r="DC120" s="173"/>
      <c r="DD120" s="173"/>
      <c r="DE120" s="173"/>
      <c r="DF120" s="173"/>
    </row>
    <row r="121" spans="1:110" s="174" customFormat="1" x14ac:dyDescent="0.2">
      <c r="A121" s="190"/>
      <c r="B121" s="172"/>
      <c r="D121" s="169"/>
      <c r="E121" s="169"/>
      <c r="F121" s="169"/>
      <c r="G121" s="244"/>
      <c r="H121" s="169"/>
      <c r="I121" s="295"/>
      <c r="J121" s="295"/>
      <c r="K121" s="169"/>
      <c r="L121" s="169"/>
      <c r="M121" s="169"/>
      <c r="N121" s="169"/>
      <c r="O121" s="169"/>
      <c r="P121" s="169"/>
      <c r="Q121" s="185"/>
      <c r="R121" s="190"/>
      <c r="AS121" s="161"/>
      <c r="BF121" s="162"/>
      <c r="BG121" s="162"/>
      <c r="BH121" s="163"/>
      <c r="BI121" s="163"/>
      <c r="BJ121" s="161"/>
      <c r="BK121" s="288"/>
      <c r="BL121" s="164"/>
      <c r="BM121" s="173"/>
      <c r="BN121" s="252"/>
      <c r="BO121" s="259"/>
      <c r="BP121" s="252"/>
      <c r="BQ121" s="252"/>
      <c r="BR121" s="252"/>
      <c r="BS121" s="259"/>
      <c r="BT121" s="252"/>
      <c r="BU121" s="252"/>
      <c r="BV121" s="252"/>
      <c r="BW121" s="259"/>
      <c r="BX121" s="252"/>
      <c r="BY121" s="252"/>
      <c r="BZ121" s="252"/>
      <c r="CA121" s="259"/>
      <c r="CB121" s="252"/>
      <c r="CC121" s="252"/>
      <c r="CD121" s="252"/>
      <c r="CE121" s="259"/>
      <c r="CF121" s="252"/>
      <c r="CG121" s="252"/>
      <c r="CH121" s="252"/>
      <c r="CI121" s="259"/>
      <c r="CJ121" s="252"/>
      <c r="CK121" s="252"/>
      <c r="CL121" s="252"/>
      <c r="CM121" s="259"/>
      <c r="CN121" s="252"/>
      <c r="CO121" s="252"/>
      <c r="CP121" s="252"/>
      <c r="CQ121" s="259"/>
      <c r="CR121" s="252"/>
      <c r="CS121" s="252"/>
      <c r="CT121" s="255"/>
      <c r="CU121" s="173"/>
      <c r="CV121" s="173"/>
      <c r="CW121" s="173"/>
      <c r="CX121" s="173"/>
      <c r="CY121" s="173"/>
      <c r="CZ121" s="173"/>
      <c r="DA121" s="173"/>
      <c r="DB121" s="173"/>
      <c r="DC121" s="173"/>
      <c r="DD121" s="173"/>
      <c r="DE121" s="173"/>
      <c r="DF121" s="173"/>
    </row>
    <row r="122" spans="1:110" s="174" customFormat="1" x14ac:dyDescent="0.2">
      <c r="A122" s="190"/>
      <c r="B122" s="172"/>
      <c r="D122" s="169"/>
      <c r="E122" s="169"/>
      <c r="F122" s="169"/>
      <c r="G122" s="244"/>
      <c r="H122" s="169"/>
      <c r="I122" s="295"/>
      <c r="J122" s="295"/>
      <c r="K122" s="169"/>
      <c r="L122" s="169"/>
      <c r="M122" s="169"/>
      <c r="N122" s="169"/>
      <c r="O122" s="169"/>
      <c r="P122" s="169"/>
      <c r="Q122" s="185"/>
      <c r="R122" s="190"/>
      <c r="AS122" s="161"/>
      <c r="BF122" s="162"/>
      <c r="BG122" s="162"/>
      <c r="BH122" s="163"/>
      <c r="BI122" s="163"/>
      <c r="BJ122" s="161"/>
      <c r="BK122" s="288"/>
      <c r="BL122" s="164"/>
      <c r="BM122" s="173"/>
      <c r="BN122" s="252"/>
      <c r="BO122" s="259"/>
      <c r="BP122" s="252"/>
      <c r="BQ122" s="252"/>
      <c r="BR122" s="252"/>
      <c r="BS122" s="259"/>
      <c r="BT122" s="252"/>
      <c r="BU122" s="252"/>
      <c r="BV122" s="252"/>
      <c r="BW122" s="259"/>
      <c r="BX122" s="252"/>
      <c r="BY122" s="252"/>
      <c r="BZ122" s="252"/>
      <c r="CA122" s="259"/>
      <c r="CB122" s="252"/>
      <c r="CC122" s="252"/>
      <c r="CD122" s="252"/>
      <c r="CE122" s="259"/>
      <c r="CF122" s="252"/>
      <c r="CG122" s="252"/>
      <c r="CH122" s="252"/>
      <c r="CI122" s="259"/>
      <c r="CJ122" s="252"/>
      <c r="CK122" s="252"/>
      <c r="CL122" s="252"/>
      <c r="CM122" s="259"/>
      <c r="CN122" s="252"/>
      <c r="CO122" s="252"/>
      <c r="CP122" s="252"/>
      <c r="CQ122" s="259"/>
      <c r="CR122" s="252"/>
      <c r="CS122" s="252"/>
      <c r="CT122" s="255"/>
      <c r="CU122" s="173"/>
      <c r="CV122" s="173"/>
      <c r="CW122" s="173"/>
      <c r="CX122" s="173"/>
      <c r="CY122" s="173"/>
      <c r="CZ122" s="173"/>
      <c r="DA122" s="173"/>
      <c r="DB122" s="173"/>
      <c r="DC122" s="173"/>
      <c r="DD122" s="173"/>
      <c r="DE122" s="173"/>
      <c r="DF122" s="173"/>
    </row>
    <row r="123" spans="1:110" s="174" customFormat="1" x14ac:dyDescent="0.2">
      <c r="A123" s="190"/>
      <c r="B123" s="172"/>
      <c r="D123" s="169"/>
      <c r="E123" s="169"/>
      <c r="F123" s="169"/>
      <c r="G123" s="244"/>
      <c r="H123" s="169"/>
      <c r="I123" s="295"/>
      <c r="J123" s="295"/>
      <c r="K123" s="169"/>
      <c r="L123" s="169"/>
      <c r="M123" s="169"/>
      <c r="N123" s="169"/>
      <c r="O123" s="169"/>
      <c r="P123" s="169"/>
      <c r="Q123" s="185"/>
      <c r="R123" s="190"/>
      <c r="AS123" s="161"/>
      <c r="BF123" s="162"/>
      <c r="BG123" s="162"/>
      <c r="BH123" s="163"/>
      <c r="BI123" s="163"/>
      <c r="BJ123" s="161"/>
      <c r="BK123" s="288"/>
      <c r="BL123" s="164"/>
      <c r="BM123" s="173"/>
      <c r="BN123" s="252"/>
      <c r="BO123" s="259"/>
      <c r="BP123" s="252"/>
      <c r="BQ123" s="252"/>
      <c r="BR123" s="252"/>
      <c r="BS123" s="259"/>
      <c r="BT123" s="252"/>
      <c r="BU123" s="252"/>
      <c r="BV123" s="252"/>
      <c r="BW123" s="259"/>
      <c r="BX123" s="252"/>
      <c r="BY123" s="252"/>
      <c r="BZ123" s="252"/>
      <c r="CA123" s="259"/>
      <c r="CB123" s="252"/>
      <c r="CC123" s="252"/>
      <c r="CD123" s="252"/>
      <c r="CE123" s="259"/>
      <c r="CF123" s="252"/>
      <c r="CG123" s="252"/>
      <c r="CH123" s="252"/>
      <c r="CI123" s="259"/>
      <c r="CJ123" s="252"/>
      <c r="CK123" s="252"/>
      <c r="CL123" s="252"/>
      <c r="CM123" s="259"/>
      <c r="CN123" s="252"/>
      <c r="CO123" s="252"/>
      <c r="CP123" s="252"/>
      <c r="CQ123" s="259"/>
      <c r="CR123" s="252"/>
      <c r="CS123" s="252"/>
      <c r="CT123" s="255"/>
      <c r="CU123" s="173"/>
      <c r="CV123" s="173"/>
      <c r="CW123" s="173"/>
      <c r="CX123" s="173"/>
      <c r="CY123" s="173"/>
      <c r="CZ123" s="173"/>
      <c r="DA123" s="173"/>
      <c r="DB123" s="173"/>
      <c r="DC123" s="173"/>
      <c r="DD123" s="173"/>
      <c r="DE123" s="173"/>
      <c r="DF123" s="173"/>
    </row>
    <row r="124" spans="1:110" s="174" customFormat="1" x14ac:dyDescent="0.2">
      <c r="A124" s="190"/>
      <c r="B124" s="172"/>
      <c r="D124" s="169"/>
      <c r="E124" s="169"/>
      <c r="F124" s="169"/>
      <c r="G124" s="244"/>
      <c r="H124" s="169"/>
      <c r="I124" s="295"/>
      <c r="J124" s="295"/>
      <c r="K124" s="169"/>
      <c r="L124" s="169"/>
      <c r="M124" s="169"/>
      <c r="N124" s="169"/>
      <c r="O124" s="169"/>
      <c r="P124" s="169"/>
      <c r="Q124" s="185"/>
      <c r="R124" s="190"/>
      <c r="AS124" s="161"/>
      <c r="BF124" s="162"/>
      <c r="BG124" s="162"/>
      <c r="BH124" s="163"/>
      <c r="BI124" s="163"/>
      <c r="BJ124" s="161"/>
      <c r="BK124" s="288"/>
      <c r="BL124" s="164"/>
      <c r="BM124" s="173"/>
      <c r="BN124" s="252"/>
      <c r="BO124" s="259"/>
      <c r="BP124" s="252"/>
      <c r="BQ124" s="252"/>
      <c r="BR124" s="252"/>
      <c r="BS124" s="259"/>
      <c r="BT124" s="252"/>
      <c r="BU124" s="252"/>
      <c r="BV124" s="252"/>
      <c r="BW124" s="259"/>
      <c r="BX124" s="252"/>
      <c r="BY124" s="252"/>
      <c r="BZ124" s="252"/>
      <c r="CA124" s="259"/>
      <c r="CB124" s="252"/>
      <c r="CC124" s="252"/>
      <c r="CD124" s="252"/>
      <c r="CE124" s="259"/>
      <c r="CF124" s="252"/>
      <c r="CG124" s="252"/>
      <c r="CH124" s="252"/>
      <c r="CI124" s="259"/>
      <c r="CJ124" s="252"/>
      <c r="CK124" s="252"/>
      <c r="CL124" s="252"/>
      <c r="CM124" s="259"/>
      <c r="CN124" s="252"/>
      <c r="CO124" s="252"/>
      <c r="CP124" s="252"/>
      <c r="CQ124" s="259"/>
      <c r="CR124" s="252"/>
      <c r="CS124" s="252"/>
      <c r="CT124" s="255"/>
      <c r="CU124" s="173"/>
      <c r="CV124" s="173"/>
      <c r="CW124" s="173"/>
      <c r="CX124" s="173"/>
      <c r="CY124" s="173"/>
      <c r="CZ124" s="173"/>
      <c r="DA124" s="173"/>
      <c r="DB124" s="173"/>
      <c r="DC124" s="173"/>
      <c r="DD124" s="173"/>
      <c r="DE124" s="173"/>
      <c r="DF124" s="173"/>
    </row>
    <row r="125" spans="1:110" s="174" customFormat="1" x14ac:dyDescent="0.2">
      <c r="A125" s="190"/>
      <c r="B125" s="172"/>
      <c r="D125" s="169"/>
      <c r="E125" s="169"/>
      <c r="F125" s="169"/>
      <c r="G125" s="244"/>
      <c r="H125" s="169"/>
      <c r="I125" s="295"/>
      <c r="J125" s="295"/>
      <c r="K125" s="169"/>
      <c r="L125" s="169"/>
      <c r="M125" s="169"/>
      <c r="N125" s="169"/>
      <c r="O125" s="169"/>
      <c r="P125" s="169"/>
      <c r="Q125" s="185"/>
      <c r="R125" s="190"/>
      <c r="AS125" s="161"/>
      <c r="BF125" s="162"/>
      <c r="BG125" s="162"/>
      <c r="BH125" s="163"/>
      <c r="BI125" s="163"/>
      <c r="BJ125" s="161"/>
      <c r="BK125" s="288"/>
      <c r="BL125" s="164"/>
      <c r="BM125" s="173"/>
      <c r="BN125" s="252"/>
      <c r="BO125" s="259"/>
      <c r="BP125" s="252"/>
      <c r="BQ125" s="252"/>
      <c r="BR125" s="252"/>
      <c r="BS125" s="259"/>
      <c r="BT125" s="252"/>
      <c r="BU125" s="252"/>
      <c r="BV125" s="252"/>
      <c r="BW125" s="259"/>
      <c r="BX125" s="252"/>
      <c r="BY125" s="252"/>
      <c r="BZ125" s="252"/>
      <c r="CA125" s="259"/>
      <c r="CB125" s="252"/>
      <c r="CC125" s="252"/>
      <c r="CD125" s="252"/>
      <c r="CE125" s="259"/>
      <c r="CF125" s="252"/>
      <c r="CG125" s="252"/>
      <c r="CH125" s="252"/>
      <c r="CI125" s="259"/>
      <c r="CJ125" s="252"/>
      <c r="CK125" s="252"/>
      <c r="CL125" s="252"/>
      <c r="CM125" s="259"/>
      <c r="CN125" s="252"/>
      <c r="CO125" s="252"/>
      <c r="CP125" s="252"/>
      <c r="CQ125" s="259"/>
      <c r="CR125" s="252"/>
      <c r="CS125" s="252"/>
      <c r="CT125" s="255"/>
      <c r="CU125" s="173"/>
      <c r="CV125" s="173"/>
      <c r="CW125" s="173"/>
      <c r="CX125" s="173"/>
      <c r="CY125" s="173"/>
      <c r="CZ125" s="173"/>
      <c r="DA125" s="173"/>
      <c r="DB125" s="173"/>
      <c r="DC125" s="173"/>
      <c r="DD125" s="173"/>
      <c r="DE125" s="173"/>
      <c r="DF125" s="173"/>
    </row>
    <row r="126" spans="1:110" s="174" customFormat="1" x14ac:dyDescent="0.2">
      <c r="A126" s="190"/>
      <c r="B126" s="172"/>
      <c r="D126" s="169"/>
      <c r="E126" s="169"/>
      <c r="F126" s="169"/>
      <c r="G126" s="244"/>
      <c r="H126" s="169"/>
      <c r="I126" s="295"/>
      <c r="J126" s="295"/>
      <c r="K126" s="169"/>
      <c r="L126" s="169"/>
      <c r="M126" s="169"/>
      <c r="N126" s="169"/>
      <c r="O126" s="169"/>
      <c r="P126" s="169"/>
      <c r="Q126" s="185"/>
      <c r="R126" s="190"/>
      <c r="AS126" s="161"/>
      <c r="BF126" s="162"/>
      <c r="BG126" s="162"/>
      <c r="BH126" s="163"/>
      <c r="BI126" s="163"/>
      <c r="BJ126" s="161"/>
      <c r="BK126" s="288"/>
      <c r="BL126" s="164"/>
      <c r="BM126" s="173"/>
      <c r="BN126" s="252"/>
      <c r="BO126" s="259"/>
      <c r="BP126" s="252"/>
      <c r="BQ126" s="252"/>
      <c r="BR126" s="252"/>
      <c r="BS126" s="259"/>
      <c r="BT126" s="252"/>
      <c r="BU126" s="252"/>
      <c r="BV126" s="252"/>
      <c r="BW126" s="259"/>
      <c r="BX126" s="252"/>
      <c r="BY126" s="252"/>
      <c r="BZ126" s="252"/>
      <c r="CA126" s="259"/>
      <c r="CB126" s="252"/>
      <c r="CC126" s="252"/>
      <c r="CD126" s="252"/>
      <c r="CE126" s="259"/>
      <c r="CF126" s="252"/>
      <c r="CG126" s="252"/>
      <c r="CH126" s="252"/>
      <c r="CI126" s="259"/>
      <c r="CJ126" s="252"/>
      <c r="CK126" s="252"/>
      <c r="CL126" s="252"/>
      <c r="CM126" s="259"/>
      <c r="CN126" s="252"/>
      <c r="CO126" s="252"/>
      <c r="CP126" s="252"/>
      <c r="CQ126" s="259"/>
      <c r="CR126" s="252"/>
      <c r="CS126" s="252"/>
      <c r="CT126" s="255"/>
      <c r="CU126" s="173"/>
      <c r="CV126" s="173"/>
      <c r="CW126" s="173"/>
      <c r="CX126" s="173"/>
      <c r="CY126" s="173"/>
      <c r="CZ126" s="173"/>
      <c r="DA126" s="173"/>
      <c r="DB126" s="173"/>
      <c r="DC126" s="173"/>
      <c r="DD126" s="173"/>
      <c r="DE126" s="173"/>
      <c r="DF126" s="173"/>
    </row>
    <row r="127" spans="1:110" s="174" customFormat="1" x14ac:dyDescent="0.2">
      <c r="A127" s="190"/>
      <c r="B127" s="172"/>
      <c r="D127" s="169"/>
      <c r="E127" s="169"/>
      <c r="F127" s="169"/>
      <c r="G127" s="244"/>
      <c r="H127" s="169"/>
      <c r="I127" s="295"/>
      <c r="J127" s="295"/>
      <c r="K127" s="169"/>
      <c r="L127" s="169"/>
      <c r="M127" s="169"/>
      <c r="N127" s="169"/>
      <c r="O127" s="169"/>
      <c r="P127" s="169"/>
      <c r="Q127" s="185"/>
      <c r="R127" s="190"/>
      <c r="AS127" s="161"/>
      <c r="BF127" s="162"/>
      <c r="BG127" s="162"/>
      <c r="BH127" s="163"/>
      <c r="BI127" s="163"/>
      <c r="BJ127" s="161"/>
      <c r="BK127" s="288"/>
      <c r="BL127" s="164"/>
      <c r="BM127" s="173"/>
      <c r="BN127" s="252"/>
      <c r="BO127" s="259"/>
      <c r="BP127" s="252"/>
      <c r="BQ127" s="252"/>
      <c r="BR127" s="252"/>
      <c r="BS127" s="259"/>
      <c r="BT127" s="252"/>
      <c r="BU127" s="252"/>
      <c r="BV127" s="252"/>
      <c r="BW127" s="259"/>
      <c r="BX127" s="252"/>
      <c r="BY127" s="252"/>
      <c r="BZ127" s="252"/>
      <c r="CA127" s="259"/>
      <c r="CB127" s="252"/>
      <c r="CC127" s="252"/>
      <c r="CD127" s="252"/>
      <c r="CE127" s="259"/>
      <c r="CF127" s="252"/>
      <c r="CG127" s="252"/>
      <c r="CH127" s="252"/>
      <c r="CI127" s="259"/>
      <c r="CJ127" s="252"/>
      <c r="CK127" s="252"/>
      <c r="CL127" s="252"/>
      <c r="CM127" s="259"/>
      <c r="CN127" s="252"/>
      <c r="CO127" s="252"/>
      <c r="CP127" s="252"/>
      <c r="CQ127" s="259"/>
      <c r="CR127" s="252"/>
      <c r="CS127" s="252"/>
      <c r="CT127" s="255"/>
      <c r="CU127" s="173"/>
      <c r="CV127" s="173"/>
      <c r="CW127" s="173"/>
      <c r="CX127" s="173"/>
      <c r="CY127" s="173"/>
      <c r="CZ127" s="173"/>
      <c r="DA127" s="173"/>
      <c r="DB127" s="173"/>
      <c r="DC127" s="173"/>
      <c r="DD127" s="173"/>
      <c r="DE127" s="173"/>
      <c r="DF127" s="173"/>
    </row>
    <row r="128" spans="1:110" s="174" customFormat="1" x14ac:dyDescent="0.2">
      <c r="A128" s="190"/>
      <c r="B128" s="172"/>
      <c r="D128" s="169"/>
      <c r="E128" s="169"/>
      <c r="F128" s="169"/>
      <c r="G128" s="244"/>
      <c r="H128" s="169"/>
      <c r="I128" s="295"/>
      <c r="J128" s="295"/>
      <c r="K128" s="169"/>
      <c r="L128" s="169"/>
      <c r="M128" s="169"/>
      <c r="N128" s="169"/>
      <c r="O128" s="169"/>
      <c r="P128" s="169"/>
      <c r="Q128" s="185"/>
      <c r="R128" s="190"/>
      <c r="AS128" s="161"/>
      <c r="BF128" s="162"/>
      <c r="BG128" s="162"/>
      <c r="BH128" s="163"/>
      <c r="BI128" s="163"/>
      <c r="BJ128" s="161"/>
      <c r="BK128" s="288"/>
      <c r="BL128" s="164"/>
      <c r="BM128" s="173"/>
      <c r="BN128" s="252"/>
      <c r="BO128" s="259"/>
      <c r="BP128" s="252"/>
      <c r="BQ128" s="252"/>
      <c r="BR128" s="252"/>
      <c r="BS128" s="259"/>
      <c r="BT128" s="252"/>
      <c r="BU128" s="252"/>
      <c r="BV128" s="252"/>
      <c r="BW128" s="259"/>
      <c r="BX128" s="252"/>
      <c r="BY128" s="252"/>
      <c r="BZ128" s="252"/>
      <c r="CA128" s="259"/>
      <c r="CB128" s="252"/>
      <c r="CC128" s="252"/>
      <c r="CD128" s="252"/>
      <c r="CE128" s="259"/>
      <c r="CF128" s="252"/>
      <c r="CG128" s="252"/>
      <c r="CH128" s="252"/>
      <c r="CI128" s="259"/>
      <c r="CJ128" s="252"/>
      <c r="CK128" s="252"/>
      <c r="CL128" s="252"/>
      <c r="CM128" s="259"/>
      <c r="CN128" s="252"/>
      <c r="CO128" s="252"/>
      <c r="CP128" s="252"/>
      <c r="CQ128" s="259"/>
      <c r="CR128" s="252"/>
      <c r="CS128" s="252"/>
      <c r="CT128" s="255"/>
      <c r="CU128" s="173"/>
      <c r="CV128" s="173"/>
      <c r="CW128" s="173"/>
      <c r="CX128" s="173"/>
      <c r="CY128" s="173"/>
      <c r="CZ128" s="173"/>
      <c r="DA128" s="173"/>
      <c r="DB128" s="173"/>
      <c r="DC128" s="173"/>
      <c r="DD128" s="173"/>
      <c r="DE128" s="173"/>
      <c r="DF128" s="173"/>
    </row>
    <row r="129" spans="1:110" s="174" customFormat="1" x14ac:dyDescent="0.2">
      <c r="A129" s="190"/>
      <c r="B129" s="172"/>
      <c r="D129" s="169"/>
      <c r="E129" s="169"/>
      <c r="F129" s="169"/>
      <c r="G129" s="244"/>
      <c r="H129" s="169"/>
      <c r="I129" s="295"/>
      <c r="J129" s="295"/>
      <c r="K129" s="169"/>
      <c r="L129" s="169"/>
      <c r="M129" s="169"/>
      <c r="N129" s="169"/>
      <c r="O129" s="169"/>
      <c r="P129" s="169"/>
      <c r="Q129" s="185"/>
      <c r="R129" s="190"/>
      <c r="AS129" s="161"/>
      <c r="BF129" s="162"/>
      <c r="BG129" s="162"/>
      <c r="BH129" s="163"/>
      <c r="BI129" s="163"/>
      <c r="BJ129" s="161"/>
      <c r="BK129" s="288"/>
      <c r="BL129" s="164"/>
      <c r="BM129" s="173"/>
      <c r="BN129" s="252"/>
      <c r="BO129" s="259"/>
      <c r="BP129" s="252"/>
      <c r="BQ129" s="252"/>
      <c r="BR129" s="252"/>
      <c r="BS129" s="259"/>
      <c r="BT129" s="252"/>
      <c r="BU129" s="252"/>
      <c r="BV129" s="252"/>
      <c r="BW129" s="259"/>
      <c r="BX129" s="252"/>
      <c r="BY129" s="252"/>
      <c r="BZ129" s="252"/>
      <c r="CA129" s="259"/>
      <c r="CB129" s="252"/>
      <c r="CC129" s="252"/>
      <c r="CD129" s="252"/>
      <c r="CE129" s="259"/>
      <c r="CF129" s="252"/>
      <c r="CG129" s="252"/>
      <c r="CH129" s="252"/>
      <c r="CI129" s="259"/>
      <c r="CJ129" s="252"/>
      <c r="CK129" s="252"/>
      <c r="CL129" s="252"/>
      <c r="CM129" s="259"/>
      <c r="CN129" s="252"/>
      <c r="CO129" s="252"/>
      <c r="CP129" s="252"/>
      <c r="CQ129" s="259"/>
      <c r="CR129" s="252"/>
      <c r="CS129" s="252"/>
      <c r="CT129" s="255"/>
      <c r="CU129" s="173"/>
      <c r="CV129" s="173"/>
      <c r="CW129" s="173"/>
      <c r="CX129" s="173"/>
      <c r="CY129" s="173"/>
      <c r="CZ129" s="173"/>
      <c r="DA129" s="173"/>
      <c r="DB129" s="173"/>
      <c r="DC129" s="173"/>
      <c r="DD129" s="173"/>
      <c r="DE129" s="173"/>
      <c r="DF129" s="173"/>
    </row>
    <row r="130" spans="1:110" s="174" customFormat="1" x14ac:dyDescent="0.2">
      <c r="A130" s="190"/>
      <c r="B130" s="172"/>
      <c r="D130" s="169"/>
      <c r="E130" s="169"/>
      <c r="F130" s="169"/>
      <c r="G130" s="244"/>
      <c r="H130" s="169"/>
      <c r="I130" s="295"/>
      <c r="J130" s="295"/>
      <c r="K130" s="169"/>
      <c r="L130" s="169"/>
      <c r="M130" s="169"/>
      <c r="N130" s="169"/>
      <c r="O130" s="169"/>
      <c r="P130" s="169"/>
      <c r="Q130" s="185"/>
      <c r="R130" s="190"/>
      <c r="AS130" s="161"/>
      <c r="BF130" s="162"/>
      <c r="BG130" s="162"/>
      <c r="BH130" s="163"/>
      <c r="BI130" s="163"/>
      <c r="BJ130" s="161"/>
      <c r="BK130" s="288"/>
      <c r="BL130" s="164"/>
      <c r="BM130" s="173"/>
      <c r="BN130" s="252"/>
      <c r="BO130" s="259"/>
      <c r="BP130" s="252"/>
      <c r="BQ130" s="252"/>
      <c r="BR130" s="252"/>
      <c r="BS130" s="259"/>
      <c r="BT130" s="252"/>
      <c r="BU130" s="252"/>
      <c r="BV130" s="252"/>
      <c r="BW130" s="259"/>
      <c r="BX130" s="252"/>
      <c r="BY130" s="252"/>
      <c r="BZ130" s="252"/>
      <c r="CA130" s="259"/>
      <c r="CB130" s="252"/>
      <c r="CC130" s="252"/>
      <c r="CD130" s="252"/>
      <c r="CE130" s="259"/>
      <c r="CF130" s="252"/>
      <c r="CG130" s="252"/>
      <c r="CH130" s="252"/>
      <c r="CI130" s="259"/>
      <c r="CJ130" s="252"/>
      <c r="CK130" s="252"/>
      <c r="CL130" s="252"/>
      <c r="CM130" s="259"/>
      <c r="CN130" s="252"/>
      <c r="CO130" s="252"/>
      <c r="CP130" s="252"/>
      <c r="CQ130" s="259"/>
      <c r="CR130" s="252"/>
      <c r="CS130" s="252"/>
      <c r="CT130" s="255"/>
      <c r="CU130" s="173"/>
      <c r="CV130" s="173"/>
      <c r="CW130" s="173"/>
      <c r="CX130" s="173"/>
      <c r="CY130" s="173"/>
      <c r="CZ130" s="173"/>
      <c r="DA130" s="173"/>
      <c r="DB130" s="173"/>
      <c r="DC130" s="173"/>
      <c r="DD130" s="173"/>
      <c r="DE130" s="173"/>
      <c r="DF130" s="173"/>
    </row>
    <row r="131" spans="1:110" s="174" customFormat="1" x14ac:dyDescent="0.2">
      <c r="A131" s="190"/>
      <c r="B131" s="172"/>
      <c r="D131" s="169"/>
      <c r="E131" s="169"/>
      <c r="F131" s="169"/>
      <c r="G131" s="244"/>
      <c r="H131" s="169"/>
      <c r="I131" s="295"/>
      <c r="J131" s="295"/>
      <c r="K131" s="169"/>
      <c r="L131" s="169"/>
      <c r="M131" s="169"/>
      <c r="N131" s="169"/>
      <c r="O131" s="169"/>
      <c r="P131" s="169"/>
      <c r="Q131" s="185"/>
      <c r="R131" s="190"/>
      <c r="AS131" s="161"/>
      <c r="BF131" s="162"/>
      <c r="BG131" s="162"/>
      <c r="BH131" s="163"/>
      <c r="BI131" s="163"/>
      <c r="BJ131" s="161"/>
      <c r="BK131" s="288"/>
      <c r="BL131" s="164"/>
      <c r="BM131" s="173"/>
      <c r="BN131" s="252"/>
      <c r="BO131" s="259"/>
      <c r="BP131" s="252"/>
      <c r="BQ131" s="252"/>
      <c r="BR131" s="252"/>
      <c r="BS131" s="259"/>
      <c r="BT131" s="252"/>
      <c r="BU131" s="252"/>
      <c r="BV131" s="252"/>
      <c r="BW131" s="259"/>
      <c r="BX131" s="252"/>
      <c r="BY131" s="252"/>
      <c r="BZ131" s="252"/>
      <c r="CA131" s="259"/>
      <c r="CB131" s="252"/>
      <c r="CC131" s="252"/>
      <c r="CD131" s="252"/>
      <c r="CE131" s="259"/>
      <c r="CF131" s="252"/>
      <c r="CG131" s="252"/>
      <c r="CH131" s="252"/>
      <c r="CI131" s="259"/>
      <c r="CJ131" s="252"/>
      <c r="CK131" s="252"/>
      <c r="CL131" s="252"/>
      <c r="CM131" s="259"/>
      <c r="CN131" s="252"/>
      <c r="CO131" s="252"/>
      <c r="CP131" s="252"/>
      <c r="CQ131" s="259"/>
      <c r="CR131" s="252"/>
      <c r="CS131" s="252"/>
      <c r="CT131" s="255"/>
      <c r="CU131" s="173"/>
      <c r="CV131" s="173"/>
      <c r="CW131" s="173"/>
      <c r="CX131" s="173"/>
      <c r="CY131" s="173"/>
      <c r="CZ131" s="173"/>
      <c r="DA131" s="173"/>
      <c r="DB131" s="173"/>
      <c r="DC131" s="173"/>
      <c r="DD131" s="173"/>
      <c r="DE131" s="173"/>
      <c r="DF131" s="173"/>
    </row>
    <row r="132" spans="1:110" s="174" customFormat="1" x14ac:dyDescent="0.2">
      <c r="A132" s="190"/>
      <c r="B132" s="172"/>
      <c r="D132" s="169"/>
      <c r="E132" s="169"/>
      <c r="F132" s="169"/>
      <c r="G132" s="244"/>
      <c r="H132" s="169"/>
      <c r="I132" s="295"/>
      <c r="J132" s="295"/>
      <c r="K132" s="169"/>
      <c r="L132" s="169"/>
      <c r="M132" s="169"/>
      <c r="N132" s="169"/>
      <c r="O132" s="169"/>
      <c r="P132" s="169"/>
      <c r="Q132" s="185"/>
      <c r="R132" s="190"/>
      <c r="AS132" s="161"/>
      <c r="BF132" s="162"/>
      <c r="BG132" s="162"/>
      <c r="BH132" s="163"/>
      <c r="BI132" s="163"/>
      <c r="BJ132" s="161"/>
      <c r="BK132" s="288"/>
      <c r="BL132" s="164"/>
      <c r="BM132" s="173"/>
      <c r="BN132" s="252"/>
      <c r="BO132" s="259"/>
      <c r="BP132" s="252"/>
      <c r="BQ132" s="252"/>
      <c r="BR132" s="252"/>
      <c r="BS132" s="259"/>
      <c r="BT132" s="252"/>
      <c r="BU132" s="252"/>
      <c r="BV132" s="252"/>
      <c r="BW132" s="259"/>
      <c r="BX132" s="252"/>
      <c r="BY132" s="252"/>
      <c r="BZ132" s="252"/>
      <c r="CA132" s="259"/>
      <c r="CB132" s="252"/>
      <c r="CC132" s="252"/>
      <c r="CD132" s="252"/>
      <c r="CE132" s="259"/>
      <c r="CF132" s="252"/>
      <c r="CG132" s="252"/>
      <c r="CH132" s="252"/>
      <c r="CI132" s="259"/>
      <c r="CJ132" s="252"/>
      <c r="CK132" s="252"/>
      <c r="CL132" s="252"/>
      <c r="CM132" s="259"/>
      <c r="CN132" s="252"/>
      <c r="CO132" s="252"/>
      <c r="CP132" s="252"/>
      <c r="CQ132" s="259"/>
      <c r="CR132" s="252"/>
      <c r="CS132" s="252"/>
      <c r="CT132" s="255"/>
      <c r="CU132" s="173"/>
      <c r="CV132" s="173"/>
      <c r="CW132" s="173"/>
      <c r="CX132" s="173"/>
      <c r="CY132" s="173"/>
      <c r="CZ132" s="173"/>
      <c r="DA132" s="173"/>
      <c r="DB132" s="173"/>
      <c r="DC132" s="173"/>
      <c r="DD132" s="173"/>
      <c r="DE132" s="173"/>
      <c r="DF132" s="173"/>
    </row>
    <row r="133" spans="1:110" s="174" customFormat="1" x14ac:dyDescent="0.2">
      <c r="A133" s="190"/>
      <c r="B133" s="172"/>
      <c r="D133" s="169"/>
      <c r="E133" s="169"/>
      <c r="F133" s="169"/>
      <c r="G133" s="244"/>
      <c r="H133" s="169"/>
      <c r="I133" s="295"/>
      <c r="J133" s="295"/>
      <c r="K133" s="169"/>
      <c r="L133" s="169"/>
      <c r="M133" s="169"/>
      <c r="N133" s="169"/>
      <c r="O133" s="169"/>
      <c r="P133" s="169"/>
      <c r="Q133" s="185"/>
      <c r="R133" s="190"/>
      <c r="AS133" s="161"/>
      <c r="BF133" s="162"/>
      <c r="BG133" s="162"/>
      <c r="BH133" s="163"/>
      <c r="BI133" s="163"/>
      <c r="BJ133" s="161"/>
      <c r="BK133" s="288"/>
      <c r="BL133" s="164"/>
      <c r="BM133" s="173"/>
      <c r="BN133" s="252"/>
      <c r="BO133" s="259"/>
      <c r="BP133" s="252"/>
      <c r="BQ133" s="252"/>
      <c r="BR133" s="252"/>
      <c r="BS133" s="259"/>
      <c r="BT133" s="252"/>
      <c r="BU133" s="252"/>
      <c r="BV133" s="252"/>
      <c r="BW133" s="259"/>
      <c r="BX133" s="252"/>
      <c r="BY133" s="252"/>
      <c r="BZ133" s="252"/>
      <c r="CA133" s="259"/>
      <c r="CB133" s="252"/>
      <c r="CC133" s="252"/>
      <c r="CD133" s="252"/>
      <c r="CE133" s="259"/>
      <c r="CF133" s="252"/>
      <c r="CG133" s="252"/>
      <c r="CH133" s="252"/>
      <c r="CI133" s="259"/>
      <c r="CJ133" s="252"/>
      <c r="CK133" s="252"/>
      <c r="CL133" s="252"/>
      <c r="CM133" s="259"/>
      <c r="CN133" s="252"/>
      <c r="CO133" s="252"/>
      <c r="CP133" s="252"/>
      <c r="CQ133" s="259"/>
      <c r="CR133" s="252"/>
      <c r="CS133" s="252"/>
      <c r="CT133" s="255"/>
      <c r="CU133" s="173"/>
      <c r="CV133" s="173"/>
      <c r="CW133" s="173"/>
      <c r="CX133" s="173"/>
      <c r="CY133" s="173"/>
      <c r="CZ133" s="173"/>
      <c r="DA133" s="173"/>
      <c r="DB133" s="173"/>
      <c r="DC133" s="173"/>
      <c r="DD133" s="173"/>
      <c r="DE133" s="173"/>
      <c r="DF133" s="173"/>
    </row>
    <row r="134" spans="1:110" s="174" customFormat="1" x14ac:dyDescent="0.2">
      <c r="A134" s="190"/>
      <c r="B134" s="172"/>
      <c r="D134" s="169"/>
      <c r="E134" s="169"/>
      <c r="F134" s="169"/>
      <c r="G134" s="244"/>
      <c r="H134" s="169"/>
      <c r="I134" s="295"/>
      <c r="J134" s="295"/>
      <c r="K134" s="169"/>
      <c r="L134" s="169"/>
      <c r="M134" s="169"/>
      <c r="N134" s="169"/>
      <c r="O134" s="169"/>
      <c r="P134" s="169"/>
      <c r="Q134" s="185"/>
      <c r="R134" s="190"/>
      <c r="AS134" s="161"/>
      <c r="BF134" s="162"/>
      <c r="BG134" s="162"/>
      <c r="BH134" s="163"/>
      <c r="BI134" s="163"/>
      <c r="BJ134" s="161"/>
      <c r="BK134" s="288"/>
      <c r="BL134" s="164"/>
      <c r="BM134" s="173"/>
      <c r="BN134" s="252"/>
      <c r="BO134" s="259"/>
      <c r="BP134" s="252"/>
      <c r="BQ134" s="252"/>
      <c r="BR134" s="252"/>
      <c r="BS134" s="259"/>
      <c r="BT134" s="252"/>
      <c r="BU134" s="252"/>
      <c r="BV134" s="252"/>
      <c r="BW134" s="259"/>
      <c r="BX134" s="252"/>
      <c r="BY134" s="252"/>
      <c r="BZ134" s="252"/>
      <c r="CA134" s="259"/>
      <c r="CB134" s="252"/>
      <c r="CC134" s="252"/>
      <c r="CD134" s="252"/>
      <c r="CE134" s="259"/>
      <c r="CF134" s="252"/>
      <c r="CG134" s="252"/>
      <c r="CH134" s="252"/>
      <c r="CI134" s="259"/>
      <c r="CJ134" s="252"/>
      <c r="CK134" s="252"/>
      <c r="CL134" s="252"/>
      <c r="CM134" s="259"/>
      <c r="CN134" s="252"/>
      <c r="CO134" s="252"/>
      <c r="CP134" s="252"/>
      <c r="CQ134" s="259"/>
      <c r="CR134" s="252"/>
      <c r="CS134" s="252"/>
      <c r="CT134" s="255"/>
      <c r="CU134" s="173"/>
      <c r="CV134" s="173"/>
      <c r="CW134" s="173"/>
      <c r="CX134" s="173"/>
      <c r="CY134" s="173"/>
      <c r="CZ134" s="173"/>
      <c r="DA134" s="173"/>
      <c r="DB134" s="173"/>
      <c r="DC134" s="173"/>
      <c r="DD134" s="173"/>
      <c r="DE134" s="173"/>
      <c r="DF134" s="173"/>
    </row>
    <row r="135" spans="1:110" s="174" customFormat="1" x14ac:dyDescent="0.2">
      <c r="A135" s="190"/>
      <c r="B135" s="172"/>
      <c r="D135" s="169"/>
      <c r="E135" s="169"/>
      <c r="F135" s="169"/>
      <c r="G135" s="244"/>
      <c r="H135" s="169"/>
      <c r="I135" s="295"/>
      <c r="J135" s="295"/>
      <c r="K135" s="169"/>
      <c r="L135" s="169"/>
      <c r="M135" s="169"/>
      <c r="N135" s="169"/>
      <c r="O135" s="169"/>
      <c r="P135" s="169"/>
      <c r="Q135" s="185"/>
      <c r="R135" s="190"/>
      <c r="AS135" s="161"/>
      <c r="BF135" s="162"/>
      <c r="BG135" s="162"/>
      <c r="BH135" s="163"/>
      <c r="BI135" s="163"/>
      <c r="BJ135" s="161"/>
      <c r="BK135" s="288"/>
      <c r="BL135" s="164"/>
      <c r="BM135" s="173"/>
      <c r="BN135" s="252"/>
      <c r="BO135" s="259"/>
      <c r="BP135" s="252"/>
      <c r="BQ135" s="252"/>
      <c r="BR135" s="252"/>
      <c r="BS135" s="259"/>
      <c r="BT135" s="252"/>
      <c r="BU135" s="252"/>
      <c r="BV135" s="252"/>
      <c r="BW135" s="259"/>
      <c r="BX135" s="252"/>
      <c r="BY135" s="252"/>
      <c r="BZ135" s="252"/>
      <c r="CA135" s="259"/>
      <c r="CB135" s="252"/>
      <c r="CC135" s="252"/>
      <c r="CD135" s="252"/>
      <c r="CE135" s="259"/>
      <c r="CF135" s="252"/>
      <c r="CG135" s="252"/>
      <c r="CH135" s="252"/>
      <c r="CI135" s="259"/>
      <c r="CJ135" s="252"/>
      <c r="CK135" s="252"/>
      <c r="CL135" s="252"/>
      <c r="CM135" s="259"/>
      <c r="CN135" s="252"/>
      <c r="CO135" s="252"/>
      <c r="CP135" s="252"/>
      <c r="CQ135" s="259"/>
      <c r="CR135" s="252"/>
      <c r="CS135" s="252"/>
      <c r="CT135" s="255"/>
      <c r="CU135" s="173"/>
      <c r="CV135" s="173"/>
      <c r="CW135" s="173"/>
      <c r="CX135" s="173"/>
      <c r="CY135" s="173"/>
      <c r="CZ135" s="173"/>
      <c r="DA135" s="173"/>
      <c r="DB135" s="173"/>
      <c r="DC135" s="173"/>
      <c r="DD135" s="173"/>
      <c r="DE135" s="173"/>
      <c r="DF135" s="173"/>
    </row>
    <row r="136" spans="1:110" s="174" customFormat="1" x14ac:dyDescent="0.2">
      <c r="A136" s="190"/>
      <c r="B136" s="172"/>
      <c r="D136" s="169"/>
      <c r="E136" s="169"/>
      <c r="F136" s="169"/>
      <c r="G136" s="244"/>
      <c r="H136" s="169"/>
      <c r="I136" s="295"/>
      <c r="J136" s="295"/>
      <c r="K136" s="169"/>
      <c r="L136" s="169"/>
      <c r="M136" s="169"/>
      <c r="N136" s="169"/>
      <c r="O136" s="169"/>
      <c r="P136" s="169"/>
      <c r="Q136" s="185"/>
      <c r="R136" s="190"/>
      <c r="AS136" s="161"/>
      <c r="BF136" s="162"/>
      <c r="BG136" s="162"/>
      <c r="BH136" s="163"/>
      <c r="BI136" s="163"/>
      <c r="BJ136" s="161"/>
      <c r="BK136" s="288"/>
      <c r="BL136" s="164"/>
      <c r="BM136" s="173"/>
      <c r="BN136" s="252"/>
      <c r="BO136" s="259"/>
      <c r="BP136" s="252"/>
      <c r="BQ136" s="252"/>
      <c r="BR136" s="252"/>
      <c r="BS136" s="259"/>
      <c r="BT136" s="252"/>
      <c r="BU136" s="252"/>
      <c r="BV136" s="252"/>
      <c r="BW136" s="259"/>
      <c r="BX136" s="252"/>
      <c r="BY136" s="252"/>
      <c r="BZ136" s="252"/>
      <c r="CA136" s="259"/>
      <c r="CB136" s="252"/>
      <c r="CC136" s="252"/>
      <c r="CD136" s="252"/>
      <c r="CE136" s="259"/>
      <c r="CF136" s="252"/>
      <c r="CG136" s="252"/>
      <c r="CH136" s="252"/>
      <c r="CI136" s="259"/>
      <c r="CJ136" s="252"/>
      <c r="CK136" s="252"/>
      <c r="CL136" s="252"/>
      <c r="CM136" s="259"/>
      <c r="CN136" s="252"/>
      <c r="CO136" s="252"/>
      <c r="CP136" s="252"/>
      <c r="CQ136" s="259"/>
      <c r="CR136" s="252"/>
      <c r="CS136" s="252"/>
      <c r="CT136" s="255"/>
      <c r="CU136" s="173"/>
      <c r="CV136" s="173"/>
      <c r="CW136" s="173"/>
      <c r="CX136" s="173"/>
      <c r="CY136" s="173"/>
      <c r="CZ136" s="173"/>
      <c r="DA136" s="173"/>
      <c r="DB136" s="173"/>
      <c r="DC136" s="173"/>
      <c r="DD136" s="173"/>
      <c r="DE136" s="173"/>
      <c r="DF136" s="173"/>
    </row>
    <row r="137" spans="1:110" s="174" customFormat="1" x14ac:dyDescent="0.2">
      <c r="A137" s="190"/>
      <c r="B137" s="172"/>
      <c r="D137" s="169"/>
      <c r="E137" s="169"/>
      <c r="F137" s="169"/>
      <c r="G137" s="244"/>
      <c r="H137" s="169"/>
      <c r="I137" s="295"/>
      <c r="J137" s="295"/>
      <c r="K137" s="169"/>
      <c r="L137" s="169"/>
      <c r="M137" s="169"/>
      <c r="N137" s="169"/>
      <c r="O137" s="169"/>
      <c r="P137" s="169"/>
      <c r="Q137" s="185"/>
      <c r="R137" s="190"/>
      <c r="AS137" s="161"/>
      <c r="BF137" s="162"/>
      <c r="BG137" s="162"/>
      <c r="BH137" s="163"/>
      <c r="BI137" s="163"/>
      <c r="BJ137" s="161"/>
      <c r="BK137" s="288"/>
      <c r="BL137" s="164"/>
      <c r="BM137" s="173"/>
      <c r="BN137" s="252"/>
      <c r="BO137" s="259"/>
      <c r="BP137" s="252"/>
      <c r="BQ137" s="252"/>
      <c r="BR137" s="252"/>
      <c r="BS137" s="259"/>
      <c r="BT137" s="252"/>
      <c r="BU137" s="252"/>
      <c r="BV137" s="252"/>
      <c r="BW137" s="259"/>
      <c r="BX137" s="252"/>
      <c r="BY137" s="252"/>
      <c r="BZ137" s="252"/>
      <c r="CA137" s="259"/>
      <c r="CB137" s="252"/>
      <c r="CC137" s="252"/>
      <c r="CD137" s="252"/>
      <c r="CE137" s="259"/>
      <c r="CF137" s="252"/>
      <c r="CG137" s="252"/>
      <c r="CH137" s="252"/>
      <c r="CI137" s="259"/>
      <c r="CJ137" s="252"/>
      <c r="CK137" s="252"/>
      <c r="CL137" s="252"/>
      <c r="CM137" s="259"/>
      <c r="CN137" s="252"/>
      <c r="CO137" s="252"/>
      <c r="CP137" s="252"/>
      <c r="CQ137" s="259"/>
      <c r="CR137" s="252"/>
      <c r="CS137" s="252"/>
      <c r="CT137" s="255"/>
      <c r="CU137" s="173"/>
      <c r="CV137" s="173"/>
      <c r="CW137" s="173"/>
      <c r="CX137" s="173"/>
      <c r="CY137" s="173"/>
      <c r="CZ137" s="173"/>
      <c r="DA137" s="173"/>
      <c r="DB137" s="173"/>
      <c r="DC137" s="173"/>
      <c r="DD137" s="173"/>
      <c r="DE137" s="173"/>
      <c r="DF137" s="173"/>
    </row>
    <row r="138" spans="1:110" s="174" customFormat="1" x14ac:dyDescent="0.2">
      <c r="A138" s="190"/>
      <c r="B138" s="172"/>
      <c r="D138" s="169"/>
      <c r="E138" s="169"/>
      <c r="F138" s="169"/>
      <c r="G138" s="244"/>
      <c r="H138" s="169"/>
      <c r="I138" s="295"/>
      <c r="J138" s="295"/>
      <c r="K138" s="169"/>
      <c r="L138" s="169"/>
      <c r="M138" s="169"/>
      <c r="N138" s="169"/>
      <c r="O138" s="169"/>
      <c r="P138" s="169"/>
      <c r="Q138" s="185"/>
      <c r="R138" s="190"/>
      <c r="AS138" s="161"/>
      <c r="BF138" s="162"/>
      <c r="BG138" s="162"/>
      <c r="BH138" s="163"/>
      <c r="BI138" s="163"/>
      <c r="BJ138" s="161"/>
      <c r="BK138" s="288"/>
      <c r="BL138" s="164"/>
      <c r="BM138" s="173"/>
      <c r="BN138" s="252"/>
      <c r="BO138" s="259"/>
      <c r="BP138" s="252"/>
      <c r="BQ138" s="252"/>
      <c r="BR138" s="252"/>
      <c r="BS138" s="259"/>
      <c r="BT138" s="252"/>
      <c r="BU138" s="252"/>
      <c r="BV138" s="252"/>
      <c r="BW138" s="259"/>
      <c r="BX138" s="252"/>
      <c r="BY138" s="252"/>
      <c r="BZ138" s="252"/>
      <c r="CA138" s="259"/>
      <c r="CB138" s="252"/>
      <c r="CC138" s="252"/>
      <c r="CD138" s="252"/>
      <c r="CE138" s="259"/>
      <c r="CF138" s="252"/>
      <c r="CG138" s="252"/>
      <c r="CH138" s="252"/>
      <c r="CI138" s="259"/>
      <c r="CJ138" s="252"/>
      <c r="CK138" s="252"/>
      <c r="CL138" s="252"/>
      <c r="CM138" s="259"/>
      <c r="CN138" s="252"/>
      <c r="CO138" s="252"/>
      <c r="CP138" s="252"/>
      <c r="CQ138" s="259"/>
      <c r="CR138" s="252"/>
      <c r="CS138" s="252"/>
      <c r="CT138" s="255"/>
      <c r="CU138" s="173"/>
      <c r="CV138" s="173"/>
      <c r="CW138" s="173"/>
      <c r="CX138" s="173"/>
      <c r="CY138" s="173"/>
      <c r="CZ138" s="173"/>
      <c r="DA138" s="173"/>
      <c r="DB138" s="173"/>
      <c r="DC138" s="173"/>
      <c r="DD138" s="173"/>
      <c r="DE138" s="173"/>
      <c r="DF138" s="173"/>
    </row>
    <row r="139" spans="1:110" s="174" customFormat="1" x14ac:dyDescent="0.2">
      <c r="A139" s="190"/>
      <c r="B139" s="172"/>
      <c r="D139" s="169"/>
      <c r="E139" s="169"/>
      <c r="F139" s="169"/>
      <c r="G139" s="244"/>
      <c r="H139" s="169"/>
      <c r="I139" s="295"/>
      <c r="J139" s="295"/>
      <c r="K139" s="169"/>
      <c r="L139" s="169"/>
      <c r="M139" s="169"/>
      <c r="N139" s="169"/>
      <c r="O139" s="169"/>
      <c r="P139" s="169"/>
      <c r="Q139" s="185"/>
      <c r="R139" s="190"/>
      <c r="AS139" s="161"/>
      <c r="BF139" s="162"/>
      <c r="BG139" s="162"/>
      <c r="BH139" s="163"/>
      <c r="BI139" s="163"/>
      <c r="BJ139" s="161"/>
      <c r="BK139" s="288"/>
      <c r="BL139" s="164"/>
      <c r="BM139" s="173"/>
      <c r="BN139" s="252"/>
      <c r="BO139" s="259"/>
      <c r="BP139" s="252"/>
      <c r="BQ139" s="252"/>
      <c r="BR139" s="252"/>
      <c r="BS139" s="259"/>
      <c r="BT139" s="252"/>
      <c r="BU139" s="252"/>
      <c r="BV139" s="252"/>
      <c r="BW139" s="259"/>
      <c r="BX139" s="252"/>
      <c r="BY139" s="252"/>
      <c r="BZ139" s="252"/>
      <c r="CA139" s="259"/>
      <c r="CB139" s="252"/>
      <c r="CC139" s="252"/>
      <c r="CD139" s="252"/>
      <c r="CE139" s="259"/>
      <c r="CF139" s="252"/>
      <c r="CG139" s="252"/>
      <c r="CH139" s="252"/>
      <c r="CI139" s="259"/>
      <c r="CJ139" s="252"/>
      <c r="CK139" s="252"/>
      <c r="CL139" s="252"/>
      <c r="CM139" s="259"/>
      <c r="CN139" s="252"/>
      <c r="CO139" s="252"/>
      <c r="CP139" s="252"/>
      <c r="CQ139" s="259"/>
      <c r="CR139" s="252"/>
      <c r="CS139" s="252"/>
      <c r="CT139" s="255"/>
      <c r="CU139" s="173"/>
      <c r="CV139" s="173"/>
      <c r="CW139" s="173"/>
      <c r="CX139" s="173"/>
      <c r="CY139" s="173"/>
      <c r="CZ139" s="173"/>
      <c r="DA139" s="173"/>
      <c r="DB139" s="173"/>
      <c r="DC139" s="173"/>
      <c r="DD139" s="173"/>
      <c r="DE139" s="173"/>
      <c r="DF139" s="173"/>
    </row>
    <row r="140" spans="1:110" s="174" customFormat="1" x14ac:dyDescent="0.2">
      <c r="A140" s="190"/>
      <c r="B140" s="172"/>
      <c r="D140" s="169"/>
      <c r="E140" s="169"/>
      <c r="F140" s="169"/>
      <c r="G140" s="244"/>
      <c r="H140" s="169"/>
      <c r="I140" s="295"/>
      <c r="J140" s="295"/>
      <c r="K140" s="169"/>
      <c r="L140" s="169"/>
      <c r="M140" s="169"/>
      <c r="N140" s="169"/>
      <c r="O140" s="169"/>
      <c r="P140" s="169"/>
      <c r="Q140" s="185"/>
      <c r="R140" s="190"/>
      <c r="AS140" s="161"/>
      <c r="BF140" s="162"/>
      <c r="BG140" s="162"/>
      <c r="BH140" s="163"/>
      <c r="BI140" s="163"/>
      <c r="BJ140" s="161"/>
      <c r="BK140" s="288"/>
      <c r="BL140" s="164"/>
      <c r="BM140" s="173"/>
      <c r="BN140" s="252"/>
      <c r="BO140" s="259"/>
      <c r="BP140" s="252"/>
      <c r="BQ140" s="252"/>
      <c r="BR140" s="252"/>
      <c r="BS140" s="259"/>
      <c r="BT140" s="252"/>
      <c r="BU140" s="252"/>
      <c r="BV140" s="252"/>
      <c r="BW140" s="259"/>
      <c r="BX140" s="252"/>
      <c r="BY140" s="252"/>
      <c r="BZ140" s="252"/>
      <c r="CA140" s="259"/>
      <c r="CB140" s="252"/>
      <c r="CC140" s="252"/>
      <c r="CD140" s="252"/>
      <c r="CE140" s="259"/>
      <c r="CF140" s="252"/>
      <c r="CG140" s="252"/>
      <c r="CH140" s="252"/>
      <c r="CI140" s="259"/>
      <c r="CJ140" s="252"/>
      <c r="CK140" s="252"/>
      <c r="CL140" s="252"/>
      <c r="CM140" s="259"/>
      <c r="CN140" s="252"/>
      <c r="CO140" s="252"/>
      <c r="CP140" s="252"/>
      <c r="CQ140" s="259"/>
      <c r="CR140" s="252"/>
      <c r="CS140" s="252"/>
      <c r="CT140" s="255"/>
      <c r="CU140" s="173"/>
      <c r="CV140" s="173"/>
      <c r="CW140" s="173"/>
      <c r="CX140" s="173"/>
      <c r="CY140" s="173"/>
      <c r="CZ140" s="173"/>
      <c r="DA140" s="173"/>
      <c r="DB140" s="173"/>
      <c r="DC140" s="173"/>
      <c r="DD140" s="173"/>
      <c r="DE140" s="173"/>
      <c r="DF140" s="173"/>
    </row>
    <row r="141" spans="1:110" s="174" customFormat="1" x14ac:dyDescent="0.2">
      <c r="A141" s="190"/>
      <c r="B141" s="172"/>
      <c r="D141" s="169"/>
      <c r="E141" s="169"/>
      <c r="F141" s="169"/>
      <c r="G141" s="244"/>
      <c r="H141" s="169"/>
      <c r="I141" s="295"/>
      <c r="J141" s="295"/>
      <c r="K141" s="169"/>
      <c r="L141" s="169"/>
      <c r="M141" s="169"/>
      <c r="N141" s="169"/>
      <c r="O141" s="169"/>
      <c r="P141" s="169"/>
      <c r="Q141" s="185"/>
      <c r="R141" s="190"/>
      <c r="AS141" s="161"/>
      <c r="BF141" s="162"/>
      <c r="BG141" s="162"/>
      <c r="BH141" s="163"/>
      <c r="BI141" s="163"/>
      <c r="BJ141" s="161"/>
      <c r="BK141" s="288"/>
      <c r="BL141" s="164"/>
      <c r="BM141" s="173"/>
      <c r="BN141" s="252"/>
      <c r="BO141" s="259"/>
      <c r="BP141" s="252"/>
      <c r="BQ141" s="252"/>
      <c r="BR141" s="252"/>
      <c r="BS141" s="259"/>
      <c r="BT141" s="252"/>
      <c r="BU141" s="252"/>
      <c r="BV141" s="252"/>
      <c r="BW141" s="259"/>
      <c r="BX141" s="252"/>
      <c r="BY141" s="252"/>
      <c r="BZ141" s="252"/>
      <c r="CA141" s="259"/>
      <c r="CB141" s="252"/>
      <c r="CC141" s="252"/>
      <c r="CD141" s="252"/>
      <c r="CE141" s="259"/>
      <c r="CF141" s="252"/>
      <c r="CG141" s="252"/>
      <c r="CH141" s="252"/>
      <c r="CI141" s="259"/>
      <c r="CJ141" s="252"/>
      <c r="CK141" s="252"/>
      <c r="CL141" s="252"/>
      <c r="CM141" s="259"/>
      <c r="CN141" s="252"/>
      <c r="CO141" s="252"/>
      <c r="CP141" s="252"/>
      <c r="CQ141" s="259"/>
      <c r="CR141" s="252"/>
      <c r="CS141" s="252"/>
      <c r="CT141" s="255"/>
      <c r="CU141" s="173"/>
      <c r="CV141" s="173"/>
      <c r="CW141" s="173"/>
      <c r="CX141" s="173"/>
      <c r="CY141" s="173"/>
      <c r="CZ141" s="173"/>
      <c r="DA141" s="173"/>
      <c r="DB141" s="173"/>
      <c r="DC141" s="173"/>
      <c r="DD141" s="173"/>
      <c r="DE141" s="173"/>
      <c r="DF141" s="173"/>
    </row>
    <row r="142" spans="1:110" s="174" customFormat="1" x14ac:dyDescent="0.2">
      <c r="A142" s="190"/>
      <c r="B142" s="172"/>
      <c r="D142" s="169"/>
      <c r="E142" s="169"/>
      <c r="F142" s="169"/>
      <c r="G142" s="244"/>
      <c r="H142" s="169"/>
      <c r="I142" s="295"/>
      <c r="J142" s="295"/>
      <c r="K142" s="169"/>
      <c r="L142" s="169"/>
      <c r="M142" s="169"/>
      <c r="N142" s="169"/>
      <c r="O142" s="169"/>
      <c r="P142" s="169"/>
      <c r="Q142" s="185"/>
      <c r="R142" s="190"/>
      <c r="AS142" s="161"/>
      <c r="BF142" s="162"/>
      <c r="BG142" s="162"/>
      <c r="BH142" s="163"/>
      <c r="BI142" s="163"/>
      <c r="BJ142" s="161"/>
      <c r="BK142" s="288"/>
      <c r="BL142" s="164"/>
      <c r="BM142" s="173"/>
      <c r="BN142" s="252"/>
      <c r="BO142" s="259"/>
      <c r="BP142" s="252"/>
      <c r="BQ142" s="252"/>
      <c r="BR142" s="252"/>
      <c r="BS142" s="259"/>
      <c r="BT142" s="252"/>
      <c r="BU142" s="252"/>
      <c r="BV142" s="252"/>
      <c r="BW142" s="259"/>
      <c r="BX142" s="252"/>
      <c r="BY142" s="252"/>
      <c r="BZ142" s="252"/>
      <c r="CA142" s="259"/>
      <c r="CB142" s="252"/>
      <c r="CC142" s="252"/>
      <c r="CD142" s="252"/>
      <c r="CE142" s="259"/>
      <c r="CF142" s="252"/>
      <c r="CG142" s="252"/>
      <c r="CH142" s="252"/>
      <c r="CI142" s="259"/>
      <c r="CJ142" s="252"/>
      <c r="CK142" s="252"/>
      <c r="CL142" s="252"/>
      <c r="CM142" s="259"/>
      <c r="CN142" s="252"/>
      <c r="CO142" s="252"/>
      <c r="CP142" s="252"/>
      <c r="CQ142" s="259"/>
      <c r="CR142" s="252"/>
      <c r="CS142" s="252"/>
      <c r="CT142" s="255"/>
      <c r="CU142" s="173"/>
      <c r="CV142" s="173"/>
      <c r="CW142" s="173"/>
      <c r="CX142" s="173"/>
      <c r="CY142" s="173"/>
      <c r="CZ142" s="173"/>
      <c r="DA142" s="173"/>
      <c r="DB142" s="173"/>
      <c r="DC142" s="173"/>
      <c r="DD142" s="173"/>
      <c r="DE142" s="173"/>
      <c r="DF142" s="173"/>
    </row>
    <row r="143" spans="1:110" s="174" customFormat="1" x14ac:dyDescent="0.2">
      <c r="A143" s="190"/>
      <c r="B143" s="172"/>
      <c r="D143" s="169"/>
      <c r="E143" s="169"/>
      <c r="F143" s="169"/>
      <c r="G143" s="244"/>
      <c r="H143" s="169"/>
      <c r="I143" s="295"/>
      <c r="J143" s="295"/>
      <c r="K143" s="169"/>
      <c r="L143" s="169"/>
      <c r="M143" s="169"/>
      <c r="N143" s="169"/>
      <c r="O143" s="169"/>
      <c r="P143" s="169"/>
      <c r="Q143" s="185"/>
      <c r="R143" s="190"/>
      <c r="AS143" s="161"/>
      <c r="BF143" s="162"/>
      <c r="BG143" s="162"/>
      <c r="BH143" s="163"/>
      <c r="BI143" s="163"/>
      <c r="BJ143" s="161"/>
      <c r="BK143" s="288"/>
      <c r="BL143" s="164"/>
      <c r="BM143" s="173"/>
      <c r="BN143" s="252"/>
      <c r="BO143" s="259"/>
      <c r="BP143" s="252"/>
      <c r="BQ143" s="252"/>
      <c r="BR143" s="252"/>
      <c r="BS143" s="259"/>
      <c r="BT143" s="252"/>
      <c r="BU143" s="252"/>
      <c r="BV143" s="252"/>
      <c r="BW143" s="259"/>
      <c r="BX143" s="252"/>
      <c r="BY143" s="252"/>
      <c r="BZ143" s="252"/>
      <c r="CA143" s="259"/>
      <c r="CB143" s="252"/>
      <c r="CC143" s="252"/>
      <c r="CD143" s="252"/>
      <c r="CE143" s="259"/>
      <c r="CF143" s="252"/>
      <c r="CG143" s="252"/>
      <c r="CH143" s="252"/>
      <c r="CI143" s="259"/>
      <c r="CJ143" s="252"/>
      <c r="CK143" s="252"/>
      <c r="CL143" s="252"/>
      <c r="CM143" s="259"/>
      <c r="CN143" s="252"/>
      <c r="CO143" s="252"/>
      <c r="CP143" s="252"/>
      <c r="CQ143" s="259"/>
      <c r="CR143" s="252"/>
      <c r="CS143" s="252"/>
      <c r="CT143" s="255"/>
      <c r="CU143" s="173"/>
      <c r="CV143" s="173"/>
      <c r="CW143" s="173"/>
      <c r="CX143" s="173"/>
      <c r="CY143" s="173"/>
      <c r="CZ143" s="173"/>
      <c r="DA143" s="173"/>
      <c r="DB143" s="173"/>
      <c r="DC143" s="173"/>
      <c r="DD143" s="173"/>
      <c r="DE143" s="173"/>
      <c r="DF143" s="173"/>
    </row>
    <row r="144" spans="1:110" s="174" customFormat="1" x14ac:dyDescent="0.2">
      <c r="A144" s="190"/>
      <c r="B144" s="172"/>
      <c r="D144" s="169"/>
      <c r="E144" s="169"/>
      <c r="F144" s="169"/>
      <c r="G144" s="244"/>
      <c r="H144" s="169"/>
      <c r="I144" s="295"/>
      <c r="J144" s="295"/>
      <c r="K144" s="169"/>
      <c r="L144" s="169"/>
      <c r="M144" s="169"/>
      <c r="N144" s="169"/>
      <c r="O144" s="169"/>
      <c r="P144" s="169"/>
      <c r="Q144" s="185"/>
      <c r="R144" s="190"/>
      <c r="AS144" s="161"/>
      <c r="BF144" s="162"/>
      <c r="BG144" s="162"/>
      <c r="BH144" s="163"/>
      <c r="BI144" s="163"/>
      <c r="BJ144" s="161"/>
      <c r="BK144" s="288"/>
      <c r="BL144" s="164"/>
      <c r="BM144" s="173"/>
      <c r="BN144" s="252"/>
      <c r="BO144" s="259"/>
      <c r="BP144" s="252"/>
      <c r="BQ144" s="252"/>
      <c r="BR144" s="252"/>
      <c r="BS144" s="259"/>
      <c r="BT144" s="252"/>
      <c r="BU144" s="252"/>
      <c r="BV144" s="252"/>
      <c r="BW144" s="259"/>
      <c r="BX144" s="252"/>
      <c r="BY144" s="252"/>
      <c r="BZ144" s="252"/>
      <c r="CA144" s="259"/>
      <c r="CB144" s="252"/>
      <c r="CC144" s="252"/>
      <c r="CD144" s="252"/>
      <c r="CE144" s="259"/>
      <c r="CF144" s="252"/>
      <c r="CG144" s="252"/>
      <c r="CH144" s="252"/>
      <c r="CI144" s="259"/>
      <c r="CJ144" s="252"/>
      <c r="CK144" s="252"/>
      <c r="CL144" s="252"/>
      <c r="CM144" s="259"/>
      <c r="CN144" s="252"/>
      <c r="CO144" s="252"/>
      <c r="CP144" s="252"/>
      <c r="CQ144" s="259"/>
      <c r="CR144" s="252"/>
      <c r="CS144" s="252"/>
      <c r="CT144" s="255"/>
      <c r="CU144" s="173"/>
      <c r="CV144" s="173"/>
      <c r="CW144" s="173"/>
      <c r="CX144" s="173"/>
      <c r="CY144" s="173"/>
      <c r="CZ144" s="173"/>
      <c r="DA144" s="173"/>
      <c r="DB144" s="173"/>
      <c r="DC144" s="173"/>
      <c r="DD144" s="173"/>
      <c r="DE144" s="173"/>
      <c r="DF144" s="173"/>
    </row>
    <row r="145" spans="1:110" s="174" customFormat="1" x14ac:dyDescent="0.2">
      <c r="A145" s="190"/>
      <c r="B145" s="172"/>
      <c r="D145" s="169"/>
      <c r="E145" s="169"/>
      <c r="F145" s="169"/>
      <c r="G145" s="244"/>
      <c r="H145" s="169"/>
      <c r="I145" s="295"/>
      <c r="J145" s="295"/>
      <c r="K145" s="169"/>
      <c r="L145" s="169"/>
      <c r="M145" s="169"/>
      <c r="N145" s="169"/>
      <c r="O145" s="169"/>
      <c r="P145" s="169"/>
      <c r="Q145" s="185"/>
      <c r="R145" s="190"/>
      <c r="AS145" s="161"/>
      <c r="BF145" s="162"/>
      <c r="BG145" s="162"/>
      <c r="BH145" s="163"/>
      <c r="BI145" s="163"/>
      <c r="BJ145" s="161"/>
      <c r="BK145" s="288"/>
      <c r="BL145" s="164"/>
      <c r="BM145" s="173"/>
      <c r="BN145" s="252"/>
      <c r="BO145" s="259"/>
      <c r="BP145" s="252"/>
      <c r="BQ145" s="252"/>
      <c r="BR145" s="252"/>
      <c r="BS145" s="259"/>
      <c r="BT145" s="252"/>
      <c r="BU145" s="252"/>
      <c r="BV145" s="252"/>
      <c r="BW145" s="259"/>
      <c r="BX145" s="252"/>
      <c r="BY145" s="252"/>
      <c r="BZ145" s="252"/>
      <c r="CA145" s="259"/>
      <c r="CB145" s="252"/>
      <c r="CC145" s="252"/>
      <c r="CD145" s="252"/>
      <c r="CE145" s="259"/>
      <c r="CF145" s="252"/>
      <c r="CG145" s="252"/>
      <c r="CH145" s="252"/>
      <c r="CI145" s="259"/>
      <c r="CJ145" s="252"/>
      <c r="CK145" s="252"/>
      <c r="CL145" s="252"/>
      <c r="CM145" s="259"/>
      <c r="CN145" s="252"/>
      <c r="CO145" s="252"/>
      <c r="CP145" s="252"/>
      <c r="CQ145" s="259"/>
      <c r="CR145" s="252"/>
      <c r="CS145" s="252"/>
      <c r="CT145" s="255"/>
      <c r="CU145" s="173"/>
      <c r="CV145" s="173"/>
      <c r="CW145" s="173"/>
      <c r="CX145" s="173"/>
      <c r="CY145" s="173"/>
      <c r="CZ145" s="173"/>
      <c r="DA145" s="173"/>
      <c r="DB145" s="173"/>
      <c r="DC145" s="173"/>
      <c r="DD145" s="173"/>
      <c r="DE145" s="173"/>
      <c r="DF145" s="173"/>
    </row>
    <row r="146" spans="1:110" s="174" customFormat="1" x14ac:dyDescent="0.2">
      <c r="A146" s="190"/>
      <c r="B146" s="172"/>
      <c r="D146" s="169"/>
      <c r="E146" s="169"/>
      <c r="F146" s="169"/>
      <c r="G146" s="244"/>
      <c r="H146" s="169"/>
      <c r="I146" s="295"/>
      <c r="J146" s="295"/>
      <c r="K146" s="169"/>
      <c r="L146" s="169"/>
      <c r="M146" s="169"/>
      <c r="N146" s="169"/>
      <c r="O146" s="169"/>
      <c r="P146" s="169"/>
      <c r="Q146" s="185"/>
      <c r="R146" s="190"/>
      <c r="AS146" s="161"/>
      <c r="BF146" s="162"/>
      <c r="BG146" s="162"/>
      <c r="BH146" s="163"/>
      <c r="BI146" s="163"/>
      <c r="BJ146" s="161"/>
      <c r="BK146" s="288"/>
      <c r="BL146" s="164"/>
      <c r="BM146" s="173"/>
      <c r="BN146" s="252"/>
      <c r="BO146" s="259"/>
      <c r="BP146" s="252"/>
      <c r="BQ146" s="252"/>
      <c r="BR146" s="252"/>
      <c r="BS146" s="259"/>
      <c r="BT146" s="252"/>
      <c r="BU146" s="252"/>
      <c r="BV146" s="252"/>
      <c r="BW146" s="259"/>
      <c r="BX146" s="252"/>
      <c r="BY146" s="252"/>
      <c r="BZ146" s="252"/>
      <c r="CA146" s="259"/>
      <c r="CB146" s="252"/>
      <c r="CC146" s="252"/>
      <c r="CD146" s="252"/>
      <c r="CE146" s="259"/>
      <c r="CF146" s="252"/>
      <c r="CG146" s="252"/>
      <c r="CH146" s="252"/>
      <c r="CI146" s="259"/>
      <c r="CJ146" s="252"/>
      <c r="CK146" s="252"/>
      <c r="CL146" s="252"/>
      <c r="CM146" s="259"/>
      <c r="CN146" s="252"/>
      <c r="CO146" s="252"/>
      <c r="CP146" s="252"/>
      <c r="CQ146" s="259"/>
      <c r="CR146" s="252"/>
      <c r="CS146" s="252"/>
      <c r="CT146" s="255"/>
      <c r="CU146" s="173"/>
      <c r="CV146" s="173"/>
      <c r="CW146" s="173"/>
      <c r="CX146" s="173"/>
      <c r="CY146" s="173"/>
      <c r="CZ146" s="173"/>
      <c r="DA146" s="173"/>
      <c r="DB146" s="173"/>
      <c r="DC146" s="173"/>
      <c r="DD146" s="173"/>
      <c r="DE146" s="173"/>
      <c r="DF146" s="173"/>
    </row>
    <row r="147" spans="1:110" s="174" customFormat="1" x14ac:dyDescent="0.2">
      <c r="A147" s="190"/>
      <c r="B147" s="172"/>
      <c r="D147" s="169"/>
      <c r="E147" s="169"/>
      <c r="F147" s="169"/>
      <c r="G147" s="244"/>
      <c r="H147" s="169"/>
      <c r="I147" s="295"/>
      <c r="J147" s="295"/>
      <c r="K147" s="169"/>
      <c r="L147" s="169"/>
      <c r="M147" s="169"/>
      <c r="N147" s="169"/>
      <c r="O147" s="169"/>
      <c r="P147" s="169"/>
      <c r="Q147" s="185"/>
      <c r="R147" s="190"/>
      <c r="AS147" s="161"/>
      <c r="BF147" s="162"/>
      <c r="BG147" s="162"/>
      <c r="BH147" s="163"/>
      <c r="BI147" s="163"/>
      <c r="BJ147" s="161"/>
      <c r="BK147" s="288"/>
      <c r="BL147" s="164"/>
      <c r="BM147" s="173"/>
      <c r="BN147" s="252"/>
      <c r="BO147" s="259"/>
      <c r="BP147" s="252"/>
      <c r="BQ147" s="252"/>
      <c r="BR147" s="252"/>
      <c r="BS147" s="259"/>
      <c r="BT147" s="252"/>
      <c r="BU147" s="252"/>
      <c r="BV147" s="252"/>
      <c r="BW147" s="259"/>
      <c r="BX147" s="252"/>
      <c r="BY147" s="252"/>
      <c r="BZ147" s="252"/>
      <c r="CA147" s="259"/>
      <c r="CB147" s="252"/>
      <c r="CC147" s="252"/>
      <c r="CD147" s="252"/>
      <c r="CE147" s="259"/>
      <c r="CF147" s="252"/>
      <c r="CG147" s="252"/>
      <c r="CH147" s="252"/>
      <c r="CI147" s="259"/>
      <c r="CJ147" s="252"/>
      <c r="CK147" s="252"/>
      <c r="CL147" s="252"/>
      <c r="CM147" s="259"/>
      <c r="CN147" s="252"/>
      <c r="CO147" s="252"/>
      <c r="CP147" s="252"/>
      <c r="CQ147" s="259"/>
      <c r="CR147" s="252"/>
      <c r="CS147" s="252"/>
      <c r="CT147" s="255"/>
      <c r="CU147" s="173"/>
      <c r="CV147" s="173"/>
      <c r="CW147" s="173"/>
      <c r="CX147" s="173"/>
      <c r="CY147" s="173"/>
      <c r="CZ147" s="173"/>
      <c r="DA147" s="173"/>
      <c r="DB147" s="173"/>
      <c r="DC147" s="173"/>
      <c r="DD147" s="173"/>
      <c r="DE147" s="173"/>
      <c r="DF147" s="173"/>
    </row>
    <row r="148" spans="1:110" s="174" customFormat="1" x14ac:dyDescent="0.2">
      <c r="A148" s="190"/>
      <c r="B148" s="172"/>
      <c r="D148" s="169"/>
      <c r="E148" s="169"/>
      <c r="F148" s="169"/>
      <c r="G148" s="244"/>
      <c r="H148" s="169"/>
      <c r="I148" s="295"/>
      <c r="J148" s="295"/>
      <c r="K148" s="169"/>
      <c r="L148" s="169"/>
      <c r="M148" s="169"/>
      <c r="N148" s="169"/>
      <c r="O148" s="169"/>
      <c r="P148" s="169"/>
      <c r="Q148" s="185"/>
      <c r="R148" s="190"/>
      <c r="AS148" s="161"/>
      <c r="BF148" s="162"/>
      <c r="BG148" s="162"/>
      <c r="BH148" s="163"/>
      <c r="BI148" s="163"/>
      <c r="BJ148" s="161"/>
      <c r="BK148" s="288"/>
      <c r="BL148" s="164"/>
      <c r="BM148" s="173"/>
      <c r="BN148" s="252"/>
      <c r="BO148" s="259"/>
      <c r="BP148" s="252"/>
      <c r="BQ148" s="252"/>
      <c r="BR148" s="252"/>
      <c r="BS148" s="259"/>
      <c r="BT148" s="252"/>
      <c r="BU148" s="252"/>
      <c r="BV148" s="252"/>
      <c r="BW148" s="259"/>
      <c r="BX148" s="252"/>
      <c r="BY148" s="252"/>
      <c r="BZ148" s="252"/>
      <c r="CA148" s="259"/>
      <c r="CB148" s="252"/>
      <c r="CC148" s="252"/>
      <c r="CD148" s="252"/>
      <c r="CE148" s="259"/>
      <c r="CF148" s="252"/>
      <c r="CG148" s="252"/>
      <c r="CH148" s="252"/>
      <c r="CI148" s="259"/>
      <c r="CJ148" s="252"/>
      <c r="CK148" s="252"/>
      <c r="CL148" s="252"/>
      <c r="CM148" s="259"/>
      <c r="CN148" s="252"/>
      <c r="CO148" s="252"/>
      <c r="CP148" s="252"/>
      <c r="CQ148" s="259"/>
      <c r="CR148" s="252"/>
      <c r="CS148" s="252"/>
      <c r="CT148" s="255"/>
      <c r="CU148" s="173"/>
      <c r="CV148" s="173"/>
      <c r="CW148" s="173"/>
      <c r="CX148" s="173"/>
      <c r="CY148" s="173"/>
      <c r="CZ148" s="173"/>
      <c r="DA148" s="173"/>
      <c r="DB148" s="173"/>
      <c r="DC148" s="173"/>
      <c r="DD148" s="173"/>
      <c r="DE148" s="173"/>
      <c r="DF148" s="173"/>
    </row>
    <row r="149" spans="1:110" s="174" customFormat="1" x14ac:dyDescent="0.2">
      <c r="A149" s="190"/>
      <c r="B149" s="172"/>
      <c r="D149" s="169"/>
      <c r="E149" s="169"/>
      <c r="F149" s="169"/>
      <c r="G149" s="244"/>
      <c r="H149" s="169"/>
      <c r="I149" s="295"/>
      <c r="J149" s="295"/>
      <c r="K149" s="169"/>
      <c r="L149" s="169"/>
      <c r="M149" s="169"/>
      <c r="N149" s="169"/>
      <c r="O149" s="169"/>
      <c r="P149" s="169"/>
      <c r="Q149" s="185"/>
      <c r="R149" s="190"/>
      <c r="AS149" s="161"/>
      <c r="BF149" s="162"/>
      <c r="BG149" s="162"/>
      <c r="BH149" s="163"/>
      <c r="BI149" s="163"/>
      <c r="BJ149" s="161"/>
      <c r="BK149" s="288"/>
      <c r="BL149" s="164"/>
      <c r="BM149" s="173"/>
      <c r="BN149" s="252"/>
      <c r="BO149" s="259"/>
      <c r="BP149" s="252"/>
      <c r="BQ149" s="252"/>
      <c r="BR149" s="252"/>
      <c r="BS149" s="259"/>
      <c r="BT149" s="252"/>
      <c r="BU149" s="252"/>
      <c r="BV149" s="252"/>
      <c r="BW149" s="259"/>
      <c r="BX149" s="252"/>
      <c r="BY149" s="252"/>
      <c r="BZ149" s="252"/>
      <c r="CA149" s="259"/>
      <c r="CB149" s="252"/>
      <c r="CC149" s="252"/>
      <c r="CD149" s="252"/>
      <c r="CE149" s="259"/>
      <c r="CF149" s="252"/>
      <c r="CG149" s="252"/>
      <c r="CH149" s="252"/>
      <c r="CI149" s="259"/>
      <c r="CJ149" s="252"/>
      <c r="CK149" s="252"/>
      <c r="CL149" s="252"/>
      <c r="CM149" s="259"/>
      <c r="CN149" s="252"/>
      <c r="CO149" s="252"/>
      <c r="CP149" s="252"/>
      <c r="CQ149" s="259"/>
      <c r="CR149" s="252"/>
      <c r="CS149" s="252"/>
      <c r="CT149" s="255"/>
      <c r="CU149" s="173"/>
      <c r="CV149" s="173"/>
      <c r="CW149" s="173"/>
      <c r="CX149" s="173"/>
      <c r="CY149" s="173"/>
      <c r="CZ149" s="173"/>
      <c r="DA149" s="173"/>
      <c r="DB149" s="173"/>
      <c r="DC149" s="173"/>
      <c r="DD149" s="173"/>
      <c r="DE149" s="173"/>
      <c r="DF149" s="173"/>
    </row>
    <row r="150" spans="1:110" s="174" customFormat="1" x14ac:dyDescent="0.2">
      <c r="A150" s="190"/>
      <c r="B150" s="172"/>
      <c r="D150" s="169"/>
      <c r="E150" s="169"/>
      <c r="F150" s="169"/>
      <c r="G150" s="244"/>
      <c r="H150" s="169"/>
      <c r="I150" s="295"/>
      <c r="J150" s="295"/>
      <c r="K150" s="169"/>
      <c r="L150" s="169"/>
      <c r="M150" s="169"/>
      <c r="N150" s="169"/>
      <c r="O150" s="169"/>
      <c r="P150" s="169"/>
      <c r="Q150" s="185"/>
      <c r="R150" s="190"/>
      <c r="AS150" s="161"/>
      <c r="BF150" s="162"/>
      <c r="BG150" s="162"/>
      <c r="BH150" s="163"/>
      <c r="BI150" s="163"/>
      <c r="BJ150" s="161"/>
      <c r="BK150" s="288"/>
      <c r="BL150" s="164"/>
      <c r="BM150" s="173"/>
      <c r="BN150" s="252"/>
      <c r="BO150" s="259"/>
      <c r="BP150" s="252"/>
      <c r="BQ150" s="252"/>
      <c r="BR150" s="252"/>
      <c r="BS150" s="259"/>
      <c r="BT150" s="252"/>
      <c r="BU150" s="252"/>
      <c r="BV150" s="252"/>
      <c r="BW150" s="259"/>
      <c r="BX150" s="252"/>
      <c r="BY150" s="252"/>
      <c r="BZ150" s="252"/>
      <c r="CA150" s="259"/>
      <c r="CB150" s="252"/>
      <c r="CC150" s="252"/>
      <c r="CD150" s="252"/>
      <c r="CE150" s="259"/>
      <c r="CF150" s="252"/>
      <c r="CG150" s="252"/>
      <c r="CH150" s="252"/>
      <c r="CI150" s="259"/>
      <c r="CJ150" s="252"/>
      <c r="CK150" s="252"/>
      <c r="CL150" s="252"/>
      <c r="CM150" s="259"/>
      <c r="CN150" s="252"/>
      <c r="CO150" s="252"/>
      <c r="CP150" s="252"/>
      <c r="CQ150" s="259"/>
      <c r="CR150" s="252"/>
      <c r="CS150" s="252"/>
      <c r="CT150" s="255"/>
      <c r="CU150" s="173"/>
      <c r="CV150" s="173"/>
      <c r="CW150" s="173"/>
      <c r="CX150" s="173"/>
      <c r="CY150" s="173"/>
      <c r="CZ150" s="173"/>
      <c r="DA150" s="173"/>
      <c r="DB150" s="173"/>
      <c r="DC150" s="173"/>
      <c r="DD150" s="173"/>
      <c r="DE150" s="173"/>
      <c r="DF150" s="173"/>
    </row>
    <row r="151" spans="1:110" s="174" customFormat="1" x14ac:dyDescent="0.2">
      <c r="A151" s="190"/>
      <c r="B151" s="172"/>
      <c r="D151" s="169"/>
      <c r="E151" s="169"/>
      <c r="F151" s="169"/>
      <c r="G151" s="244"/>
      <c r="H151" s="169"/>
      <c r="I151" s="295"/>
      <c r="J151" s="295"/>
      <c r="K151" s="169"/>
      <c r="L151" s="169"/>
      <c r="M151" s="169"/>
      <c r="N151" s="169"/>
      <c r="O151" s="169"/>
      <c r="P151" s="169"/>
      <c r="Q151" s="185"/>
      <c r="R151" s="190"/>
      <c r="AS151" s="161"/>
      <c r="BF151" s="162"/>
      <c r="BG151" s="162"/>
      <c r="BH151" s="163"/>
      <c r="BI151" s="163"/>
      <c r="BJ151" s="161"/>
      <c r="BK151" s="288"/>
      <c r="BL151" s="164"/>
      <c r="BM151" s="173"/>
      <c r="BN151" s="252"/>
      <c r="BO151" s="259"/>
      <c r="BP151" s="252"/>
      <c r="BQ151" s="252"/>
      <c r="BR151" s="252"/>
      <c r="BS151" s="259"/>
      <c r="BT151" s="252"/>
      <c r="BU151" s="252"/>
      <c r="BV151" s="252"/>
      <c r="BW151" s="259"/>
      <c r="BX151" s="252"/>
      <c r="BY151" s="252"/>
      <c r="BZ151" s="252"/>
      <c r="CA151" s="259"/>
      <c r="CB151" s="252"/>
      <c r="CC151" s="252"/>
      <c r="CD151" s="252"/>
      <c r="CE151" s="259"/>
      <c r="CF151" s="252"/>
      <c r="CG151" s="252"/>
      <c r="CH151" s="252"/>
      <c r="CI151" s="259"/>
      <c r="CJ151" s="252"/>
      <c r="CK151" s="252"/>
      <c r="CL151" s="252"/>
      <c r="CM151" s="259"/>
      <c r="CN151" s="252"/>
      <c r="CO151" s="252"/>
      <c r="CP151" s="252"/>
      <c r="CQ151" s="259"/>
      <c r="CR151" s="252"/>
      <c r="CS151" s="252"/>
      <c r="CT151" s="255"/>
      <c r="CU151" s="173"/>
      <c r="CV151" s="173"/>
      <c r="CW151" s="173"/>
      <c r="CX151" s="173"/>
      <c r="CY151" s="173"/>
      <c r="CZ151" s="173"/>
      <c r="DA151" s="173"/>
      <c r="DB151" s="173"/>
      <c r="DC151" s="173"/>
      <c r="DD151" s="173"/>
      <c r="DE151" s="173"/>
      <c r="DF151" s="173"/>
    </row>
    <row r="152" spans="1:110" s="174" customFormat="1" x14ac:dyDescent="0.2">
      <c r="A152" s="190"/>
      <c r="B152" s="172"/>
      <c r="D152" s="169"/>
      <c r="E152" s="169"/>
      <c r="F152" s="169"/>
      <c r="G152" s="244"/>
      <c r="H152" s="169"/>
      <c r="I152" s="295"/>
      <c r="J152" s="295"/>
      <c r="K152" s="169"/>
      <c r="L152" s="169"/>
      <c r="M152" s="169"/>
      <c r="N152" s="169"/>
      <c r="O152" s="169"/>
      <c r="P152" s="169"/>
      <c r="Q152" s="185"/>
      <c r="R152" s="190"/>
      <c r="AS152" s="161"/>
      <c r="BF152" s="162"/>
      <c r="BG152" s="162"/>
      <c r="BH152" s="163"/>
      <c r="BI152" s="163"/>
      <c r="BJ152" s="161"/>
      <c r="BK152" s="288"/>
      <c r="BL152" s="164"/>
      <c r="BM152" s="173"/>
      <c r="BN152" s="252"/>
      <c r="BO152" s="259"/>
      <c r="BP152" s="252"/>
      <c r="BQ152" s="252"/>
      <c r="BR152" s="252"/>
      <c r="BS152" s="259"/>
      <c r="BT152" s="252"/>
      <c r="BU152" s="252"/>
      <c r="BV152" s="252"/>
      <c r="BW152" s="259"/>
      <c r="BX152" s="252"/>
      <c r="BY152" s="252"/>
      <c r="BZ152" s="252"/>
      <c r="CA152" s="259"/>
      <c r="CB152" s="252"/>
      <c r="CC152" s="252"/>
      <c r="CD152" s="252"/>
      <c r="CE152" s="259"/>
      <c r="CF152" s="252"/>
      <c r="CG152" s="252"/>
      <c r="CH152" s="252"/>
      <c r="CI152" s="259"/>
      <c r="CJ152" s="252"/>
      <c r="CK152" s="252"/>
      <c r="CL152" s="252"/>
      <c r="CM152" s="259"/>
      <c r="CN152" s="252"/>
      <c r="CO152" s="252"/>
      <c r="CP152" s="252"/>
      <c r="CQ152" s="259"/>
      <c r="CR152" s="252"/>
      <c r="CS152" s="252"/>
      <c r="CT152" s="255"/>
      <c r="CU152" s="173"/>
      <c r="CV152" s="173"/>
      <c r="CW152" s="173"/>
      <c r="CX152" s="173"/>
      <c r="CY152" s="173"/>
      <c r="CZ152" s="173"/>
      <c r="DA152" s="173"/>
      <c r="DB152" s="173"/>
      <c r="DC152" s="173"/>
      <c r="DD152" s="173"/>
      <c r="DE152" s="173"/>
      <c r="DF152" s="173"/>
    </row>
    <row r="153" spans="1:110" s="174" customFormat="1" x14ac:dyDescent="0.2">
      <c r="A153" s="190"/>
      <c r="B153" s="172"/>
      <c r="D153" s="169"/>
      <c r="E153" s="169"/>
      <c r="F153" s="169"/>
      <c r="G153" s="244"/>
      <c r="H153" s="169"/>
      <c r="I153" s="295"/>
      <c r="J153" s="295"/>
      <c r="K153" s="169"/>
      <c r="L153" s="169"/>
      <c r="M153" s="169"/>
      <c r="N153" s="169"/>
      <c r="O153" s="169"/>
      <c r="P153" s="169"/>
      <c r="Q153" s="185"/>
      <c r="R153" s="190"/>
      <c r="AS153" s="161"/>
      <c r="BF153" s="162"/>
      <c r="BG153" s="162"/>
      <c r="BH153" s="163"/>
      <c r="BI153" s="163"/>
      <c r="BJ153" s="161"/>
      <c r="BK153" s="288"/>
      <c r="BL153" s="164"/>
      <c r="BM153" s="173"/>
      <c r="BN153" s="252"/>
      <c r="BO153" s="259"/>
      <c r="BP153" s="252"/>
      <c r="BQ153" s="252"/>
      <c r="BR153" s="252"/>
      <c r="BS153" s="259"/>
      <c r="BT153" s="252"/>
      <c r="BU153" s="252"/>
      <c r="BV153" s="252"/>
      <c r="BW153" s="259"/>
      <c r="BX153" s="252"/>
      <c r="BY153" s="252"/>
      <c r="BZ153" s="252"/>
      <c r="CA153" s="259"/>
      <c r="CB153" s="252"/>
      <c r="CC153" s="252"/>
      <c r="CD153" s="252"/>
      <c r="CE153" s="259"/>
      <c r="CF153" s="252"/>
      <c r="CG153" s="252"/>
      <c r="CH153" s="252"/>
      <c r="CI153" s="259"/>
      <c r="CJ153" s="252"/>
      <c r="CK153" s="252"/>
      <c r="CL153" s="252"/>
      <c r="CM153" s="259"/>
      <c r="CN153" s="252"/>
      <c r="CO153" s="252"/>
      <c r="CP153" s="252"/>
      <c r="CQ153" s="259"/>
      <c r="CR153" s="252"/>
      <c r="CS153" s="252"/>
      <c r="CT153" s="255"/>
      <c r="CU153" s="173"/>
      <c r="CV153" s="173"/>
      <c r="CW153" s="173"/>
      <c r="CX153" s="173"/>
      <c r="CY153" s="173"/>
      <c r="CZ153" s="173"/>
      <c r="DA153" s="173"/>
      <c r="DB153" s="173"/>
      <c r="DC153" s="173"/>
      <c r="DD153" s="173"/>
      <c r="DE153" s="173"/>
      <c r="DF153" s="173"/>
    </row>
    <row r="154" spans="1:110" s="174" customFormat="1" x14ac:dyDescent="0.2">
      <c r="A154" s="190"/>
      <c r="B154" s="172"/>
      <c r="D154" s="169"/>
      <c r="E154" s="169"/>
      <c r="F154" s="169"/>
      <c r="G154" s="244"/>
      <c r="H154" s="169"/>
      <c r="I154" s="295"/>
      <c r="J154" s="295"/>
      <c r="K154" s="169"/>
      <c r="L154" s="169"/>
      <c r="M154" s="169"/>
      <c r="N154" s="169"/>
      <c r="O154" s="169"/>
      <c r="P154" s="169"/>
      <c r="Q154" s="185"/>
      <c r="R154" s="190"/>
      <c r="AS154" s="161"/>
      <c r="BF154" s="162"/>
      <c r="BG154" s="162"/>
      <c r="BH154" s="163"/>
      <c r="BI154" s="163"/>
      <c r="BJ154" s="161"/>
      <c r="BK154" s="288"/>
      <c r="BL154" s="164"/>
      <c r="BM154" s="173"/>
      <c r="BN154" s="252"/>
      <c r="BO154" s="259"/>
      <c r="BP154" s="252"/>
      <c r="BQ154" s="252"/>
      <c r="BR154" s="252"/>
      <c r="BS154" s="259"/>
      <c r="BT154" s="252"/>
      <c r="BU154" s="252"/>
      <c r="BV154" s="252"/>
      <c r="BW154" s="259"/>
      <c r="BX154" s="252"/>
      <c r="BY154" s="252"/>
      <c r="BZ154" s="252"/>
      <c r="CA154" s="259"/>
      <c r="CB154" s="252"/>
      <c r="CC154" s="252"/>
      <c r="CD154" s="252"/>
      <c r="CE154" s="259"/>
      <c r="CF154" s="252"/>
      <c r="CG154" s="252"/>
      <c r="CH154" s="252"/>
      <c r="CI154" s="259"/>
      <c r="CJ154" s="252"/>
      <c r="CK154" s="252"/>
      <c r="CL154" s="252"/>
      <c r="CM154" s="259"/>
      <c r="CN154" s="252"/>
      <c r="CO154" s="252"/>
      <c r="CP154" s="252"/>
      <c r="CQ154" s="259"/>
      <c r="CR154" s="252"/>
      <c r="CS154" s="252"/>
      <c r="CT154" s="255"/>
      <c r="CU154" s="173"/>
      <c r="CV154" s="173"/>
      <c r="CW154" s="173"/>
      <c r="CX154" s="173"/>
      <c r="CY154" s="173"/>
      <c r="CZ154" s="173"/>
      <c r="DA154" s="173"/>
      <c r="DB154" s="173"/>
      <c r="DC154" s="173"/>
      <c r="DD154" s="173"/>
      <c r="DE154" s="173"/>
      <c r="DF154" s="173"/>
    </row>
    <row r="155" spans="1:110" s="174" customFormat="1" x14ac:dyDescent="0.2">
      <c r="A155" s="190"/>
      <c r="B155" s="172"/>
      <c r="D155" s="169"/>
      <c r="E155" s="169"/>
      <c r="F155" s="169"/>
      <c r="G155" s="244"/>
      <c r="H155" s="169"/>
      <c r="I155" s="295"/>
      <c r="J155" s="295"/>
      <c r="K155" s="169"/>
      <c r="L155" s="169"/>
      <c r="M155" s="169"/>
      <c r="N155" s="169"/>
      <c r="O155" s="169"/>
      <c r="P155" s="169"/>
      <c r="Q155" s="185"/>
      <c r="R155" s="190"/>
      <c r="AS155" s="161"/>
      <c r="BF155" s="162"/>
      <c r="BG155" s="162"/>
      <c r="BH155" s="163"/>
      <c r="BI155" s="163"/>
      <c r="BJ155" s="161"/>
      <c r="BK155" s="288"/>
      <c r="BL155" s="164"/>
      <c r="BM155" s="173"/>
      <c r="BN155" s="252"/>
      <c r="BO155" s="259"/>
      <c r="BP155" s="252"/>
      <c r="BQ155" s="252"/>
      <c r="BR155" s="252"/>
      <c r="BS155" s="259"/>
      <c r="BT155" s="252"/>
      <c r="BU155" s="252"/>
      <c r="BV155" s="252"/>
      <c r="BW155" s="259"/>
      <c r="BX155" s="252"/>
      <c r="BY155" s="252"/>
      <c r="BZ155" s="252"/>
      <c r="CA155" s="259"/>
      <c r="CB155" s="252"/>
      <c r="CC155" s="252"/>
      <c r="CD155" s="252"/>
      <c r="CE155" s="259"/>
      <c r="CF155" s="252"/>
      <c r="CG155" s="252"/>
      <c r="CH155" s="252"/>
      <c r="CI155" s="259"/>
      <c r="CJ155" s="252"/>
      <c r="CK155" s="252"/>
      <c r="CL155" s="252"/>
      <c r="CM155" s="259"/>
      <c r="CN155" s="252"/>
      <c r="CO155" s="252"/>
      <c r="CP155" s="252"/>
      <c r="CQ155" s="259"/>
      <c r="CR155" s="252"/>
      <c r="CS155" s="252"/>
      <c r="CT155" s="255"/>
      <c r="CU155" s="173"/>
      <c r="CV155" s="173"/>
      <c r="CW155" s="173"/>
      <c r="CX155" s="173"/>
      <c r="CY155" s="173"/>
      <c r="CZ155" s="173"/>
      <c r="DA155" s="173"/>
      <c r="DB155" s="173"/>
      <c r="DC155" s="173"/>
      <c r="DD155" s="173"/>
      <c r="DE155" s="173"/>
      <c r="DF155" s="173"/>
    </row>
    <row r="156" spans="1:110" s="174" customFormat="1" x14ac:dyDescent="0.2">
      <c r="A156" s="190"/>
      <c r="B156" s="172"/>
      <c r="D156" s="169"/>
      <c r="E156" s="169"/>
      <c r="F156" s="169"/>
      <c r="G156" s="244"/>
      <c r="H156" s="169"/>
      <c r="I156" s="295"/>
      <c r="J156" s="295"/>
      <c r="K156" s="169"/>
      <c r="L156" s="169"/>
      <c r="M156" s="169"/>
      <c r="N156" s="169"/>
      <c r="O156" s="169"/>
      <c r="P156" s="169"/>
      <c r="Q156" s="185"/>
      <c r="R156" s="190"/>
      <c r="AS156" s="161"/>
      <c r="BF156" s="162"/>
      <c r="BG156" s="162"/>
      <c r="BH156" s="163"/>
      <c r="BI156" s="163"/>
      <c r="BJ156" s="161"/>
      <c r="BK156" s="288"/>
      <c r="BL156" s="164"/>
      <c r="BM156" s="173"/>
      <c r="BN156" s="252"/>
      <c r="BO156" s="259"/>
      <c r="BP156" s="252"/>
      <c r="BQ156" s="252"/>
      <c r="BR156" s="252"/>
      <c r="BS156" s="259"/>
      <c r="BT156" s="252"/>
      <c r="BU156" s="252"/>
      <c r="BV156" s="252"/>
      <c r="BW156" s="259"/>
      <c r="BX156" s="252"/>
      <c r="BY156" s="252"/>
      <c r="BZ156" s="252"/>
      <c r="CA156" s="259"/>
      <c r="CB156" s="252"/>
      <c r="CC156" s="252"/>
      <c r="CD156" s="252"/>
      <c r="CE156" s="259"/>
      <c r="CF156" s="252"/>
      <c r="CG156" s="252"/>
      <c r="CH156" s="252"/>
      <c r="CI156" s="259"/>
      <c r="CJ156" s="252"/>
      <c r="CK156" s="252"/>
      <c r="CL156" s="252"/>
      <c r="CM156" s="259"/>
      <c r="CN156" s="252"/>
      <c r="CO156" s="252"/>
      <c r="CP156" s="252"/>
      <c r="CQ156" s="259"/>
      <c r="CR156" s="252"/>
      <c r="CS156" s="252"/>
      <c r="CT156" s="255"/>
      <c r="CU156" s="173"/>
      <c r="CV156" s="173"/>
      <c r="CW156" s="173"/>
      <c r="CX156" s="173"/>
      <c r="CY156" s="173"/>
      <c r="CZ156" s="173"/>
      <c r="DA156" s="173"/>
      <c r="DB156" s="173"/>
      <c r="DC156" s="173"/>
      <c r="DD156" s="173"/>
      <c r="DE156" s="173"/>
      <c r="DF156" s="173"/>
    </row>
    <row r="157" spans="1:110" s="174" customFormat="1" x14ac:dyDescent="0.2">
      <c r="A157" s="190"/>
      <c r="B157" s="172"/>
      <c r="D157" s="169"/>
      <c r="E157" s="169"/>
      <c r="F157" s="169"/>
      <c r="G157" s="244"/>
      <c r="H157" s="169"/>
      <c r="I157" s="295"/>
      <c r="J157" s="295"/>
      <c r="K157" s="169"/>
      <c r="L157" s="169"/>
      <c r="M157" s="169"/>
      <c r="N157" s="169"/>
      <c r="O157" s="169"/>
      <c r="P157" s="169"/>
      <c r="Q157" s="185"/>
      <c r="R157" s="190"/>
      <c r="AS157" s="161"/>
      <c r="BF157" s="162"/>
      <c r="BG157" s="162"/>
      <c r="BH157" s="163"/>
      <c r="BI157" s="163"/>
      <c r="BJ157" s="161"/>
      <c r="BK157" s="288"/>
      <c r="BL157" s="164"/>
      <c r="BM157" s="173"/>
      <c r="BN157" s="252"/>
      <c r="BO157" s="259"/>
      <c r="BP157" s="252"/>
      <c r="BQ157" s="252"/>
      <c r="BR157" s="252"/>
      <c r="BS157" s="259"/>
      <c r="BT157" s="252"/>
      <c r="BU157" s="252"/>
      <c r="BV157" s="252"/>
      <c r="BW157" s="259"/>
      <c r="BX157" s="252"/>
      <c r="BY157" s="252"/>
      <c r="BZ157" s="252"/>
      <c r="CA157" s="259"/>
      <c r="CB157" s="252"/>
      <c r="CC157" s="252"/>
      <c r="CD157" s="252"/>
      <c r="CE157" s="259"/>
      <c r="CF157" s="252"/>
      <c r="CG157" s="252"/>
      <c r="CH157" s="252"/>
      <c r="CI157" s="259"/>
      <c r="CJ157" s="252"/>
      <c r="CK157" s="252"/>
      <c r="CL157" s="252"/>
      <c r="CM157" s="259"/>
      <c r="CN157" s="252"/>
      <c r="CO157" s="252"/>
      <c r="CP157" s="252"/>
      <c r="CQ157" s="259"/>
      <c r="CR157" s="252"/>
      <c r="CS157" s="252"/>
      <c r="CT157" s="255"/>
      <c r="CU157" s="173"/>
      <c r="CV157" s="173"/>
      <c r="CW157" s="173"/>
      <c r="CX157" s="173"/>
      <c r="CY157" s="173"/>
      <c r="CZ157" s="173"/>
      <c r="DA157" s="173"/>
      <c r="DB157" s="173"/>
      <c r="DC157" s="173"/>
      <c r="DD157" s="173"/>
      <c r="DE157" s="173"/>
      <c r="DF157" s="173"/>
    </row>
    <row r="158" spans="1:110" s="174" customFormat="1" x14ac:dyDescent="0.2">
      <c r="A158" s="190"/>
      <c r="B158" s="172"/>
      <c r="D158" s="169"/>
      <c r="E158" s="169"/>
      <c r="F158" s="169"/>
      <c r="G158" s="244"/>
      <c r="H158" s="169"/>
      <c r="I158" s="295"/>
      <c r="J158" s="295"/>
      <c r="K158" s="169"/>
      <c r="L158" s="169"/>
      <c r="M158" s="169"/>
      <c r="N158" s="169"/>
      <c r="O158" s="169"/>
      <c r="P158" s="169"/>
      <c r="Q158" s="185"/>
      <c r="R158" s="190"/>
      <c r="AS158" s="161"/>
      <c r="BF158" s="162"/>
      <c r="BG158" s="162"/>
      <c r="BH158" s="163"/>
      <c r="BI158" s="163"/>
      <c r="BJ158" s="161"/>
      <c r="BK158" s="288"/>
      <c r="BL158" s="164"/>
      <c r="BM158" s="173"/>
      <c r="BN158" s="252"/>
      <c r="BO158" s="259"/>
      <c r="BP158" s="252"/>
      <c r="BQ158" s="252"/>
      <c r="BR158" s="252"/>
      <c r="BS158" s="259"/>
      <c r="BT158" s="252"/>
      <c r="BU158" s="252"/>
      <c r="BV158" s="252"/>
      <c r="BW158" s="259"/>
      <c r="BX158" s="252"/>
      <c r="BY158" s="252"/>
      <c r="BZ158" s="252"/>
      <c r="CA158" s="259"/>
      <c r="CB158" s="252"/>
      <c r="CC158" s="252"/>
      <c r="CD158" s="252"/>
      <c r="CE158" s="259"/>
      <c r="CF158" s="252"/>
      <c r="CG158" s="252"/>
      <c r="CH158" s="252"/>
      <c r="CI158" s="259"/>
      <c r="CJ158" s="252"/>
      <c r="CK158" s="252"/>
      <c r="CL158" s="252"/>
      <c r="CM158" s="259"/>
      <c r="CN158" s="252"/>
      <c r="CO158" s="252"/>
      <c r="CP158" s="252"/>
      <c r="CQ158" s="259"/>
      <c r="CR158" s="252"/>
      <c r="CS158" s="252"/>
      <c r="CT158" s="255"/>
      <c r="CU158" s="173"/>
      <c r="CV158" s="173"/>
      <c r="CW158" s="173"/>
      <c r="CX158" s="173"/>
      <c r="CY158" s="173"/>
      <c r="CZ158" s="173"/>
      <c r="DA158" s="173"/>
      <c r="DB158" s="173"/>
      <c r="DC158" s="173"/>
      <c r="DD158" s="173"/>
      <c r="DE158" s="173"/>
      <c r="DF158" s="173"/>
    </row>
    <row r="159" spans="1:110" s="174" customFormat="1" x14ac:dyDescent="0.2">
      <c r="A159" s="190"/>
      <c r="B159" s="172"/>
      <c r="D159" s="169"/>
      <c r="E159" s="169"/>
      <c r="F159" s="169"/>
      <c r="G159" s="244"/>
      <c r="H159" s="169"/>
      <c r="I159" s="295"/>
      <c r="J159" s="295"/>
      <c r="K159" s="169"/>
      <c r="L159" s="169"/>
      <c r="M159" s="169"/>
      <c r="N159" s="169"/>
      <c r="O159" s="169"/>
      <c r="P159" s="169"/>
      <c r="Q159" s="185"/>
      <c r="R159" s="190"/>
      <c r="AS159" s="161"/>
      <c r="BF159" s="162"/>
      <c r="BG159" s="162"/>
      <c r="BH159" s="163"/>
      <c r="BI159" s="163"/>
      <c r="BJ159" s="161"/>
      <c r="BK159" s="288"/>
      <c r="BL159" s="164"/>
      <c r="BM159" s="173"/>
      <c r="BN159" s="252"/>
      <c r="BO159" s="259"/>
      <c r="BP159" s="252"/>
      <c r="BQ159" s="252"/>
      <c r="BR159" s="252"/>
      <c r="BS159" s="259"/>
      <c r="BT159" s="252"/>
      <c r="BU159" s="252"/>
      <c r="BV159" s="252"/>
      <c r="BW159" s="259"/>
      <c r="BX159" s="252"/>
      <c r="BY159" s="252"/>
      <c r="BZ159" s="252"/>
      <c r="CA159" s="259"/>
      <c r="CB159" s="252"/>
      <c r="CC159" s="252"/>
      <c r="CD159" s="252"/>
      <c r="CE159" s="259"/>
      <c r="CF159" s="252"/>
      <c r="CG159" s="252"/>
      <c r="CH159" s="252"/>
      <c r="CI159" s="259"/>
      <c r="CJ159" s="252"/>
      <c r="CK159" s="252"/>
      <c r="CL159" s="252"/>
      <c r="CM159" s="259"/>
      <c r="CN159" s="252"/>
      <c r="CO159" s="252"/>
      <c r="CP159" s="252"/>
      <c r="CQ159" s="259"/>
      <c r="CR159" s="252"/>
      <c r="CS159" s="252"/>
      <c r="CT159" s="255"/>
      <c r="CU159" s="173"/>
      <c r="CV159" s="173"/>
      <c r="CW159" s="173"/>
      <c r="CX159" s="173"/>
      <c r="CY159" s="173"/>
      <c r="CZ159" s="173"/>
      <c r="DA159" s="173"/>
      <c r="DB159" s="173"/>
      <c r="DC159" s="173"/>
      <c r="DD159" s="173"/>
      <c r="DE159" s="173"/>
      <c r="DF159" s="173"/>
    </row>
    <row r="160" spans="1:110" s="174" customFormat="1" x14ac:dyDescent="0.2">
      <c r="A160" s="190"/>
      <c r="B160" s="172"/>
      <c r="D160" s="169"/>
      <c r="E160" s="169"/>
      <c r="F160" s="169"/>
      <c r="G160" s="244"/>
      <c r="H160" s="169"/>
      <c r="I160" s="295"/>
      <c r="J160" s="295"/>
      <c r="K160" s="169"/>
      <c r="L160" s="169"/>
      <c r="M160" s="169"/>
      <c r="N160" s="169"/>
      <c r="O160" s="169"/>
      <c r="P160" s="169"/>
      <c r="Q160" s="185"/>
      <c r="R160" s="190"/>
      <c r="AS160" s="161"/>
      <c r="BF160" s="162"/>
      <c r="BG160" s="162"/>
      <c r="BH160" s="163"/>
      <c r="BI160" s="163"/>
      <c r="BJ160" s="161"/>
      <c r="BK160" s="288"/>
      <c r="BL160" s="164"/>
      <c r="BM160" s="173"/>
      <c r="BN160" s="252"/>
      <c r="BO160" s="259"/>
      <c r="BP160" s="252"/>
      <c r="BQ160" s="252"/>
      <c r="BR160" s="252"/>
      <c r="BS160" s="259"/>
      <c r="BT160" s="252"/>
      <c r="BU160" s="252"/>
      <c r="BV160" s="252"/>
      <c r="BW160" s="259"/>
      <c r="BX160" s="252"/>
      <c r="BY160" s="252"/>
      <c r="BZ160" s="252"/>
      <c r="CA160" s="259"/>
      <c r="CB160" s="252"/>
      <c r="CC160" s="252"/>
      <c r="CD160" s="252"/>
      <c r="CE160" s="259"/>
      <c r="CF160" s="252"/>
      <c r="CG160" s="252"/>
      <c r="CH160" s="252"/>
      <c r="CI160" s="259"/>
      <c r="CJ160" s="252"/>
      <c r="CK160" s="252"/>
      <c r="CL160" s="252"/>
      <c r="CM160" s="259"/>
      <c r="CN160" s="252"/>
      <c r="CO160" s="252"/>
      <c r="CP160" s="252"/>
      <c r="CQ160" s="259"/>
      <c r="CR160" s="252"/>
      <c r="CS160" s="252"/>
      <c r="CT160" s="255"/>
      <c r="CU160" s="173"/>
      <c r="CV160" s="173"/>
      <c r="CW160" s="173"/>
      <c r="CX160" s="173"/>
      <c r="CY160" s="173"/>
      <c r="CZ160" s="173"/>
      <c r="DA160" s="173"/>
      <c r="DB160" s="173"/>
      <c r="DC160" s="173"/>
      <c r="DD160" s="173"/>
      <c r="DE160" s="173"/>
      <c r="DF160" s="173"/>
    </row>
    <row r="161" spans="1:110" s="174" customFormat="1" x14ac:dyDescent="0.2">
      <c r="A161" s="190"/>
      <c r="B161" s="172"/>
      <c r="D161" s="169"/>
      <c r="E161" s="169"/>
      <c r="F161" s="169"/>
      <c r="G161" s="244"/>
      <c r="H161" s="169"/>
      <c r="I161" s="295"/>
      <c r="J161" s="295"/>
      <c r="K161" s="169"/>
      <c r="L161" s="169"/>
      <c r="M161" s="169"/>
      <c r="N161" s="169"/>
      <c r="O161" s="169"/>
      <c r="P161" s="169"/>
      <c r="Q161" s="185"/>
      <c r="R161" s="190"/>
      <c r="AS161" s="161"/>
      <c r="BF161" s="162"/>
      <c r="BG161" s="162"/>
      <c r="BH161" s="163"/>
      <c r="BI161" s="163"/>
      <c r="BJ161" s="161"/>
      <c r="BK161" s="288"/>
      <c r="BL161" s="164"/>
      <c r="BM161" s="173"/>
      <c r="BN161" s="252"/>
      <c r="BO161" s="259"/>
      <c r="BP161" s="252"/>
      <c r="BQ161" s="252"/>
      <c r="BR161" s="252"/>
      <c r="BS161" s="259"/>
      <c r="BT161" s="252"/>
      <c r="BU161" s="252"/>
      <c r="BV161" s="252"/>
      <c r="BW161" s="259"/>
      <c r="BX161" s="252"/>
      <c r="BY161" s="252"/>
      <c r="BZ161" s="252"/>
      <c r="CA161" s="259"/>
      <c r="CB161" s="252"/>
      <c r="CC161" s="252"/>
      <c r="CD161" s="252"/>
      <c r="CE161" s="259"/>
      <c r="CF161" s="252"/>
      <c r="CG161" s="252"/>
      <c r="CH161" s="252"/>
      <c r="CI161" s="259"/>
      <c r="CJ161" s="252"/>
      <c r="CK161" s="252"/>
      <c r="CL161" s="252"/>
      <c r="CM161" s="259"/>
      <c r="CN161" s="252"/>
      <c r="CO161" s="252"/>
      <c r="CP161" s="252"/>
      <c r="CQ161" s="259"/>
      <c r="CR161" s="252"/>
      <c r="CS161" s="252"/>
      <c r="CT161" s="255"/>
      <c r="CU161" s="173"/>
      <c r="CV161" s="173"/>
      <c r="CW161" s="173"/>
      <c r="CX161" s="173"/>
      <c r="CY161" s="173"/>
      <c r="CZ161" s="173"/>
      <c r="DA161" s="173"/>
      <c r="DB161" s="173"/>
      <c r="DC161" s="173"/>
      <c r="DD161" s="173"/>
      <c r="DE161" s="173"/>
      <c r="DF161" s="173"/>
    </row>
    <row r="162" spans="1:110" s="174" customFormat="1" x14ac:dyDescent="0.2">
      <c r="A162" s="190"/>
      <c r="B162" s="172"/>
      <c r="D162" s="169"/>
      <c r="E162" s="169"/>
      <c r="F162" s="169"/>
      <c r="G162" s="244"/>
      <c r="H162" s="169"/>
      <c r="I162" s="295"/>
      <c r="J162" s="295"/>
      <c r="K162" s="169"/>
      <c r="L162" s="169"/>
      <c r="M162" s="169"/>
      <c r="N162" s="169"/>
      <c r="O162" s="169"/>
      <c r="P162" s="169"/>
      <c r="Q162" s="185"/>
      <c r="R162" s="190"/>
      <c r="AS162" s="161"/>
      <c r="BF162" s="162"/>
      <c r="BG162" s="162"/>
      <c r="BH162" s="163"/>
      <c r="BI162" s="163"/>
      <c r="BJ162" s="161"/>
      <c r="BK162" s="288"/>
      <c r="BL162" s="164"/>
      <c r="BM162" s="173"/>
      <c r="BN162" s="252"/>
      <c r="BO162" s="259"/>
      <c r="BP162" s="252"/>
      <c r="BQ162" s="252"/>
      <c r="BR162" s="252"/>
      <c r="BS162" s="259"/>
      <c r="BT162" s="252"/>
      <c r="BU162" s="252"/>
      <c r="BV162" s="252"/>
      <c r="BW162" s="259"/>
      <c r="BX162" s="252"/>
      <c r="BY162" s="252"/>
      <c r="BZ162" s="252"/>
      <c r="CA162" s="259"/>
      <c r="CB162" s="252"/>
      <c r="CC162" s="252"/>
      <c r="CD162" s="252"/>
      <c r="CE162" s="259"/>
      <c r="CF162" s="252"/>
      <c r="CG162" s="252"/>
      <c r="CH162" s="252"/>
      <c r="CI162" s="259"/>
      <c r="CJ162" s="252"/>
      <c r="CK162" s="252"/>
      <c r="CL162" s="252"/>
      <c r="CM162" s="259"/>
      <c r="CN162" s="252"/>
      <c r="CO162" s="252"/>
      <c r="CP162" s="252"/>
      <c r="CQ162" s="259"/>
      <c r="CR162" s="252"/>
      <c r="CS162" s="252"/>
      <c r="CT162" s="255"/>
      <c r="CU162" s="173"/>
      <c r="CV162" s="173"/>
      <c r="CW162" s="173"/>
      <c r="CX162" s="173"/>
      <c r="CY162" s="173"/>
      <c r="CZ162" s="173"/>
      <c r="DA162" s="173"/>
      <c r="DB162" s="173"/>
      <c r="DC162" s="173"/>
      <c r="DD162" s="173"/>
      <c r="DE162" s="173"/>
      <c r="DF162" s="173"/>
    </row>
    <row r="163" spans="1:110" s="174" customFormat="1" x14ac:dyDescent="0.2">
      <c r="A163" s="190"/>
      <c r="B163" s="172"/>
      <c r="D163" s="169"/>
      <c r="E163" s="169"/>
      <c r="F163" s="169"/>
      <c r="G163" s="244"/>
      <c r="H163" s="169"/>
      <c r="I163" s="295"/>
      <c r="J163" s="295"/>
      <c r="K163" s="169"/>
      <c r="L163" s="169"/>
      <c r="M163" s="169"/>
      <c r="N163" s="169"/>
      <c r="O163" s="169"/>
      <c r="P163" s="169"/>
      <c r="Q163" s="185"/>
      <c r="R163" s="190"/>
      <c r="AS163" s="161"/>
      <c r="BF163" s="162"/>
      <c r="BG163" s="162"/>
      <c r="BH163" s="163"/>
      <c r="BI163" s="163"/>
      <c r="BJ163" s="161"/>
      <c r="BK163" s="288"/>
      <c r="BL163" s="164"/>
      <c r="BM163" s="173"/>
      <c r="BN163" s="252"/>
      <c r="BO163" s="259"/>
      <c r="BP163" s="252"/>
      <c r="BQ163" s="252"/>
      <c r="BR163" s="252"/>
      <c r="BS163" s="259"/>
      <c r="BT163" s="252"/>
      <c r="BU163" s="252"/>
      <c r="BV163" s="252"/>
      <c r="BW163" s="259"/>
      <c r="BX163" s="252"/>
      <c r="BY163" s="252"/>
      <c r="BZ163" s="252"/>
      <c r="CA163" s="259"/>
      <c r="CB163" s="252"/>
      <c r="CC163" s="252"/>
      <c r="CD163" s="252"/>
      <c r="CE163" s="259"/>
      <c r="CF163" s="252"/>
      <c r="CG163" s="252"/>
      <c r="CH163" s="252"/>
      <c r="CI163" s="259"/>
      <c r="CJ163" s="252"/>
      <c r="CK163" s="252"/>
      <c r="CL163" s="252"/>
      <c r="CM163" s="259"/>
      <c r="CN163" s="252"/>
      <c r="CO163" s="252"/>
      <c r="CP163" s="252"/>
      <c r="CQ163" s="259"/>
      <c r="CR163" s="252"/>
      <c r="CS163" s="252"/>
      <c r="CT163" s="255"/>
      <c r="CU163" s="173"/>
      <c r="CV163" s="173"/>
      <c r="CW163" s="173"/>
      <c r="CX163" s="173"/>
      <c r="CY163" s="173"/>
      <c r="CZ163" s="173"/>
      <c r="DA163" s="173"/>
      <c r="DB163" s="173"/>
      <c r="DC163" s="173"/>
      <c r="DD163" s="173"/>
      <c r="DE163" s="173"/>
      <c r="DF163" s="173"/>
    </row>
    <row r="164" spans="1:110" s="174" customFormat="1" x14ac:dyDescent="0.2">
      <c r="A164" s="190"/>
      <c r="B164" s="172"/>
      <c r="D164" s="169"/>
      <c r="E164" s="169"/>
      <c r="F164" s="169"/>
      <c r="G164" s="244"/>
      <c r="H164" s="169"/>
      <c r="I164" s="295"/>
      <c r="J164" s="295"/>
      <c r="K164" s="169"/>
      <c r="L164" s="169"/>
      <c r="M164" s="169"/>
      <c r="N164" s="169"/>
      <c r="O164" s="169"/>
      <c r="P164" s="169"/>
      <c r="Q164" s="185"/>
      <c r="R164" s="190"/>
      <c r="AS164" s="161"/>
      <c r="BF164" s="162"/>
      <c r="BG164" s="162"/>
      <c r="BH164" s="163"/>
      <c r="BI164" s="163"/>
      <c r="BJ164" s="161"/>
      <c r="BK164" s="288"/>
      <c r="BL164" s="164"/>
      <c r="BM164" s="173"/>
      <c r="BN164" s="252"/>
      <c r="BO164" s="259"/>
      <c r="BP164" s="252"/>
      <c r="BQ164" s="252"/>
      <c r="BR164" s="252"/>
      <c r="BS164" s="259"/>
      <c r="BT164" s="252"/>
      <c r="BU164" s="252"/>
      <c r="BV164" s="252"/>
      <c r="BW164" s="259"/>
      <c r="BX164" s="252"/>
      <c r="BY164" s="252"/>
      <c r="BZ164" s="252"/>
      <c r="CA164" s="259"/>
      <c r="CB164" s="252"/>
      <c r="CC164" s="252"/>
      <c r="CD164" s="252"/>
      <c r="CE164" s="259"/>
      <c r="CF164" s="252"/>
      <c r="CG164" s="252"/>
      <c r="CH164" s="252"/>
      <c r="CI164" s="259"/>
      <c r="CJ164" s="252"/>
      <c r="CK164" s="252"/>
      <c r="CL164" s="252"/>
      <c r="CM164" s="259"/>
      <c r="CN164" s="252"/>
      <c r="CO164" s="252"/>
      <c r="CP164" s="252"/>
      <c r="CQ164" s="259"/>
      <c r="CR164" s="252"/>
      <c r="CS164" s="252"/>
      <c r="CT164" s="255"/>
      <c r="CU164" s="173"/>
      <c r="CV164" s="173"/>
      <c r="CW164" s="173"/>
      <c r="CX164" s="173"/>
      <c r="CY164" s="173"/>
      <c r="CZ164" s="173"/>
      <c r="DA164" s="173"/>
      <c r="DB164" s="173"/>
      <c r="DC164" s="173"/>
      <c r="DD164" s="173"/>
      <c r="DE164" s="173"/>
      <c r="DF164" s="173"/>
    </row>
    <row r="165" spans="1:110" s="174" customFormat="1" x14ac:dyDescent="0.2">
      <c r="A165" s="190"/>
      <c r="B165" s="172"/>
      <c r="D165" s="169"/>
      <c r="E165" s="169"/>
      <c r="F165" s="169"/>
      <c r="G165" s="244"/>
      <c r="H165" s="169"/>
      <c r="I165" s="295"/>
      <c r="J165" s="295"/>
      <c r="K165" s="169"/>
      <c r="L165" s="169"/>
      <c r="M165" s="169"/>
      <c r="N165" s="169"/>
      <c r="O165" s="169"/>
      <c r="P165" s="169"/>
      <c r="Q165" s="185"/>
      <c r="R165" s="190"/>
      <c r="AS165" s="161"/>
      <c r="BF165" s="162"/>
      <c r="BG165" s="162"/>
      <c r="BH165" s="163"/>
      <c r="BI165" s="163"/>
      <c r="BJ165" s="161"/>
      <c r="BK165" s="288"/>
      <c r="BL165" s="164"/>
      <c r="BM165" s="173"/>
      <c r="BN165" s="252"/>
      <c r="BO165" s="259"/>
      <c r="BP165" s="252"/>
      <c r="BQ165" s="252"/>
      <c r="BR165" s="252"/>
      <c r="BS165" s="259"/>
      <c r="BT165" s="252"/>
      <c r="BU165" s="252"/>
      <c r="BV165" s="252"/>
      <c r="BW165" s="259"/>
      <c r="BX165" s="252"/>
      <c r="BY165" s="252"/>
      <c r="BZ165" s="252"/>
      <c r="CA165" s="259"/>
      <c r="CB165" s="252"/>
      <c r="CC165" s="252"/>
      <c r="CD165" s="252"/>
      <c r="CE165" s="259"/>
      <c r="CF165" s="252"/>
      <c r="CG165" s="252"/>
      <c r="CH165" s="252"/>
      <c r="CI165" s="259"/>
      <c r="CJ165" s="252"/>
      <c r="CK165" s="252"/>
      <c r="CL165" s="252"/>
      <c r="CM165" s="259"/>
      <c r="CN165" s="252"/>
      <c r="CO165" s="252"/>
      <c r="CP165" s="252"/>
      <c r="CQ165" s="259"/>
      <c r="CR165" s="252"/>
      <c r="CS165" s="252"/>
      <c r="CT165" s="255"/>
      <c r="CU165" s="173"/>
      <c r="CV165" s="173"/>
      <c r="CW165" s="173"/>
      <c r="CX165" s="173"/>
      <c r="CY165" s="173"/>
      <c r="CZ165" s="173"/>
      <c r="DA165" s="173"/>
      <c r="DB165" s="173"/>
      <c r="DC165" s="173"/>
      <c r="DD165" s="173"/>
      <c r="DE165" s="173"/>
      <c r="DF165" s="173"/>
    </row>
    <row r="166" spans="1:110" s="174" customFormat="1" x14ac:dyDescent="0.2">
      <c r="A166" s="190"/>
      <c r="B166" s="172"/>
      <c r="D166" s="169"/>
      <c r="E166" s="169"/>
      <c r="F166" s="169"/>
      <c r="G166" s="244"/>
      <c r="H166" s="169"/>
      <c r="I166" s="295"/>
      <c r="J166" s="295"/>
      <c r="K166" s="169"/>
      <c r="L166" s="169"/>
      <c r="M166" s="169"/>
      <c r="N166" s="169"/>
      <c r="O166" s="169"/>
      <c r="P166" s="169"/>
      <c r="Q166" s="185"/>
      <c r="R166" s="190"/>
      <c r="AS166" s="161"/>
      <c r="BF166" s="162"/>
      <c r="BG166" s="162"/>
      <c r="BH166" s="163"/>
      <c r="BI166" s="163"/>
      <c r="BJ166" s="161"/>
      <c r="BK166" s="288"/>
      <c r="BL166" s="164"/>
      <c r="BM166" s="173"/>
      <c r="BN166" s="252"/>
      <c r="BO166" s="259"/>
      <c r="BP166" s="252"/>
      <c r="BQ166" s="252"/>
      <c r="BR166" s="252"/>
      <c r="BS166" s="259"/>
      <c r="BT166" s="252"/>
      <c r="BU166" s="252"/>
      <c r="BV166" s="252"/>
      <c r="BW166" s="259"/>
      <c r="BX166" s="252"/>
      <c r="BY166" s="252"/>
      <c r="BZ166" s="252"/>
      <c r="CA166" s="259"/>
      <c r="CB166" s="252"/>
      <c r="CC166" s="252"/>
      <c r="CD166" s="252"/>
      <c r="CE166" s="259"/>
      <c r="CF166" s="252"/>
      <c r="CG166" s="252"/>
      <c r="CH166" s="252"/>
      <c r="CI166" s="259"/>
      <c r="CJ166" s="252"/>
      <c r="CK166" s="252"/>
      <c r="CL166" s="252"/>
      <c r="CM166" s="259"/>
      <c r="CN166" s="252"/>
      <c r="CO166" s="252"/>
      <c r="CP166" s="252"/>
      <c r="CQ166" s="259"/>
      <c r="CR166" s="252"/>
      <c r="CS166" s="252"/>
      <c r="CT166" s="255"/>
      <c r="CU166" s="173"/>
      <c r="CV166" s="173"/>
      <c r="CW166" s="173"/>
      <c r="CX166" s="173"/>
      <c r="CY166" s="173"/>
      <c r="CZ166" s="173"/>
      <c r="DA166" s="173"/>
      <c r="DB166" s="173"/>
      <c r="DC166" s="173"/>
      <c r="DD166" s="173"/>
      <c r="DE166" s="173"/>
      <c r="DF166" s="173"/>
    </row>
    <row r="167" spans="1:110" s="174" customFormat="1" x14ac:dyDescent="0.2">
      <c r="A167" s="190"/>
      <c r="B167" s="172"/>
      <c r="D167" s="169"/>
      <c r="E167" s="169"/>
      <c r="F167" s="169"/>
      <c r="G167" s="244"/>
      <c r="H167" s="169"/>
      <c r="I167" s="295"/>
      <c r="J167" s="295"/>
      <c r="K167" s="169"/>
      <c r="L167" s="169"/>
      <c r="M167" s="169"/>
      <c r="N167" s="169"/>
      <c r="O167" s="169"/>
      <c r="P167" s="169"/>
      <c r="Q167" s="185"/>
      <c r="R167" s="190"/>
      <c r="AS167" s="161"/>
      <c r="BF167" s="162"/>
      <c r="BG167" s="162"/>
      <c r="BH167" s="163"/>
      <c r="BI167" s="163"/>
      <c r="BJ167" s="161"/>
      <c r="BK167" s="288"/>
      <c r="BL167" s="164"/>
      <c r="BM167" s="173"/>
      <c r="BN167" s="252"/>
      <c r="BO167" s="259"/>
      <c r="BP167" s="252"/>
      <c r="BQ167" s="252"/>
      <c r="BR167" s="252"/>
      <c r="BS167" s="259"/>
      <c r="BT167" s="252"/>
      <c r="BU167" s="252"/>
      <c r="BV167" s="252"/>
      <c r="BW167" s="259"/>
      <c r="BX167" s="252"/>
      <c r="BY167" s="252"/>
      <c r="BZ167" s="252"/>
      <c r="CA167" s="259"/>
      <c r="CB167" s="252"/>
      <c r="CC167" s="252"/>
      <c r="CD167" s="252"/>
      <c r="CE167" s="259"/>
      <c r="CF167" s="252"/>
      <c r="CG167" s="252"/>
      <c r="CH167" s="252"/>
      <c r="CI167" s="259"/>
      <c r="CJ167" s="252"/>
      <c r="CK167" s="252"/>
      <c r="CL167" s="252"/>
      <c r="CM167" s="259"/>
      <c r="CN167" s="252"/>
      <c r="CO167" s="252"/>
      <c r="CP167" s="252"/>
      <c r="CQ167" s="259"/>
      <c r="CR167" s="252"/>
      <c r="CS167" s="252"/>
      <c r="CT167" s="255"/>
      <c r="CU167" s="173"/>
      <c r="CV167" s="173"/>
      <c r="CW167" s="173"/>
      <c r="CX167" s="173"/>
      <c r="CY167" s="173"/>
      <c r="CZ167" s="173"/>
      <c r="DA167" s="173"/>
      <c r="DB167" s="173"/>
      <c r="DC167" s="173"/>
      <c r="DD167" s="173"/>
      <c r="DE167" s="173"/>
      <c r="DF167" s="173"/>
    </row>
    <row r="168" spans="1:110" s="174" customFormat="1" x14ac:dyDescent="0.2">
      <c r="A168" s="190"/>
      <c r="B168" s="172"/>
      <c r="D168" s="169"/>
      <c r="E168" s="169"/>
      <c r="F168" s="169"/>
      <c r="G168" s="244"/>
      <c r="H168" s="169"/>
      <c r="I168" s="295"/>
      <c r="J168" s="295"/>
      <c r="K168" s="169"/>
      <c r="L168" s="169"/>
      <c r="M168" s="169"/>
      <c r="N168" s="169"/>
      <c r="O168" s="169"/>
      <c r="P168" s="169"/>
      <c r="Q168" s="185"/>
      <c r="R168" s="190"/>
      <c r="AS168" s="161"/>
      <c r="BF168" s="162"/>
      <c r="BG168" s="162"/>
      <c r="BH168" s="163"/>
      <c r="BI168" s="163"/>
      <c r="BJ168" s="161"/>
      <c r="BK168" s="288"/>
      <c r="BL168" s="164"/>
      <c r="BM168" s="173"/>
      <c r="BN168" s="252"/>
      <c r="BO168" s="259"/>
      <c r="BP168" s="252"/>
      <c r="BQ168" s="252"/>
      <c r="BR168" s="252"/>
      <c r="BS168" s="259"/>
      <c r="BT168" s="252"/>
      <c r="BU168" s="252"/>
      <c r="BV168" s="252"/>
      <c r="BW168" s="259"/>
      <c r="BX168" s="252"/>
      <c r="BY168" s="252"/>
      <c r="BZ168" s="252"/>
      <c r="CA168" s="259"/>
      <c r="CB168" s="252"/>
      <c r="CC168" s="252"/>
      <c r="CD168" s="252"/>
      <c r="CE168" s="259"/>
      <c r="CF168" s="252"/>
      <c r="CG168" s="252"/>
      <c r="CH168" s="252"/>
      <c r="CI168" s="259"/>
      <c r="CJ168" s="252"/>
      <c r="CK168" s="252"/>
      <c r="CL168" s="252"/>
      <c r="CM168" s="259"/>
      <c r="CN168" s="252"/>
      <c r="CO168" s="252"/>
      <c r="CP168" s="252"/>
      <c r="CQ168" s="259"/>
      <c r="CR168" s="252"/>
      <c r="CS168" s="252"/>
      <c r="CT168" s="255"/>
      <c r="CU168" s="173"/>
      <c r="CV168" s="173"/>
      <c r="CW168" s="173"/>
      <c r="CX168" s="173"/>
      <c r="CY168" s="173"/>
      <c r="CZ168" s="173"/>
      <c r="DA168" s="173"/>
      <c r="DB168" s="173"/>
      <c r="DC168" s="173"/>
      <c r="DD168" s="173"/>
      <c r="DE168" s="173"/>
      <c r="DF168" s="173"/>
    </row>
    <row r="169" spans="1:110" s="174" customFormat="1" x14ac:dyDescent="0.2">
      <c r="A169" s="190"/>
      <c r="B169" s="172"/>
      <c r="D169" s="169"/>
      <c r="E169" s="169"/>
      <c r="F169" s="169"/>
      <c r="G169" s="244"/>
      <c r="H169" s="169"/>
      <c r="I169" s="295"/>
      <c r="J169" s="295"/>
      <c r="K169" s="169"/>
      <c r="L169" s="169"/>
      <c r="M169" s="169"/>
      <c r="N169" s="169"/>
      <c r="O169" s="169"/>
      <c r="P169" s="169"/>
      <c r="Q169" s="185"/>
      <c r="R169" s="190"/>
      <c r="AS169" s="161"/>
      <c r="BF169" s="162"/>
      <c r="BG169" s="162"/>
      <c r="BH169" s="163"/>
      <c r="BI169" s="163"/>
      <c r="BJ169" s="161"/>
      <c r="BK169" s="288"/>
      <c r="BL169" s="164"/>
      <c r="BM169" s="173"/>
      <c r="BN169" s="252"/>
      <c r="BO169" s="259"/>
      <c r="BP169" s="252"/>
      <c r="BQ169" s="252"/>
      <c r="BR169" s="252"/>
      <c r="BS169" s="259"/>
      <c r="BT169" s="252"/>
      <c r="BU169" s="252"/>
      <c r="BV169" s="252"/>
      <c r="BW169" s="259"/>
      <c r="BX169" s="252"/>
      <c r="BY169" s="252"/>
      <c r="BZ169" s="252"/>
      <c r="CA169" s="259"/>
      <c r="CB169" s="252"/>
      <c r="CC169" s="252"/>
      <c r="CD169" s="252"/>
      <c r="CE169" s="259"/>
      <c r="CF169" s="252"/>
      <c r="CG169" s="252"/>
      <c r="CH169" s="252"/>
      <c r="CI169" s="259"/>
      <c r="CJ169" s="252"/>
      <c r="CK169" s="252"/>
      <c r="CL169" s="252"/>
      <c r="CM169" s="259"/>
      <c r="CN169" s="252"/>
      <c r="CO169" s="252"/>
      <c r="CP169" s="252"/>
      <c r="CQ169" s="259"/>
      <c r="CR169" s="252"/>
      <c r="CS169" s="252"/>
      <c r="CT169" s="255"/>
      <c r="CU169" s="173"/>
      <c r="CV169" s="173"/>
      <c r="CW169" s="173"/>
      <c r="CX169" s="173"/>
      <c r="CY169" s="173"/>
      <c r="CZ169" s="173"/>
      <c r="DA169" s="173"/>
      <c r="DB169" s="173"/>
      <c r="DC169" s="173"/>
      <c r="DD169" s="173"/>
      <c r="DE169" s="173"/>
      <c r="DF169" s="173"/>
    </row>
    <row r="170" spans="1:110" s="174" customFormat="1" x14ac:dyDescent="0.2">
      <c r="A170" s="190"/>
      <c r="B170" s="172"/>
      <c r="D170" s="169"/>
      <c r="E170" s="169"/>
      <c r="F170" s="169"/>
      <c r="G170" s="244"/>
      <c r="H170" s="169"/>
      <c r="I170" s="295"/>
      <c r="J170" s="295"/>
      <c r="K170" s="169"/>
      <c r="L170" s="169"/>
      <c r="M170" s="169"/>
      <c r="N170" s="169"/>
      <c r="O170" s="169"/>
      <c r="P170" s="169"/>
      <c r="Q170" s="185"/>
      <c r="R170" s="190"/>
      <c r="AS170" s="161"/>
      <c r="BF170" s="162"/>
      <c r="BG170" s="162"/>
      <c r="BH170" s="163"/>
      <c r="BI170" s="163"/>
      <c r="BJ170" s="161"/>
      <c r="BK170" s="288"/>
      <c r="BL170" s="164"/>
      <c r="BM170" s="173"/>
      <c r="BN170" s="252"/>
      <c r="BO170" s="259"/>
      <c r="BP170" s="252"/>
      <c r="BQ170" s="252"/>
      <c r="BR170" s="252"/>
      <c r="BS170" s="259"/>
      <c r="BT170" s="252"/>
      <c r="BU170" s="252"/>
      <c r="BV170" s="252"/>
      <c r="BW170" s="259"/>
      <c r="BX170" s="252"/>
      <c r="BY170" s="252"/>
      <c r="BZ170" s="252"/>
      <c r="CA170" s="259"/>
      <c r="CB170" s="252"/>
      <c r="CC170" s="252"/>
      <c r="CD170" s="252"/>
      <c r="CE170" s="259"/>
      <c r="CF170" s="252"/>
      <c r="CG170" s="252"/>
      <c r="CH170" s="252"/>
      <c r="CI170" s="259"/>
      <c r="CJ170" s="252"/>
      <c r="CK170" s="252"/>
      <c r="CL170" s="252"/>
      <c r="CM170" s="259"/>
      <c r="CN170" s="252"/>
      <c r="CO170" s="252"/>
      <c r="CP170" s="252"/>
      <c r="CQ170" s="259"/>
      <c r="CR170" s="252"/>
      <c r="CS170" s="252"/>
      <c r="CT170" s="255"/>
      <c r="CU170" s="173"/>
      <c r="CV170" s="173"/>
      <c r="CW170" s="173"/>
      <c r="CX170" s="173"/>
      <c r="CY170" s="173"/>
      <c r="CZ170" s="173"/>
      <c r="DA170" s="173"/>
      <c r="DB170" s="173"/>
      <c r="DC170" s="173"/>
      <c r="DD170" s="173"/>
      <c r="DE170" s="173"/>
      <c r="DF170" s="173"/>
    </row>
    <row r="171" spans="1:110" s="174" customFormat="1" x14ac:dyDescent="0.2">
      <c r="A171" s="190"/>
      <c r="B171" s="172"/>
      <c r="D171" s="169"/>
      <c r="E171" s="169"/>
      <c r="F171" s="169"/>
      <c r="G171" s="244"/>
      <c r="H171" s="169"/>
      <c r="I171" s="295"/>
      <c r="J171" s="295"/>
      <c r="K171" s="169"/>
      <c r="L171" s="169"/>
      <c r="M171" s="169"/>
      <c r="N171" s="169"/>
      <c r="O171" s="169"/>
      <c r="P171" s="169"/>
      <c r="Q171" s="185"/>
      <c r="R171" s="190"/>
      <c r="AS171" s="161"/>
      <c r="BF171" s="162"/>
      <c r="BG171" s="162"/>
      <c r="BH171" s="163"/>
      <c r="BI171" s="163"/>
      <c r="BJ171" s="161"/>
      <c r="BK171" s="288"/>
      <c r="BL171" s="164"/>
      <c r="BM171" s="173"/>
      <c r="BN171" s="252"/>
      <c r="BO171" s="259"/>
      <c r="BP171" s="252"/>
      <c r="BQ171" s="252"/>
      <c r="BR171" s="252"/>
      <c r="BS171" s="259"/>
      <c r="BT171" s="252"/>
      <c r="BU171" s="252"/>
      <c r="BV171" s="252"/>
      <c r="BW171" s="259"/>
      <c r="BX171" s="252"/>
      <c r="BY171" s="252"/>
      <c r="BZ171" s="252"/>
      <c r="CA171" s="259"/>
      <c r="CB171" s="252"/>
      <c r="CC171" s="252"/>
      <c r="CD171" s="252"/>
      <c r="CE171" s="259"/>
      <c r="CF171" s="252"/>
      <c r="CG171" s="252"/>
      <c r="CH171" s="252"/>
      <c r="CI171" s="259"/>
      <c r="CJ171" s="252"/>
      <c r="CK171" s="252"/>
      <c r="CL171" s="252"/>
      <c r="CM171" s="259"/>
      <c r="CN171" s="252"/>
      <c r="CO171" s="252"/>
      <c r="CP171" s="252"/>
      <c r="CQ171" s="259"/>
      <c r="CR171" s="252"/>
      <c r="CS171" s="252"/>
      <c r="CT171" s="255"/>
      <c r="CU171" s="173"/>
      <c r="CV171" s="173"/>
      <c r="CW171" s="173"/>
      <c r="CX171" s="173"/>
      <c r="CY171" s="173"/>
      <c r="CZ171" s="173"/>
      <c r="DA171" s="173"/>
      <c r="DB171" s="173"/>
      <c r="DC171" s="173"/>
      <c r="DD171" s="173"/>
      <c r="DE171" s="173"/>
      <c r="DF171" s="173"/>
    </row>
    <row r="172" spans="1:110" s="174" customFormat="1" x14ac:dyDescent="0.2">
      <c r="A172" s="190"/>
      <c r="B172" s="172"/>
      <c r="D172" s="169"/>
      <c r="E172" s="169"/>
      <c r="F172" s="169"/>
      <c r="G172" s="244"/>
      <c r="H172" s="169"/>
      <c r="I172" s="295"/>
      <c r="J172" s="295"/>
      <c r="K172" s="169"/>
      <c r="L172" s="169"/>
      <c r="M172" s="169"/>
      <c r="N172" s="169"/>
      <c r="O172" s="169"/>
      <c r="P172" s="169"/>
      <c r="Q172" s="185"/>
      <c r="R172" s="190"/>
      <c r="AS172" s="161"/>
      <c r="BF172" s="162"/>
      <c r="BG172" s="162"/>
      <c r="BH172" s="163"/>
      <c r="BI172" s="163"/>
      <c r="BJ172" s="161"/>
      <c r="BK172" s="288"/>
      <c r="BL172" s="164"/>
      <c r="BM172" s="173"/>
      <c r="BN172" s="252"/>
      <c r="BO172" s="259"/>
      <c r="BP172" s="252"/>
      <c r="BQ172" s="252"/>
      <c r="BR172" s="252"/>
      <c r="BS172" s="259"/>
      <c r="BT172" s="252"/>
      <c r="BU172" s="252"/>
      <c r="BV172" s="252"/>
      <c r="BW172" s="259"/>
      <c r="BX172" s="252"/>
      <c r="BY172" s="252"/>
      <c r="BZ172" s="252"/>
      <c r="CA172" s="259"/>
      <c r="CB172" s="252"/>
      <c r="CC172" s="252"/>
      <c r="CD172" s="252"/>
      <c r="CE172" s="259"/>
      <c r="CF172" s="252"/>
      <c r="CG172" s="252"/>
      <c r="CH172" s="252"/>
      <c r="CI172" s="259"/>
      <c r="CJ172" s="252"/>
      <c r="CK172" s="252"/>
      <c r="CL172" s="252"/>
      <c r="CM172" s="259"/>
      <c r="CN172" s="252"/>
      <c r="CO172" s="252"/>
      <c r="CP172" s="252"/>
      <c r="CQ172" s="259"/>
      <c r="CR172" s="252"/>
      <c r="CS172" s="252"/>
      <c r="CT172" s="255"/>
      <c r="CU172" s="173"/>
      <c r="CV172" s="173"/>
      <c r="CW172" s="173"/>
      <c r="CX172" s="173"/>
      <c r="CY172" s="173"/>
      <c r="CZ172" s="173"/>
      <c r="DA172" s="173"/>
      <c r="DB172" s="173"/>
      <c r="DC172" s="173"/>
      <c r="DD172" s="173"/>
      <c r="DE172" s="173"/>
      <c r="DF172" s="173"/>
    </row>
    <row r="173" spans="1:110" s="174" customFormat="1" x14ac:dyDescent="0.2">
      <c r="A173" s="190"/>
      <c r="B173" s="172"/>
      <c r="D173" s="169"/>
      <c r="E173" s="169"/>
      <c r="F173" s="169"/>
      <c r="G173" s="244"/>
      <c r="H173" s="169"/>
      <c r="I173" s="295"/>
      <c r="J173" s="295"/>
      <c r="K173" s="169"/>
      <c r="L173" s="169"/>
      <c r="M173" s="169"/>
      <c r="N173" s="169"/>
      <c r="O173" s="169"/>
      <c r="P173" s="169"/>
      <c r="Q173" s="185"/>
      <c r="R173" s="190"/>
      <c r="AS173" s="161"/>
      <c r="BF173" s="162"/>
      <c r="BG173" s="162"/>
      <c r="BH173" s="163"/>
      <c r="BI173" s="163"/>
      <c r="BJ173" s="161"/>
      <c r="BK173" s="288"/>
      <c r="BL173" s="164"/>
      <c r="BM173" s="173"/>
      <c r="BN173" s="252"/>
      <c r="BO173" s="259"/>
      <c r="BP173" s="252"/>
      <c r="BQ173" s="252"/>
      <c r="BR173" s="252"/>
      <c r="BS173" s="259"/>
      <c r="BT173" s="252"/>
      <c r="BU173" s="252"/>
      <c r="BV173" s="252"/>
      <c r="BW173" s="259"/>
      <c r="BX173" s="252"/>
      <c r="BY173" s="252"/>
      <c r="BZ173" s="252"/>
      <c r="CA173" s="259"/>
      <c r="CB173" s="252"/>
      <c r="CC173" s="252"/>
      <c r="CD173" s="252"/>
      <c r="CE173" s="259"/>
      <c r="CF173" s="252"/>
      <c r="CG173" s="252"/>
      <c r="CH173" s="252"/>
      <c r="CI173" s="259"/>
      <c r="CJ173" s="252"/>
      <c r="CK173" s="252"/>
      <c r="CL173" s="252"/>
      <c r="CM173" s="259"/>
      <c r="CN173" s="252"/>
      <c r="CO173" s="252"/>
      <c r="CP173" s="252"/>
      <c r="CQ173" s="259"/>
      <c r="CR173" s="252"/>
      <c r="CS173" s="252"/>
      <c r="CT173" s="255"/>
      <c r="CU173" s="173"/>
      <c r="CV173" s="173"/>
      <c r="CW173" s="173"/>
      <c r="CX173" s="173"/>
      <c r="CY173" s="173"/>
      <c r="CZ173" s="173"/>
      <c r="DA173" s="173"/>
      <c r="DB173" s="173"/>
      <c r="DC173" s="173"/>
      <c r="DD173" s="173"/>
      <c r="DE173" s="173"/>
      <c r="DF173" s="173"/>
    </row>
    <row r="174" spans="1:110" s="174" customFormat="1" x14ac:dyDescent="0.2">
      <c r="A174" s="190"/>
      <c r="B174" s="172"/>
      <c r="D174" s="169"/>
      <c r="E174" s="169"/>
      <c r="F174" s="169"/>
      <c r="G174" s="244"/>
      <c r="H174" s="169"/>
      <c r="I174" s="295"/>
      <c r="J174" s="295"/>
      <c r="K174" s="169"/>
      <c r="L174" s="169"/>
      <c r="M174" s="169"/>
      <c r="N174" s="169"/>
      <c r="O174" s="169"/>
      <c r="P174" s="169"/>
      <c r="Q174" s="185"/>
      <c r="R174" s="190"/>
      <c r="AS174" s="161"/>
      <c r="BF174" s="162"/>
      <c r="BG174" s="162"/>
      <c r="BH174" s="163"/>
      <c r="BI174" s="163"/>
      <c r="BJ174" s="161"/>
      <c r="BK174" s="288"/>
      <c r="BL174" s="164"/>
      <c r="BM174" s="173"/>
      <c r="BN174" s="252"/>
      <c r="BO174" s="259"/>
      <c r="BP174" s="252"/>
      <c r="BQ174" s="252"/>
      <c r="BR174" s="252"/>
      <c r="BS174" s="259"/>
      <c r="BT174" s="252"/>
      <c r="BU174" s="252"/>
      <c r="BV174" s="252"/>
      <c r="BW174" s="259"/>
      <c r="BX174" s="252"/>
      <c r="BY174" s="252"/>
      <c r="BZ174" s="252"/>
      <c r="CA174" s="259"/>
      <c r="CB174" s="252"/>
      <c r="CC174" s="252"/>
      <c r="CD174" s="252"/>
      <c r="CE174" s="259"/>
      <c r="CF174" s="252"/>
      <c r="CG174" s="252"/>
      <c r="CH174" s="252"/>
      <c r="CI174" s="259"/>
      <c r="CJ174" s="252"/>
      <c r="CK174" s="252"/>
      <c r="CL174" s="252"/>
      <c r="CM174" s="259"/>
      <c r="CN174" s="252"/>
      <c r="CO174" s="252"/>
      <c r="CP174" s="252"/>
      <c r="CQ174" s="259"/>
      <c r="CR174" s="252"/>
      <c r="CS174" s="252"/>
      <c r="CT174" s="255"/>
      <c r="CU174" s="173"/>
      <c r="CV174" s="173"/>
      <c r="CW174" s="173"/>
      <c r="CX174" s="173"/>
      <c r="CY174" s="173"/>
      <c r="CZ174" s="173"/>
      <c r="DA174" s="173"/>
      <c r="DB174" s="173"/>
      <c r="DC174" s="173"/>
      <c r="DD174" s="173"/>
      <c r="DE174" s="173"/>
      <c r="DF174" s="173"/>
    </row>
    <row r="175" spans="1:110" s="174" customFormat="1" x14ac:dyDescent="0.2">
      <c r="A175" s="190"/>
      <c r="B175" s="172"/>
      <c r="D175" s="169"/>
      <c r="E175" s="169"/>
      <c r="F175" s="169"/>
      <c r="G175" s="244"/>
      <c r="H175" s="169"/>
      <c r="I175" s="295"/>
      <c r="J175" s="295"/>
      <c r="K175" s="169"/>
      <c r="L175" s="169"/>
      <c r="M175" s="169"/>
      <c r="N175" s="169"/>
      <c r="O175" s="169"/>
      <c r="P175" s="169"/>
      <c r="Q175" s="185"/>
      <c r="R175" s="190"/>
      <c r="AS175" s="161"/>
      <c r="BF175" s="162"/>
      <c r="BG175" s="162"/>
      <c r="BH175" s="163"/>
      <c r="BI175" s="163"/>
      <c r="BJ175" s="161"/>
      <c r="BK175" s="288"/>
      <c r="BL175" s="164"/>
      <c r="BM175" s="173"/>
      <c r="BN175" s="252"/>
      <c r="BO175" s="259"/>
      <c r="BP175" s="252"/>
      <c r="BQ175" s="252"/>
      <c r="BR175" s="252"/>
      <c r="BS175" s="259"/>
      <c r="BT175" s="252"/>
      <c r="BU175" s="252"/>
      <c r="BV175" s="252"/>
      <c r="BW175" s="259"/>
      <c r="BX175" s="252"/>
      <c r="BY175" s="252"/>
      <c r="BZ175" s="252"/>
      <c r="CA175" s="259"/>
      <c r="CB175" s="252"/>
      <c r="CC175" s="252"/>
      <c r="CD175" s="252"/>
      <c r="CE175" s="259"/>
      <c r="CF175" s="252"/>
      <c r="CG175" s="252"/>
      <c r="CH175" s="252"/>
      <c r="CI175" s="259"/>
      <c r="CJ175" s="252"/>
      <c r="CK175" s="252"/>
      <c r="CL175" s="252"/>
      <c r="CM175" s="259"/>
      <c r="CN175" s="252"/>
      <c r="CO175" s="252"/>
      <c r="CP175" s="252"/>
      <c r="CQ175" s="259"/>
      <c r="CR175" s="252"/>
      <c r="CS175" s="252"/>
      <c r="CT175" s="255"/>
      <c r="CU175" s="173"/>
      <c r="CV175" s="173"/>
      <c r="CW175" s="173"/>
      <c r="CX175" s="173"/>
      <c r="CY175" s="173"/>
      <c r="CZ175" s="173"/>
      <c r="DA175" s="173"/>
      <c r="DB175" s="173"/>
      <c r="DC175" s="173"/>
      <c r="DD175" s="173"/>
      <c r="DE175" s="173"/>
      <c r="DF175" s="173"/>
    </row>
    <row r="176" spans="1:110" s="174" customFormat="1" x14ac:dyDescent="0.2">
      <c r="A176" s="190"/>
      <c r="B176" s="172"/>
      <c r="D176" s="169"/>
      <c r="E176" s="169"/>
      <c r="F176" s="169"/>
      <c r="G176" s="244"/>
      <c r="H176" s="169"/>
      <c r="I176" s="295"/>
      <c r="J176" s="295"/>
      <c r="K176" s="169"/>
      <c r="L176" s="169"/>
      <c r="M176" s="169"/>
      <c r="N176" s="169"/>
      <c r="O176" s="169"/>
      <c r="P176" s="169"/>
      <c r="Q176" s="185"/>
      <c r="R176" s="190"/>
      <c r="AS176" s="161"/>
      <c r="BF176" s="162"/>
      <c r="BG176" s="162"/>
      <c r="BH176" s="163"/>
      <c r="BI176" s="163"/>
      <c r="BJ176" s="161"/>
      <c r="BK176" s="288"/>
      <c r="BL176" s="164"/>
      <c r="BM176" s="173"/>
      <c r="BN176" s="252"/>
      <c r="BO176" s="259"/>
      <c r="BP176" s="252"/>
      <c r="BQ176" s="252"/>
      <c r="BR176" s="252"/>
      <c r="BS176" s="259"/>
      <c r="BT176" s="252"/>
      <c r="BU176" s="252"/>
      <c r="BV176" s="252"/>
      <c r="BW176" s="259"/>
      <c r="BX176" s="252"/>
      <c r="BY176" s="252"/>
      <c r="BZ176" s="252"/>
      <c r="CA176" s="259"/>
      <c r="CB176" s="252"/>
      <c r="CC176" s="252"/>
      <c r="CD176" s="252"/>
      <c r="CE176" s="259"/>
      <c r="CF176" s="252"/>
      <c r="CG176" s="252"/>
      <c r="CH176" s="252"/>
      <c r="CI176" s="259"/>
      <c r="CJ176" s="252"/>
      <c r="CK176" s="252"/>
      <c r="CL176" s="252"/>
      <c r="CM176" s="259"/>
      <c r="CN176" s="252"/>
      <c r="CO176" s="252"/>
      <c r="CP176" s="252"/>
      <c r="CQ176" s="259"/>
      <c r="CR176" s="252"/>
      <c r="CS176" s="252"/>
      <c r="CT176" s="255"/>
      <c r="CU176" s="173"/>
      <c r="CV176" s="173"/>
      <c r="CW176" s="173"/>
      <c r="CX176" s="173"/>
      <c r="CY176" s="173"/>
      <c r="CZ176" s="173"/>
      <c r="DA176" s="173"/>
      <c r="DB176" s="173"/>
      <c r="DC176" s="173"/>
      <c r="DD176" s="173"/>
      <c r="DE176" s="173"/>
      <c r="DF176" s="173"/>
    </row>
    <row r="177" spans="1:110" s="174" customFormat="1" x14ac:dyDescent="0.2">
      <c r="A177" s="190"/>
      <c r="B177" s="172"/>
      <c r="D177" s="169"/>
      <c r="E177" s="169"/>
      <c r="F177" s="169"/>
      <c r="G177" s="244"/>
      <c r="H177" s="169"/>
      <c r="I177" s="295"/>
      <c r="J177" s="295"/>
      <c r="K177" s="169"/>
      <c r="L177" s="169"/>
      <c r="M177" s="169"/>
      <c r="N177" s="169"/>
      <c r="O177" s="169"/>
      <c r="P177" s="169"/>
      <c r="Q177" s="185"/>
      <c r="R177" s="190"/>
      <c r="AS177" s="161"/>
      <c r="BF177" s="162"/>
      <c r="BG177" s="162"/>
      <c r="BH177" s="163"/>
      <c r="BI177" s="163"/>
      <c r="BJ177" s="161"/>
      <c r="BK177" s="288"/>
      <c r="BL177" s="164"/>
      <c r="BM177" s="173"/>
      <c r="BN177" s="252"/>
      <c r="BO177" s="259"/>
      <c r="BP177" s="252"/>
      <c r="BQ177" s="252"/>
      <c r="BR177" s="252"/>
      <c r="BS177" s="259"/>
      <c r="BT177" s="252"/>
      <c r="BU177" s="252"/>
      <c r="BV177" s="252"/>
      <c r="BW177" s="259"/>
      <c r="BX177" s="252"/>
      <c r="BY177" s="252"/>
      <c r="BZ177" s="252"/>
      <c r="CA177" s="259"/>
      <c r="CB177" s="252"/>
      <c r="CC177" s="252"/>
      <c r="CD177" s="252"/>
      <c r="CE177" s="259"/>
      <c r="CF177" s="252"/>
      <c r="CG177" s="252"/>
      <c r="CH177" s="252"/>
      <c r="CI177" s="259"/>
      <c r="CJ177" s="252"/>
      <c r="CK177" s="252"/>
      <c r="CL177" s="252"/>
      <c r="CM177" s="259"/>
      <c r="CN177" s="252"/>
      <c r="CO177" s="252"/>
      <c r="CP177" s="252"/>
      <c r="CQ177" s="259"/>
      <c r="CR177" s="252"/>
      <c r="CS177" s="252"/>
      <c r="CT177" s="255"/>
      <c r="CU177" s="173"/>
      <c r="CV177" s="173"/>
      <c r="CW177" s="173"/>
      <c r="CX177" s="173"/>
      <c r="CY177" s="173"/>
      <c r="CZ177" s="173"/>
      <c r="DA177" s="173"/>
      <c r="DB177" s="173"/>
      <c r="DC177" s="173"/>
      <c r="DD177" s="173"/>
      <c r="DE177" s="173"/>
      <c r="DF177" s="173"/>
    </row>
    <row r="178" spans="1:110" s="174" customFormat="1" x14ac:dyDescent="0.2">
      <c r="A178" s="190"/>
      <c r="B178" s="172"/>
      <c r="D178" s="169"/>
      <c r="E178" s="169"/>
      <c r="F178" s="169"/>
      <c r="G178" s="244"/>
      <c r="H178" s="169"/>
      <c r="I178" s="295"/>
      <c r="J178" s="295"/>
      <c r="K178" s="169"/>
      <c r="L178" s="169"/>
      <c r="M178" s="169"/>
      <c r="N178" s="169"/>
      <c r="O178" s="169"/>
      <c r="P178" s="169"/>
      <c r="Q178" s="185"/>
      <c r="R178" s="190"/>
      <c r="AS178" s="161"/>
      <c r="BF178" s="162"/>
      <c r="BG178" s="162"/>
      <c r="BH178" s="163"/>
      <c r="BI178" s="163"/>
      <c r="BJ178" s="161"/>
      <c r="BK178" s="288"/>
      <c r="BL178" s="164"/>
      <c r="BM178" s="173"/>
      <c r="BN178" s="252"/>
      <c r="BO178" s="259"/>
      <c r="BP178" s="252"/>
      <c r="BQ178" s="252"/>
      <c r="BR178" s="252"/>
      <c r="BS178" s="259"/>
      <c r="BT178" s="252"/>
      <c r="BU178" s="252"/>
      <c r="BV178" s="252"/>
      <c r="BW178" s="259"/>
      <c r="BX178" s="252"/>
      <c r="BY178" s="252"/>
      <c r="BZ178" s="252"/>
      <c r="CA178" s="259"/>
      <c r="CB178" s="252"/>
      <c r="CC178" s="252"/>
      <c r="CD178" s="252"/>
      <c r="CE178" s="259"/>
      <c r="CF178" s="252"/>
      <c r="CG178" s="252"/>
      <c r="CH178" s="252"/>
      <c r="CI178" s="259"/>
      <c r="CJ178" s="252"/>
      <c r="CK178" s="252"/>
      <c r="CL178" s="252"/>
      <c r="CM178" s="259"/>
      <c r="CN178" s="252"/>
      <c r="CO178" s="252"/>
      <c r="CP178" s="252"/>
      <c r="CQ178" s="259"/>
      <c r="CR178" s="252"/>
      <c r="CS178" s="252"/>
      <c r="CT178" s="255"/>
      <c r="CU178" s="173"/>
      <c r="CV178" s="173"/>
      <c r="CW178" s="173"/>
      <c r="CX178" s="173"/>
      <c r="CY178" s="173"/>
      <c r="CZ178" s="173"/>
      <c r="DA178" s="173"/>
      <c r="DB178" s="173"/>
      <c r="DC178" s="173"/>
      <c r="DD178" s="173"/>
      <c r="DE178" s="173"/>
      <c r="DF178" s="173"/>
    </row>
    <row r="179" spans="1:110" s="174" customFormat="1" x14ac:dyDescent="0.2">
      <c r="A179" s="190"/>
      <c r="B179" s="172"/>
      <c r="D179" s="169"/>
      <c r="E179" s="169"/>
      <c r="F179" s="169"/>
      <c r="G179" s="244"/>
      <c r="H179" s="169"/>
      <c r="I179" s="295"/>
      <c r="J179" s="295"/>
      <c r="K179" s="169"/>
      <c r="L179" s="169"/>
      <c r="M179" s="169"/>
      <c r="N179" s="169"/>
      <c r="O179" s="169"/>
      <c r="P179" s="169"/>
      <c r="Q179" s="185"/>
      <c r="R179" s="190"/>
      <c r="AS179" s="161"/>
      <c r="BF179" s="162"/>
      <c r="BG179" s="162"/>
      <c r="BH179" s="163"/>
      <c r="BI179" s="163"/>
      <c r="BJ179" s="161"/>
      <c r="BK179" s="288"/>
      <c r="BL179" s="164"/>
      <c r="BM179" s="173"/>
      <c r="BN179" s="252"/>
      <c r="BO179" s="259"/>
      <c r="BP179" s="252"/>
      <c r="BQ179" s="252"/>
      <c r="BR179" s="252"/>
      <c r="BS179" s="259"/>
      <c r="BT179" s="252"/>
      <c r="BU179" s="252"/>
      <c r="BV179" s="252"/>
      <c r="BW179" s="259"/>
      <c r="BX179" s="252"/>
      <c r="BY179" s="252"/>
      <c r="BZ179" s="252"/>
      <c r="CA179" s="259"/>
      <c r="CB179" s="252"/>
      <c r="CC179" s="252"/>
      <c r="CD179" s="252"/>
      <c r="CE179" s="259"/>
      <c r="CF179" s="252"/>
      <c r="CG179" s="252"/>
      <c r="CH179" s="252"/>
      <c r="CI179" s="259"/>
      <c r="CJ179" s="252"/>
      <c r="CK179" s="252"/>
      <c r="CL179" s="252"/>
      <c r="CM179" s="259"/>
      <c r="CN179" s="252"/>
      <c r="CO179" s="252"/>
      <c r="CP179" s="252"/>
      <c r="CQ179" s="259"/>
      <c r="CR179" s="252"/>
      <c r="CS179" s="252"/>
      <c r="CT179" s="255"/>
      <c r="CU179" s="173"/>
      <c r="CV179" s="173"/>
      <c r="CW179" s="173"/>
      <c r="CX179" s="173"/>
      <c r="CY179" s="173"/>
      <c r="CZ179" s="173"/>
      <c r="DA179" s="173"/>
      <c r="DB179" s="173"/>
      <c r="DC179" s="173"/>
      <c r="DD179" s="173"/>
      <c r="DE179" s="173"/>
      <c r="DF179" s="173"/>
    </row>
    <row r="180" spans="1:110" s="174" customFormat="1" x14ac:dyDescent="0.2">
      <c r="A180" s="190"/>
      <c r="B180" s="172"/>
      <c r="D180" s="169"/>
      <c r="E180" s="169"/>
      <c r="F180" s="169"/>
      <c r="G180" s="244"/>
      <c r="H180" s="169"/>
      <c r="I180" s="295"/>
      <c r="J180" s="295"/>
      <c r="K180" s="169"/>
      <c r="L180" s="169"/>
      <c r="M180" s="169"/>
      <c r="N180" s="169"/>
      <c r="O180" s="169"/>
      <c r="P180" s="169"/>
      <c r="Q180" s="185"/>
      <c r="R180" s="190"/>
      <c r="AS180" s="161"/>
      <c r="BF180" s="162"/>
      <c r="BG180" s="162"/>
      <c r="BH180" s="163"/>
      <c r="BI180" s="163"/>
      <c r="BJ180" s="161"/>
      <c r="BK180" s="288"/>
      <c r="BL180" s="164"/>
      <c r="BM180" s="173"/>
      <c r="BN180" s="252"/>
      <c r="BO180" s="259"/>
      <c r="BP180" s="252"/>
      <c r="BQ180" s="252"/>
      <c r="BR180" s="252"/>
      <c r="BS180" s="259"/>
      <c r="BT180" s="252"/>
      <c r="BU180" s="252"/>
      <c r="BV180" s="252"/>
      <c r="BW180" s="259"/>
      <c r="BX180" s="252"/>
      <c r="BY180" s="252"/>
      <c r="BZ180" s="252"/>
      <c r="CA180" s="259"/>
      <c r="CB180" s="252"/>
      <c r="CC180" s="252"/>
      <c r="CD180" s="252"/>
      <c r="CE180" s="259"/>
      <c r="CF180" s="252"/>
      <c r="CG180" s="252"/>
      <c r="CH180" s="252"/>
      <c r="CI180" s="259"/>
      <c r="CJ180" s="252"/>
      <c r="CK180" s="252"/>
      <c r="CL180" s="252"/>
      <c r="CM180" s="259"/>
      <c r="CN180" s="252"/>
      <c r="CO180" s="252"/>
      <c r="CP180" s="252"/>
      <c r="CQ180" s="259"/>
      <c r="CR180" s="252"/>
      <c r="CS180" s="252"/>
      <c r="CT180" s="255"/>
      <c r="CU180" s="173"/>
      <c r="CV180" s="173"/>
      <c r="CW180" s="173"/>
      <c r="CX180" s="173"/>
      <c r="CY180" s="173"/>
      <c r="CZ180" s="173"/>
      <c r="DA180" s="173"/>
      <c r="DB180" s="173"/>
      <c r="DC180" s="173"/>
      <c r="DD180" s="173"/>
      <c r="DE180" s="173"/>
      <c r="DF180" s="173"/>
    </row>
    <row r="181" spans="1:110" s="174" customFormat="1" x14ac:dyDescent="0.2">
      <c r="A181" s="190"/>
      <c r="B181" s="172"/>
      <c r="D181" s="169"/>
      <c r="E181" s="169"/>
      <c r="F181" s="169"/>
      <c r="G181" s="244"/>
      <c r="H181" s="169"/>
      <c r="I181" s="295"/>
      <c r="J181" s="295"/>
      <c r="K181" s="169"/>
      <c r="L181" s="169"/>
      <c r="M181" s="169"/>
      <c r="N181" s="169"/>
      <c r="O181" s="169"/>
      <c r="P181" s="169"/>
      <c r="Q181" s="185"/>
      <c r="R181" s="190"/>
      <c r="AS181" s="161"/>
      <c r="BF181" s="162"/>
      <c r="BG181" s="162"/>
      <c r="BH181" s="163"/>
      <c r="BI181" s="163"/>
      <c r="BJ181" s="161"/>
      <c r="BK181" s="288"/>
      <c r="BL181" s="164"/>
      <c r="BM181" s="173"/>
      <c r="BN181" s="252"/>
      <c r="BO181" s="259"/>
      <c r="BP181" s="252"/>
      <c r="BQ181" s="252"/>
      <c r="BR181" s="252"/>
      <c r="BS181" s="259"/>
      <c r="BT181" s="252"/>
      <c r="BU181" s="252"/>
      <c r="BV181" s="252"/>
      <c r="BW181" s="259"/>
      <c r="BX181" s="252"/>
      <c r="BY181" s="252"/>
      <c r="BZ181" s="252"/>
      <c r="CA181" s="259"/>
      <c r="CB181" s="252"/>
      <c r="CC181" s="252"/>
      <c r="CD181" s="252"/>
      <c r="CE181" s="259"/>
      <c r="CF181" s="252"/>
      <c r="CG181" s="252"/>
      <c r="CH181" s="252"/>
      <c r="CI181" s="259"/>
      <c r="CJ181" s="252"/>
      <c r="CK181" s="252"/>
      <c r="CL181" s="252"/>
      <c r="CM181" s="259"/>
      <c r="CN181" s="252"/>
      <c r="CO181" s="252"/>
      <c r="CP181" s="252"/>
      <c r="CQ181" s="259"/>
      <c r="CR181" s="252"/>
      <c r="CS181" s="252"/>
      <c r="CT181" s="255"/>
      <c r="CU181" s="173"/>
      <c r="CV181" s="173"/>
      <c r="CW181" s="173"/>
      <c r="CX181" s="173"/>
      <c r="CY181" s="173"/>
      <c r="CZ181" s="173"/>
      <c r="DA181" s="173"/>
      <c r="DB181" s="173"/>
      <c r="DC181" s="173"/>
      <c r="DD181" s="173"/>
      <c r="DE181" s="173"/>
      <c r="DF181" s="173"/>
    </row>
    <row r="182" spans="1:110" s="174" customFormat="1" x14ac:dyDescent="0.2">
      <c r="A182" s="190"/>
      <c r="B182" s="172"/>
      <c r="D182" s="169"/>
      <c r="E182" s="169"/>
      <c r="F182" s="169"/>
      <c r="G182" s="244"/>
      <c r="H182" s="169"/>
      <c r="I182" s="295"/>
      <c r="J182" s="295"/>
      <c r="K182" s="169"/>
      <c r="L182" s="169"/>
      <c r="M182" s="169"/>
      <c r="N182" s="169"/>
      <c r="O182" s="169"/>
      <c r="P182" s="169"/>
      <c r="Q182" s="185"/>
      <c r="R182" s="190"/>
      <c r="AS182" s="161"/>
      <c r="BF182" s="162"/>
      <c r="BG182" s="162"/>
      <c r="BH182" s="163"/>
      <c r="BI182" s="163"/>
      <c r="BJ182" s="161"/>
      <c r="BK182" s="288"/>
      <c r="BL182" s="164"/>
      <c r="BM182" s="173"/>
      <c r="BN182" s="252"/>
      <c r="BO182" s="259"/>
      <c r="BP182" s="252"/>
      <c r="BQ182" s="252"/>
      <c r="BR182" s="252"/>
      <c r="BS182" s="259"/>
      <c r="BT182" s="252"/>
      <c r="BU182" s="252"/>
      <c r="BV182" s="252"/>
      <c r="BW182" s="259"/>
      <c r="BX182" s="252"/>
      <c r="BY182" s="252"/>
      <c r="BZ182" s="252"/>
      <c r="CA182" s="259"/>
      <c r="CB182" s="252"/>
      <c r="CC182" s="252"/>
      <c r="CD182" s="252"/>
      <c r="CE182" s="259"/>
      <c r="CF182" s="252"/>
      <c r="CG182" s="252"/>
      <c r="CH182" s="252"/>
      <c r="CI182" s="259"/>
      <c r="CJ182" s="252"/>
      <c r="CK182" s="252"/>
      <c r="CL182" s="252"/>
      <c r="CM182" s="259"/>
      <c r="CN182" s="252"/>
      <c r="CO182" s="252"/>
      <c r="CP182" s="252"/>
      <c r="CQ182" s="259"/>
      <c r="CR182" s="252"/>
      <c r="CS182" s="252"/>
      <c r="CT182" s="255"/>
      <c r="CU182" s="173"/>
      <c r="CV182" s="173"/>
      <c r="CW182" s="173"/>
      <c r="CX182" s="173"/>
      <c r="CY182" s="173"/>
      <c r="CZ182" s="173"/>
      <c r="DA182" s="173"/>
      <c r="DB182" s="173"/>
      <c r="DC182" s="173"/>
      <c r="DD182" s="173"/>
      <c r="DE182" s="173"/>
      <c r="DF182" s="173"/>
    </row>
    <row r="183" spans="1:110" s="174" customFormat="1" x14ac:dyDescent="0.2">
      <c r="A183" s="190"/>
      <c r="B183" s="172"/>
      <c r="D183" s="169"/>
      <c r="E183" s="169"/>
      <c r="F183" s="169"/>
      <c r="G183" s="244"/>
      <c r="H183" s="169"/>
      <c r="I183" s="295"/>
      <c r="J183" s="295"/>
      <c r="K183" s="169"/>
      <c r="L183" s="169"/>
      <c r="M183" s="169"/>
      <c r="N183" s="169"/>
      <c r="O183" s="169"/>
      <c r="P183" s="169"/>
      <c r="Q183" s="185"/>
      <c r="R183" s="190"/>
      <c r="AS183" s="161"/>
      <c r="BF183" s="162"/>
      <c r="BG183" s="162"/>
      <c r="BH183" s="163"/>
      <c r="BI183" s="163"/>
      <c r="BJ183" s="161"/>
      <c r="BK183" s="288"/>
      <c r="BL183" s="164"/>
      <c r="BM183" s="173"/>
      <c r="BN183" s="252"/>
      <c r="BO183" s="259"/>
      <c r="BP183" s="252"/>
      <c r="BQ183" s="252"/>
      <c r="BR183" s="252"/>
      <c r="BS183" s="259"/>
      <c r="BT183" s="252"/>
      <c r="BU183" s="252"/>
      <c r="BV183" s="252"/>
      <c r="BW183" s="259"/>
      <c r="BX183" s="252"/>
      <c r="BY183" s="252"/>
      <c r="BZ183" s="252"/>
      <c r="CA183" s="259"/>
      <c r="CB183" s="252"/>
      <c r="CC183" s="252"/>
      <c r="CD183" s="252"/>
      <c r="CE183" s="259"/>
      <c r="CF183" s="252"/>
      <c r="CG183" s="252"/>
      <c r="CH183" s="252"/>
      <c r="CI183" s="259"/>
      <c r="CJ183" s="252"/>
      <c r="CK183" s="252"/>
      <c r="CL183" s="252"/>
      <c r="CM183" s="259"/>
      <c r="CN183" s="252"/>
      <c r="CO183" s="252"/>
      <c r="CP183" s="252"/>
      <c r="CQ183" s="259"/>
      <c r="CR183" s="252"/>
      <c r="CS183" s="252"/>
      <c r="CT183" s="255"/>
      <c r="CU183" s="173"/>
      <c r="CV183" s="173"/>
      <c r="CW183" s="173"/>
      <c r="CX183" s="173"/>
      <c r="CY183" s="173"/>
      <c r="CZ183" s="173"/>
      <c r="DA183" s="173"/>
      <c r="DB183" s="173"/>
      <c r="DC183" s="173"/>
      <c r="DD183" s="173"/>
      <c r="DE183" s="173"/>
      <c r="DF183" s="173"/>
    </row>
    <row r="184" spans="1:110" s="174" customFormat="1" x14ac:dyDescent="0.2">
      <c r="A184" s="190"/>
      <c r="B184" s="172"/>
      <c r="D184" s="169"/>
      <c r="E184" s="169"/>
      <c r="F184" s="169"/>
      <c r="G184" s="244"/>
      <c r="H184" s="169"/>
      <c r="I184" s="295"/>
      <c r="J184" s="295"/>
      <c r="K184" s="169"/>
      <c r="L184" s="169"/>
      <c r="M184" s="169"/>
      <c r="N184" s="169"/>
      <c r="O184" s="169"/>
      <c r="P184" s="169"/>
      <c r="Q184" s="185"/>
      <c r="R184" s="190"/>
      <c r="AS184" s="161"/>
      <c r="BF184" s="162"/>
      <c r="BG184" s="162"/>
      <c r="BH184" s="163"/>
      <c r="BI184" s="163"/>
      <c r="BJ184" s="161"/>
      <c r="BK184" s="288"/>
      <c r="BL184" s="164"/>
      <c r="BM184" s="173"/>
      <c r="BN184" s="252"/>
      <c r="BO184" s="259"/>
      <c r="BP184" s="252"/>
      <c r="BQ184" s="252"/>
      <c r="BR184" s="252"/>
      <c r="BS184" s="259"/>
      <c r="BT184" s="252"/>
      <c r="BU184" s="252"/>
      <c r="BV184" s="252"/>
      <c r="BW184" s="259"/>
      <c r="BX184" s="252"/>
      <c r="BY184" s="252"/>
      <c r="BZ184" s="252"/>
      <c r="CA184" s="259"/>
      <c r="CB184" s="252"/>
      <c r="CC184" s="252"/>
      <c r="CD184" s="252"/>
      <c r="CE184" s="259"/>
      <c r="CF184" s="252"/>
      <c r="CG184" s="252"/>
      <c r="CH184" s="252"/>
      <c r="CI184" s="259"/>
      <c r="CJ184" s="252"/>
      <c r="CK184" s="252"/>
      <c r="CL184" s="252"/>
      <c r="CM184" s="259"/>
      <c r="CN184" s="252"/>
      <c r="CO184" s="252"/>
      <c r="CP184" s="252"/>
      <c r="CQ184" s="259"/>
      <c r="CR184" s="252"/>
      <c r="CS184" s="252"/>
      <c r="CT184" s="255"/>
      <c r="CU184" s="173"/>
      <c r="CV184" s="173"/>
      <c r="CW184" s="173"/>
      <c r="CX184" s="173"/>
      <c r="CY184" s="173"/>
      <c r="CZ184" s="173"/>
      <c r="DA184" s="173"/>
      <c r="DB184" s="173"/>
      <c r="DC184" s="173"/>
      <c r="DD184" s="173"/>
      <c r="DE184" s="173"/>
      <c r="DF184" s="173"/>
    </row>
    <row r="185" spans="1:110" s="174" customFormat="1" x14ac:dyDescent="0.2">
      <c r="A185" s="190"/>
      <c r="B185" s="172"/>
      <c r="D185" s="169"/>
      <c r="E185" s="169"/>
      <c r="F185" s="169"/>
      <c r="G185" s="244"/>
      <c r="H185" s="169"/>
      <c r="I185" s="295"/>
      <c r="J185" s="295"/>
      <c r="K185" s="169"/>
      <c r="L185" s="169"/>
      <c r="M185" s="169"/>
      <c r="N185" s="169"/>
      <c r="O185" s="169"/>
      <c r="P185" s="169"/>
      <c r="Q185" s="185"/>
      <c r="R185" s="190"/>
      <c r="AS185" s="161"/>
      <c r="BF185" s="162"/>
      <c r="BG185" s="162"/>
      <c r="BH185" s="163"/>
      <c r="BI185" s="163"/>
      <c r="BJ185" s="161"/>
      <c r="BK185" s="288"/>
      <c r="BL185" s="164"/>
      <c r="BM185" s="173"/>
      <c r="BN185" s="252"/>
      <c r="BO185" s="259"/>
      <c r="BP185" s="252"/>
      <c r="BQ185" s="252"/>
      <c r="BR185" s="252"/>
      <c r="BS185" s="259"/>
      <c r="BT185" s="252"/>
      <c r="BU185" s="252"/>
      <c r="BV185" s="252"/>
      <c r="BW185" s="259"/>
      <c r="BX185" s="252"/>
      <c r="BY185" s="252"/>
      <c r="BZ185" s="252"/>
      <c r="CA185" s="259"/>
      <c r="CB185" s="252"/>
      <c r="CC185" s="252"/>
      <c r="CD185" s="252"/>
      <c r="CE185" s="259"/>
      <c r="CF185" s="252"/>
      <c r="CG185" s="252"/>
      <c r="CH185" s="252"/>
      <c r="CI185" s="259"/>
      <c r="CJ185" s="252"/>
      <c r="CK185" s="252"/>
      <c r="CL185" s="252"/>
      <c r="CM185" s="259"/>
      <c r="CN185" s="252"/>
      <c r="CO185" s="252"/>
      <c r="CP185" s="252"/>
      <c r="CQ185" s="259"/>
      <c r="CR185" s="252"/>
      <c r="CS185" s="252"/>
      <c r="CT185" s="255"/>
      <c r="CU185" s="173"/>
      <c r="CV185" s="173"/>
      <c r="CW185" s="173"/>
      <c r="CX185" s="173"/>
      <c r="CY185" s="173"/>
      <c r="CZ185" s="173"/>
      <c r="DA185" s="173"/>
      <c r="DB185" s="173"/>
      <c r="DC185" s="173"/>
      <c r="DD185" s="173"/>
      <c r="DE185" s="173"/>
      <c r="DF185" s="173"/>
    </row>
    <row r="186" spans="1:110" s="174" customFormat="1" x14ac:dyDescent="0.2">
      <c r="A186" s="190"/>
      <c r="B186" s="172"/>
      <c r="D186" s="169"/>
      <c r="E186" s="169"/>
      <c r="F186" s="169"/>
      <c r="G186" s="244"/>
      <c r="H186" s="169"/>
      <c r="I186" s="295"/>
      <c r="J186" s="295"/>
      <c r="K186" s="169"/>
      <c r="L186" s="169"/>
      <c r="M186" s="169"/>
      <c r="N186" s="169"/>
      <c r="O186" s="169"/>
      <c r="P186" s="169"/>
      <c r="Q186" s="185"/>
      <c r="R186" s="190"/>
      <c r="AS186" s="161"/>
      <c r="BF186" s="162"/>
      <c r="BG186" s="162"/>
      <c r="BH186" s="163"/>
      <c r="BI186" s="163"/>
      <c r="BJ186" s="161"/>
      <c r="BK186" s="288"/>
      <c r="BL186" s="164"/>
      <c r="BM186" s="173"/>
      <c r="BN186" s="252"/>
      <c r="BO186" s="259"/>
      <c r="BP186" s="252"/>
      <c r="BQ186" s="252"/>
      <c r="BR186" s="252"/>
      <c r="BS186" s="259"/>
      <c r="BT186" s="252"/>
      <c r="BU186" s="252"/>
      <c r="BV186" s="252"/>
      <c r="BW186" s="259"/>
      <c r="BX186" s="252"/>
      <c r="BY186" s="252"/>
      <c r="BZ186" s="252"/>
      <c r="CA186" s="259"/>
      <c r="CB186" s="252"/>
      <c r="CC186" s="252"/>
      <c r="CD186" s="252"/>
      <c r="CE186" s="259"/>
      <c r="CF186" s="252"/>
      <c r="CG186" s="252"/>
      <c r="CH186" s="252"/>
      <c r="CI186" s="259"/>
      <c r="CJ186" s="252"/>
      <c r="CK186" s="252"/>
      <c r="CL186" s="252"/>
      <c r="CM186" s="259"/>
      <c r="CN186" s="252"/>
      <c r="CO186" s="252"/>
      <c r="CP186" s="252"/>
      <c r="CQ186" s="259"/>
      <c r="CR186" s="252"/>
      <c r="CS186" s="252"/>
      <c r="CT186" s="255"/>
      <c r="CU186" s="173"/>
      <c r="CV186" s="173"/>
      <c r="CW186" s="173"/>
      <c r="CX186" s="173"/>
      <c r="CY186" s="173"/>
      <c r="CZ186" s="173"/>
      <c r="DA186" s="173"/>
      <c r="DB186" s="173"/>
      <c r="DC186" s="173"/>
      <c r="DD186" s="173"/>
      <c r="DE186" s="173"/>
      <c r="DF186" s="173"/>
    </row>
    <row r="187" spans="1:110" s="174" customFormat="1" x14ac:dyDescent="0.2">
      <c r="A187" s="190"/>
      <c r="B187" s="172"/>
      <c r="D187" s="169"/>
      <c r="E187" s="169"/>
      <c r="F187" s="169"/>
      <c r="G187" s="244"/>
      <c r="H187" s="169"/>
      <c r="I187" s="295"/>
      <c r="J187" s="295"/>
      <c r="K187" s="169"/>
      <c r="L187" s="169"/>
      <c r="M187" s="169"/>
      <c r="N187" s="169"/>
      <c r="O187" s="169"/>
      <c r="P187" s="169"/>
      <c r="Q187" s="185"/>
      <c r="R187" s="190"/>
      <c r="AS187" s="161"/>
      <c r="BF187" s="162"/>
      <c r="BG187" s="162"/>
      <c r="BH187" s="163"/>
      <c r="BI187" s="163"/>
      <c r="BJ187" s="161"/>
      <c r="BK187" s="288"/>
      <c r="BL187" s="164"/>
      <c r="BM187" s="173"/>
      <c r="BN187" s="252"/>
      <c r="BO187" s="259"/>
      <c r="BP187" s="252"/>
      <c r="BQ187" s="252"/>
      <c r="BR187" s="252"/>
      <c r="BS187" s="259"/>
      <c r="BT187" s="252"/>
      <c r="BU187" s="252"/>
      <c r="BV187" s="252"/>
      <c r="BW187" s="259"/>
      <c r="BX187" s="252"/>
      <c r="BY187" s="252"/>
      <c r="BZ187" s="252"/>
      <c r="CA187" s="259"/>
      <c r="CB187" s="252"/>
      <c r="CC187" s="252"/>
      <c r="CD187" s="252"/>
      <c r="CE187" s="259"/>
      <c r="CF187" s="252"/>
      <c r="CG187" s="252"/>
      <c r="CH187" s="252"/>
      <c r="CI187" s="259"/>
      <c r="CJ187" s="252"/>
      <c r="CK187" s="252"/>
      <c r="CL187" s="252"/>
      <c r="CM187" s="259"/>
      <c r="CN187" s="252"/>
      <c r="CO187" s="252"/>
      <c r="CP187" s="252"/>
      <c r="CQ187" s="259"/>
      <c r="CR187" s="252"/>
      <c r="CS187" s="252"/>
      <c r="CT187" s="255"/>
      <c r="CU187" s="173"/>
      <c r="CV187" s="173"/>
      <c r="CW187" s="173"/>
      <c r="CX187" s="173"/>
      <c r="CY187" s="173"/>
      <c r="CZ187" s="173"/>
      <c r="DA187" s="173"/>
      <c r="DB187" s="173"/>
      <c r="DC187" s="173"/>
      <c r="DD187" s="173"/>
      <c r="DE187" s="173"/>
      <c r="DF187" s="173"/>
    </row>
    <row r="188" spans="1:110" s="174" customFormat="1" x14ac:dyDescent="0.2">
      <c r="A188" s="190"/>
      <c r="B188" s="172"/>
      <c r="D188" s="169"/>
      <c r="E188" s="169"/>
      <c r="F188" s="169"/>
      <c r="G188" s="244"/>
      <c r="H188" s="169"/>
      <c r="I188" s="295"/>
      <c r="J188" s="295"/>
      <c r="K188" s="169"/>
      <c r="L188" s="169"/>
      <c r="M188" s="169"/>
      <c r="N188" s="169"/>
      <c r="O188" s="169"/>
      <c r="P188" s="169"/>
      <c r="Q188" s="185"/>
      <c r="R188" s="190"/>
      <c r="AS188" s="161"/>
      <c r="BF188" s="162"/>
      <c r="BG188" s="162"/>
      <c r="BH188" s="163"/>
      <c r="BI188" s="163"/>
      <c r="BJ188" s="161"/>
      <c r="BK188" s="288"/>
      <c r="BL188" s="164"/>
      <c r="BM188" s="173"/>
      <c r="BN188" s="252"/>
      <c r="BO188" s="259"/>
      <c r="BP188" s="252"/>
      <c r="BQ188" s="252"/>
      <c r="BR188" s="252"/>
      <c r="BS188" s="259"/>
      <c r="BT188" s="252"/>
      <c r="BU188" s="252"/>
      <c r="BV188" s="252"/>
      <c r="BW188" s="259"/>
      <c r="BX188" s="252"/>
      <c r="BY188" s="252"/>
      <c r="BZ188" s="252"/>
      <c r="CA188" s="259"/>
      <c r="CB188" s="252"/>
      <c r="CC188" s="252"/>
      <c r="CD188" s="252"/>
      <c r="CE188" s="259"/>
      <c r="CF188" s="252"/>
      <c r="CG188" s="252"/>
      <c r="CH188" s="252"/>
      <c r="CI188" s="259"/>
      <c r="CJ188" s="252"/>
      <c r="CK188" s="252"/>
      <c r="CL188" s="252"/>
      <c r="CM188" s="259"/>
      <c r="CN188" s="252"/>
      <c r="CO188" s="252"/>
      <c r="CP188" s="252"/>
      <c r="CQ188" s="259"/>
      <c r="CR188" s="252"/>
      <c r="CS188" s="252"/>
      <c r="CT188" s="255"/>
      <c r="CU188" s="173"/>
      <c r="CV188" s="173"/>
      <c r="CW188" s="173"/>
      <c r="CX188" s="173"/>
      <c r="CY188" s="173"/>
      <c r="CZ188" s="173"/>
      <c r="DA188" s="173"/>
      <c r="DB188" s="173"/>
      <c r="DC188" s="173"/>
      <c r="DD188" s="173"/>
      <c r="DE188" s="173"/>
      <c r="DF188" s="173"/>
    </row>
    <row r="189" spans="1:110" s="174" customFormat="1" x14ac:dyDescent="0.2">
      <c r="A189" s="190"/>
      <c r="B189" s="172"/>
      <c r="D189" s="169"/>
      <c r="E189" s="169"/>
      <c r="F189" s="169"/>
      <c r="G189" s="244"/>
      <c r="H189" s="169"/>
      <c r="I189" s="295"/>
      <c r="J189" s="295"/>
      <c r="K189" s="169"/>
      <c r="L189" s="169"/>
      <c r="M189" s="169"/>
      <c r="N189" s="169"/>
      <c r="O189" s="169"/>
      <c r="P189" s="169"/>
      <c r="Q189" s="185"/>
      <c r="R189" s="190"/>
      <c r="AS189" s="161"/>
      <c r="BF189" s="162"/>
      <c r="BG189" s="162"/>
      <c r="BH189" s="163"/>
      <c r="BI189" s="163"/>
      <c r="BJ189" s="161"/>
      <c r="BK189" s="288"/>
      <c r="BL189" s="164"/>
      <c r="BM189" s="173"/>
      <c r="BN189" s="252"/>
      <c r="BO189" s="259"/>
      <c r="BP189" s="252"/>
      <c r="BQ189" s="252"/>
      <c r="BR189" s="252"/>
      <c r="BS189" s="259"/>
      <c r="BT189" s="252"/>
      <c r="BU189" s="252"/>
      <c r="BV189" s="252"/>
      <c r="BW189" s="259"/>
      <c r="BX189" s="252"/>
      <c r="BY189" s="252"/>
      <c r="BZ189" s="252"/>
      <c r="CA189" s="259"/>
      <c r="CB189" s="252"/>
      <c r="CC189" s="252"/>
      <c r="CD189" s="252"/>
      <c r="CE189" s="259"/>
      <c r="CF189" s="252"/>
      <c r="CG189" s="252"/>
      <c r="CH189" s="252"/>
      <c r="CI189" s="259"/>
      <c r="CJ189" s="252"/>
      <c r="CK189" s="252"/>
      <c r="CL189" s="252"/>
      <c r="CM189" s="259"/>
      <c r="CN189" s="252"/>
      <c r="CO189" s="252"/>
      <c r="CP189" s="252"/>
      <c r="CQ189" s="259"/>
      <c r="CR189" s="252"/>
      <c r="CS189" s="252"/>
      <c r="CT189" s="255"/>
      <c r="CU189" s="173"/>
      <c r="CV189" s="173"/>
      <c r="CW189" s="173"/>
      <c r="CX189" s="173"/>
      <c r="CY189" s="173"/>
      <c r="CZ189" s="173"/>
      <c r="DA189" s="173"/>
      <c r="DB189" s="173"/>
      <c r="DC189" s="173"/>
      <c r="DD189" s="173"/>
      <c r="DE189" s="173"/>
      <c r="DF189" s="173"/>
    </row>
    <row r="190" spans="1:110" s="174" customFormat="1" x14ac:dyDescent="0.2">
      <c r="A190" s="190"/>
      <c r="B190" s="172"/>
      <c r="D190" s="169"/>
      <c r="E190" s="169"/>
      <c r="F190" s="169"/>
      <c r="G190" s="244"/>
      <c r="H190" s="169"/>
      <c r="I190" s="295"/>
      <c r="J190" s="295"/>
      <c r="K190" s="169"/>
      <c r="L190" s="169"/>
      <c r="M190" s="169"/>
      <c r="N190" s="169"/>
      <c r="O190" s="169"/>
      <c r="P190" s="169"/>
      <c r="Q190" s="185"/>
      <c r="R190" s="190"/>
      <c r="AS190" s="161"/>
      <c r="BF190" s="162"/>
      <c r="BG190" s="162"/>
      <c r="BH190" s="163"/>
      <c r="BI190" s="163"/>
      <c r="BJ190" s="161"/>
      <c r="BK190" s="288"/>
      <c r="BL190" s="164"/>
      <c r="BM190" s="173"/>
      <c r="BN190" s="252"/>
      <c r="BO190" s="259"/>
      <c r="BP190" s="252"/>
      <c r="BQ190" s="252"/>
      <c r="BR190" s="252"/>
      <c r="BS190" s="259"/>
      <c r="BT190" s="252"/>
      <c r="BU190" s="252"/>
      <c r="BV190" s="252"/>
      <c r="BW190" s="259"/>
      <c r="BX190" s="252"/>
      <c r="BY190" s="252"/>
      <c r="BZ190" s="252"/>
      <c r="CA190" s="259"/>
      <c r="CB190" s="252"/>
      <c r="CC190" s="252"/>
      <c r="CD190" s="252"/>
      <c r="CE190" s="259"/>
      <c r="CF190" s="252"/>
      <c r="CG190" s="252"/>
      <c r="CH190" s="252"/>
      <c r="CI190" s="259"/>
      <c r="CJ190" s="252"/>
      <c r="CK190" s="252"/>
      <c r="CL190" s="252"/>
      <c r="CM190" s="259"/>
      <c r="CN190" s="252"/>
      <c r="CO190" s="252"/>
      <c r="CP190" s="252"/>
      <c r="CQ190" s="259"/>
      <c r="CR190" s="252"/>
      <c r="CS190" s="252"/>
      <c r="CT190" s="255"/>
      <c r="CU190" s="173"/>
      <c r="CV190" s="173"/>
      <c r="CW190" s="173"/>
      <c r="CX190" s="173"/>
      <c r="CY190" s="173"/>
      <c r="CZ190" s="173"/>
      <c r="DA190" s="173"/>
      <c r="DB190" s="173"/>
      <c r="DC190" s="173"/>
      <c r="DD190" s="173"/>
      <c r="DE190" s="173"/>
      <c r="DF190" s="173"/>
    </row>
    <row r="191" spans="1:110" s="174" customFormat="1" x14ac:dyDescent="0.2">
      <c r="A191" s="190"/>
      <c r="B191" s="172"/>
      <c r="D191" s="169"/>
      <c r="E191" s="169"/>
      <c r="F191" s="169"/>
      <c r="G191" s="244"/>
      <c r="H191" s="169"/>
      <c r="I191" s="295"/>
      <c r="J191" s="295"/>
      <c r="K191" s="169"/>
      <c r="L191" s="169"/>
      <c r="M191" s="169"/>
      <c r="N191" s="169"/>
      <c r="O191" s="169"/>
      <c r="P191" s="169"/>
      <c r="Q191" s="185"/>
      <c r="R191" s="190"/>
      <c r="AS191" s="161"/>
      <c r="BF191" s="162"/>
      <c r="BG191" s="162"/>
      <c r="BH191" s="163"/>
      <c r="BI191" s="163"/>
      <c r="BJ191" s="161"/>
      <c r="BK191" s="288"/>
      <c r="BL191" s="164"/>
      <c r="BM191" s="173"/>
      <c r="BN191" s="252"/>
      <c r="BO191" s="259"/>
      <c r="BP191" s="252"/>
      <c r="BQ191" s="252"/>
      <c r="BR191" s="252"/>
      <c r="BS191" s="259"/>
      <c r="BT191" s="252"/>
      <c r="BU191" s="252"/>
      <c r="BV191" s="252"/>
      <c r="BW191" s="259"/>
      <c r="BX191" s="252"/>
      <c r="BY191" s="252"/>
      <c r="BZ191" s="252"/>
      <c r="CA191" s="259"/>
      <c r="CB191" s="252"/>
      <c r="CC191" s="252"/>
      <c r="CD191" s="252"/>
      <c r="CE191" s="259"/>
      <c r="CF191" s="252"/>
      <c r="CG191" s="252"/>
      <c r="CH191" s="252"/>
      <c r="CI191" s="259"/>
      <c r="CJ191" s="252"/>
      <c r="CK191" s="252"/>
      <c r="CL191" s="252"/>
      <c r="CM191" s="259"/>
      <c r="CN191" s="252"/>
      <c r="CO191" s="252"/>
      <c r="CP191" s="252"/>
      <c r="CQ191" s="259"/>
      <c r="CR191" s="252"/>
      <c r="CS191" s="252"/>
      <c r="CT191" s="255"/>
      <c r="CU191" s="173"/>
      <c r="CV191" s="173"/>
      <c r="CW191" s="173"/>
      <c r="CX191" s="173"/>
      <c r="CY191" s="173"/>
      <c r="CZ191" s="173"/>
      <c r="DA191" s="173"/>
      <c r="DB191" s="173"/>
      <c r="DC191" s="173"/>
      <c r="DD191" s="173"/>
      <c r="DE191" s="173"/>
      <c r="DF191" s="173"/>
    </row>
    <row r="192" spans="1:110" s="174" customFormat="1" x14ac:dyDescent="0.2">
      <c r="A192" s="190"/>
      <c r="B192" s="172"/>
      <c r="D192" s="169"/>
      <c r="E192" s="169"/>
      <c r="F192" s="169"/>
      <c r="G192" s="244"/>
      <c r="H192" s="169"/>
      <c r="I192" s="295"/>
      <c r="J192" s="295"/>
      <c r="K192" s="169"/>
      <c r="L192" s="169"/>
      <c r="M192" s="169"/>
      <c r="N192" s="169"/>
      <c r="O192" s="169"/>
      <c r="P192" s="169"/>
      <c r="Q192" s="185"/>
      <c r="R192" s="190"/>
      <c r="AS192" s="161"/>
      <c r="BF192" s="162"/>
      <c r="BG192" s="162"/>
      <c r="BH192" s="163"/>
      <c r="BI192" s="163"/>
      <c r="BJ192" s="161"/>
      <c r="BK192" s="288"/>
      <c r="BL192" s="164"/>
      <c r="BM192" s="173"/>
      <c r="BN192" s="252"/>
      <c r="BO192" s="259"/>
      <c r="BP192" s="252"/>
      <c r="BQ192" s="252"/>
      <c r="BR192" s="252"/>
      <c r="BS192" s="259"/>
      <c r="BT192" s="252"/>
      <c r="BU192" s="252"/>
      <c r="BV192" s="252"/>
      <c r="BW192" s="259"/>
      <c r="BX192" s="252"/>
      <c r="BY192" s="252"/>
      <c r="BZ192" s="252"/>
      <c r="CA192" s="259"/>
      <c r="CB192" s="252"/>
      <c r="CC192" s="252"/>
      <c r="CD192" s="252"/>
      <c r="CE192" s="259"/>
      <c r="CF192" s="252"/>
      <c r="CG192" s="252"/>
      <c r="CH192" s="252"/>
      <c r="CI192" s="259"/>
      <c r="CJ192" s="252"/>
      <c r="CK192" s="252"/>
      <c r="CL192" s="252"/>
      <c r="CM192" s="259"/>
      <c r="CN192" s="252"/>
      <c r="CO192" s="252"/>
      <c r="CP192" s="252"/>
      <c r="CQ192" s="259"/>
      <c r="CR192" s="252"/>
      <c r="CS192" s="252"/>
      <c r="CT192" s="255"/>
      <c r="CU192" s="173"/>
      <c r="CV192" s="173"/>
      <c r="CW192" s="173"/>
      <c r="CX192" s="173"/>
      <c r="CY192" s="173"/>
      <c r="CZ192" s="173"/>
      <c r="DA192" s="173"/>
      <c r="DB192" s="173"/>
      <c r="DC192" s="173"/>
      <c r="DD192" s="173"/>
      <c r="DE192" s="173"/>
      <c r="DF192" s="173"/>
    </row>
    <row r="193" spans="1:110" s="174" customFormat="1" x14ac:dyDescent="0.2">
      <c r="A193" s="190"/>
      <c r="B193" s="172"/>
      <c r="D193" s="169"/>
      <c r="E193" s="169"/>
      <c r="F193" s="169"/>
      <c r="G193" s="244"/>
      <c r="H193" s="169"/>
      <c r="I193" s="295"/>
      <c r="J193" s="295"/>
      <c r="K193" s="169"/>
      <c r="L193" s="169"/>
      <c r="M193" s="169"/>
      <c r="N193" s="169"/>
      <c r="O193" s="169"/>
      <c r="P193" s="169"/>
      <c r="Q193" s="185"/>
      <c r="R193" s="190"/>
      <c r="AS193" s="161"/>
      <c r="BF193" s="162"/>
      <c r="BG193" s="162"/>
      <c r="BH193" s="163"/>
      <c r="BI193" s="163"/>
      <c r="BJ193" s="161"/>
      <c r="BK193" s="288"/>
      <c r="BL193" s="164"/>
      <c r="BM193" s="173"/>
      <c r="BN193" s="252"/>
      <c r="BO193" s="259"/>
      <c r="BP193" s="252"/>
      <c r="BQ193" s="252"/>
      <c r="BR193" s="252"/>
      <c r="BS193" s="259"/>
      <c r="BT193" s="252"/>
      <c r="BU193" s="252"/>
      <c r="BV193" s="252"/>
      <c r="BW193" s="259"/>
      <c r="BX193" s="252"/>
      <c r="BY193" s="252"/>
      <c r="BZ193" s="252"/>
      <c r="CA193" s="259"/>
      <c r="CB193" s="252"/>
      <c r="CC193" s="252"/>
      <c r="CD193" s="252"/>
      <c r="CE193" s="259"/>
      <c r="CF193" s="252"/>
      <c r="CG193" s="252"/>
      <c r="CH193" s="252"/>
      <c r="CI193" s="259"/>
      <c r="CJ193" s="252"/>
      <c r="CK193" s="252"/>
      <c r="CL193" s="252"/>
      <c r="CM193" s="259"/>
      <c r="CN193" s="252"/>
      <c r="CO193" s="252"/>
      <c r="CP193" s="252"/>
      <c r="CQ193" s="259"/>
      <c r="CR193" s="252"/>
      <c r="CS193" s="252"/>
      <c r="CT193" s="255"/>
      <c r="CU193" s="173"/>
      <c r="CV193" s="173"/>
      <c r="CW193" s="173"/>
      <c r="CX193" s="173"/>
      <c r="CY193" s="173"/>
      <c r="CZ193" s="173"/>
      <c r="DA193" s="173"/>
      <c r="DB193" s="173"/>
      <c r="DC193" s="173"/>
      <c r="DD193" s="173"/>
      <c r="DE193" s="173"/>
      <c r="DF193" s="173"/>
    </row>
    <row r="194" spans="1:110" s="174" customFormat="1" x14ac:dyDescent="0.2">
      <c r="A194" s="190"/>
      <c r="B194" s="172"/>
      <c r="D194" s="169"/>
      <c r="E194" s="169"/>
      <c r="F194" s="169"/>
      <c r="G194" s="244"/>
      <c r="H194" s="169"/>
      <c r="I194" s="295"/>
      <c r="J194" s="295"/>
      <c r="K194" s="169"/>
      <c r="L194" s="169"/>
      <c r="M194" s="169"/>
      <c r="N194" s="169"/>
      <c r="O194" s="169"/>
      <c r="P194" s="169"/>
      <c r="Q194" s="185"/>
      <c r="R194" s="190"/>
      <c r="AS194" s="161"/>
      <c r="BF194" s="162"/>
      <c r="BG194" s="162"/>
      <c r="BH194" s="163"/>
      <c r="BI194" s="163"/>
      <c r="BJ194" s="161"/>
      <c r="BK194" s="288"/>
      <c r="BL194" s="164"/>
      <c r="BM194" s="173"/>
      <c r="BN194" s="252"/>
      <c r="BO194" s="259"/>
      <c r="BP194" s="252"/>
      <c r="BQ194" s="252"/>
      <c r="BR194" s="252"/>
      <c r="BS194" s="259"/>
      <c r="BT194" s="252"/>
      <c r="BU194" s="252"/>
      <c r="BV194" s="252"/>
      <c r="BW194" s="259"/>
      <c r="BX194" s="252"/>
      <c r="BY194" s="252"/>
      <c r="BZ194" s="252"/>
      <c r="CA194" s="259"/>
      <c r="CB194" s="252"/>
      <c r="CC194" s="252"/>
      <c r="CD194" s="252"/>
      <c r="CE194" s="259"/>
      <c r="CF194" s="252"/>
      <c r="CG194" s="252"/>
      <c r="CH194" s="252"/>
      <c r="CI194" s="259"/>
      <c r="CJ194" s="252"/>
      <c r="CK194" s="252"/>
      <c r="CL194" s="252"/>
      <c r="CM194" s="259"/>
      <c r="CN194" s="252"/>
      <c r="CO194" s="252"/>
      <c r="CP194" s="252"/>
      <c r="CQ194" s="259"/>
      <c r="CR194" s="252"/>
      <c r="CS194" s="252"/>
      <c r="CT194" s="255"/>
      <c r="CU194" s="173"/>
      <c r="CV194" s="173"/>
      <c r="CW194" s="173"/>
      <c r="CX194" s="173"/>
      <c r="CY194" s="173"/>
      <c r="CZ194" s="173"/>
      <c r="DA194" s="173"/>
      <c r="DB194" s="173"/>
      <c r="DC194" s="173"/>
      <c r="DD194" s="173"/>
      <c r="DE194" s="173"/>
      <c r="DF194" s="173"/>
    </row>
    <row r="195" spans="1:110" s="174" customFormat="1" x14ac:dyDescent="0.2">
      <c r="A195" s="190"/>
      <c r="B195" s="172"/>
      <c r="D195" s="169"/>
      <c r="E195" s="169"/>
      <c r="F195" s="169"/>
      <c r="G195" s="244"/>
      <c r="H195" s="169"/>
      <c r="I195" s="295"/>
      <c r="J195" s="295"/>
      <c r="K195" s="169"/>
      <c r="L195" s="169"/>
      <c r="M195" s="169"/>
      <c r="N195" s="169"/>
      <c r="O195" s="169"/>
      <c r="P195" s="169"/>
      <c r="Q195" s="185"/>
      <c r="R195" s="190"/>
      <c r="AS195" s="161"/>
      <c r="BF195" s="162"/>
      <c r="BG195" s="162"/>
      <c r="BH195" s="163"/>
      <c r="BI195" s="163"/>
      <c r="BJ195" s="161"/>
      <c r="BK195" s="288"/>
      <c r="BL195" s="164"/>
      <c r="BM195" s="173"/>
      <c r="BN195" s="252"/>
      <c r="BO195" s="259"/>
      <c r="BP195" s="252"/>
      <c r="BQ195" s="252"/>
      <c r="BR195" s="252"/>
      <c r="BS195" s="259"/>
      <c r="BT195" s="252"/>
      <c r="BU195" s="252"/>
      <c r="BV195" s="252"/>
      <c r="BW195" s="259"/>
      <c r="BX195" s="252"/>
      <c r="BY195" s="252"/>
      <c r="BZ195" s="252"/>
      <c r="CA195" s="259"/>
      <c r="CB195" s="252"/>
      <c r="CC195" s="252"/>
      <c r="CD195" s="252"/>
      <c r="CE195" s="259"/>
      <c r="CF195" s="252"/>
      <c r="CG195" s="252"/>
      <c r="CH195" s="252"/>
      <c r="CI195" s="259"/>
      <c r="CJ195" s="252"/>
      <c r="CK195" s="252"/>
      <c r="CL195" s="252"/>
      <c r="CM195" s="259"/>
      <c r="CN195" s="252"/>
      <c r="CO195" s="252"/>
      <c r="CP195" s="252"/>
      <c r="CQ195" s="259"/>
      <c r="CR195" s="252"/>
      <c r="CS195" s="252"/>
      <c r="CT195" s="255"/>
      <c r="CU195" s="173"/>
      <c r="CV195" s="173"/>
      <c r="CW195" s="173"/>
      <c r="CX195" s="173"/>
      <c r="CY195" s="173"/>
      <c r="CZ195" s="173"/>
      <c r="DA195" s="173"/>
      <c r="DB195" s="173"/>
      <c r="DC195" s="173"/>
      <c r="DD195" s="173"/>
      <c r="DE195" s="173"/>
      <c r="DF195" s="173"/>
    </row>
    <row r="196" spans="1:110" s="174" customFormat="1" x14ac:dyDescent="0.2">
      <c r="A196" s="190"/>
      <c r="B196" s="172"/>
      <c r="D196" s="169"/>
      <c r="E196" s="169"/>
      <c r="F196" s="169"/>
      <c r="G196" s="244"/>
      <c r="H196" s="169"/>
      <c r="I196" s="295"/>
      <c r="J196" s="295"/>
      <c r="K196" s="169"/>
      <c r="L196" s="169"/>
      <c r="M196" s="169"/>
      <c r="N196" s="169"/>
      <c r="O196" s="169"/>
      <c r="P196" s="169"/>
      <c r="Q196" s="185"/>
      <c r="R196" s="190"/>
      <c r="AS196" s="161"/>
      <c r="BF196" s="162"/>
      <c r="BG196" s="162"/>
      <c r="BH196" s="163"/>
      <c r="BI196" s="163"/>
      <c r="BJ196" s="161"/>
      <c r="BK196" s="288"/>
      <c r="BL196" s="164"/>
      <c r="BM196" s="173"/>
      <c r="BN196" s="252"/>
      <c r="BO196" s="259"/>
      <c r="BP196" s="252"/>
      <c r="BQ196" s="252"/>
      <c r="BR196" s="252"/>
      <c r="BS196" s="259"/>
      <c r="BT196" s="252"/>
      <c r="BU196" s="252"/>
      <c r="BV196" s="252"/>
      <c r="BW196" s="259"/>
      <c r="BX196" s="252"/>
      <c r="BY196" s="252"/>
      <c r="BZ196" s="252"/>
      <c r="CA196" s="259"/>
      <c r="CB196" s="252"/>
      <c r="CC196" s="252"/>
      <c r="CD196" s="252"/>
      <c r="CE196" s="259"/>
      <c r="CF196" s="252"/>
      <c r="CG196" s="252"/>
      <c r="CH196" s="252"/>
      <c r="CI196" s="259"/>
      <c r="CJ196" s="252"/>
      <c r="CK196" s="252"/>
      <c r="CL196" s="252"/>
      <c r="CM196" s="259"/>
      <c r="CN196" s="252"/>
      <c r="CO196" s="252"/>
      <c r="CP196" s="252"/>
      <c r="CQ196" s="259"/>
      <c r="CR196" s="252"/>
      <c r="CS196" s="252"/>
      <c r="CT196" s="255"/>
      <c r="CU196" s="173"/>
      <c r="CV196" s="173"/>
      <c r="CW196" s="173"/>
      <c r="CX196" s="173"/>
      <c r="CY196" s="173"/>
      <c r="CZ196" s="173"/>
      <c r="DA196" s="173"/>
      <c r="DB196" s="173"/>
      <c r="DC196" s="173"/>
      <c r="DD196" s="173"/>
      <c r="DE196" s="173"/>
      <c r="DF196" s="173"/>
    </row>
    <row r="197" spans="1:110" s="174" customFormat="1" x14ac:dyDescent="0.2">
      <c r="A197" s="190"/>
      <c r="B197" s="172"/>
      <c r="D197" s="169"/>
      <c r="E197" s="169"/>
      <c r="F197" s="169"/>
      <c r="G197" s="244"/>
      <c r="H197" s="169"/>
      <c r="I197" s="295"/>
      <c r="J197" s="295"/>
      <c r="K197" s="169"/>
      <c r="L197" s="169"/>
      <c r="M197" s="169"/>
      <c r="N197" s="169"/>
      <c r="O197" s="169"/>
      <c r="P197" s="169"/>
      <c r="Q197" s="185"/>
      <c r="R197" s="190"/>
      <c r="AS197" s="161"/>
      <c r="BF197" s="162"/>
      <c r="BG197" s="162"/>
      <c r="BH197" s="163"/>
      <c r="BI197" s="163"/>
      <c r="BJ197" s="161"/>
      <c r="BK197" s="288"/>
      <c r="BL197" s="164"/>
      <c r="BM197" s="173"/>
      <c r="BN197" s="252"/>
      <c r="BO197" s="259"/>
      <c r="BP197" s="252"/>
      <c r="BQ197" s="252"/>
      <c r="BR197" s="252"/>
      <c r="BS197" s="259"/>
      <c r="BT197" s="252"/>
      <c r="BU197" s="252"/>
      <c r="BV197" s="252"/>
      <c r="BW197" s="259"/>
      <c r="BX197" s="252"/>
      <c r="BY197" s="252"/>
      <c r="BZ197" s="252"/>
      <c r="CA197" s="259"/>
      <c r="CB197" s="252"/>
      <c r="CC197" s="252"/>
      <c r="CD197" s="252"/>
      <c r="CE197" s="259"/>
      <c r="CF197" s="252"/>
      <c r="CG197" s="252"/>
      <c r="CH197" s="252"/>
      <c r="CI197" s="259"/>
      <c r="CJ197" s="252"/>
      <c r="CK197" s="252"/>
      <c r="CL197" s="252"/>
      <c r="CM197" s="259"/>
      <c r="CN197" s="252"/>
      <c r="CO197" s="252"/>
      <c r="CP197" s="252"/>
      <c r="CQ197" s="259"/>
      <c r="CR197" s="252"/>
      <c r="CS197" s="252"/>
      <c r="CT197" s="255"/>
      <c r="CU197" s="173"/>
      <c r="CV197" s="173"/>
      <c r="CW197" s="173"/>
      <c r="CX197" s="173"/>
      <c r="CY197" s="173"/>
      <c r="CZ197" s="173"/>
      <c r="DA197" s="173"/>
      <c r="DB197" s="173"/>
      <c r="DC197" s="173"/>
      <c r="DD197" s="173"/>
      <c r="DE197" s="173"/>
      <c r="DF197" s="173"/>
    </row>
    <row r="198" spans="1:110" s="174" customFormat="1" x14ac:dyDescent="0.2">
      <c r="A198" s="190"/>
      <c r="B198" s="172"/>
      <c r="D198" s="169"/>
      <c r="E198" s="169"/>
      <c r="F198" s="169"/>
      <c r="G198" s="244"/>
      <c r="H198" s="169"/>
      <c r="I198" s="295"/>
      <c r="J198" s="295"/>
      <c r="K198" s="169"/>
      <c r="L198" s="169"/>
      <c r="M198" s="169"/>
      <c r="N198" s="169"/>
      <c r="O198" s="169"/>
      <c r="P198" s="169"/>
      <c r="Q198" s="185"/>
      <c r="R198" s="190"/>
      <c r="AS198" s="161"/>
      <c r="BF198" s="162"/>
      <c r="BG198" s="162"/>
      <c r="BH198" s="163"/>
      <c r="BI198" s="163"/>
      <c r="BJ198" s="161"/>
      <c r="BK198" s="288"/>
      <c r="BL198" s="164"/>
      <c r="BM198" s="173"/>
      <c r="BN198" s="252"/>
      <c r="BO198" s="259"/>
      <c r="BP198" s="252"/>
      <c r="BQ198" s="252"/>
      <c r="BR198" s="252"/>
      <c r="BS198" s="259"/>
      <c r="BT198" s="252"/>
      <c r="BU198" s="252"/>
      <c r="BV198" s="252"/>
      <c r="BW198" s="259"/>
      <c r="BX198" s="252"/>
      <c r="BY198" s="252"/>
      <c r="BZ198" s="252"/>
      <c r="CA198" s="259"/>
      <c r="CB198" s="252"/>
      <c r="CC198" s="252"/>
      <c r="CD198" s="252"/>
      <c r="CE198" s="259"/>
      <c r="CF198" s="252"/>
      <c r="CG198" s="252"/>
      <c r="CH198" s="252"/>
      <c r="CI198" s="259"/>
      <c r="CJ198" s="252"/>
      <c r="CK198" s="252"/>
      <c r="CL198" s="252"/>
      <c r="CM198" s="259"/>
      <c r="CN198" s="252"/>
      <c r="CO198" s="252"/>
      <c r="CP198" s="252"/>
      <c r="CQ198" s="259"/>
      <c r="CR198" s="252"/>
      <c r="CS198" s="252"/>
      <c r="CT198" s="255"/>
      <c r="CU198" s="173"/>
      <c r="CV198" s="173"/>
      <c r="CW198" s="173"/>
      <c r="CX198" s="173"/>
      <c r="CY198" s="173"/>
      <c r="CZ198" s="173"/>
      <c r="DA198" s="173"/>
      <c r="DB198" s="173"/>
      <c r="DC198" s="173"/>
      <c r="DD198" s="173"/>
      <c r="DE198" s="173"/>
      <c r="DF198" s="173"/>
    </row>
    <row r="199" spans="1:110" s="174" customFormat="1" x14ac:dyDescent="0.2">
      <c r="A199" s="190"/>
      <c r="B199" s="172"/>
      <c r="D199" s="169"/>
      <c r="E199" s="169"/>
      <c r="F199" s="169"/>
      <c r="G199" s="244"/>
      <c r="H199" s="169"/>
      <c r="I199" s="295"/>
      <c r="J199" s="295"/>
      <c r="K199" s="169"/>
      <c r="L199" s="169"/>
      <c r="M199" s="169"/>
      <c r="N199" s="169"/>
      <c r="O199" s="169"/>
      <c r="P199" s="169"/>
      <c r="Q199" s="185"/>
      <c r="R199" s="190"/>
      <c r="AS199" s="161"/>
      <c r="BF199" s="162"/>
      <c r="BG199" s="162"/>
      <c r="BH199" s="163"/>
      <c r="BI199" s="163"/>
      <c r="BJ199" s="161"/>
      <c r="BK199" s="288"/>
      <c r="BL199" s="164"/>
      <c r="BM199" s="173"/>
      <c r="BN199" s="252"/>
      <c r="BO199" s="259"/>
      <c r="BP199" s="252"/>
      <c r="BQ199" s="252"/>
      <c r="BR199" s="252"/>
      <c r="BS199" s="259"/>
      <c r="BT199" s="252"/>
      <c r="BU199" s="252"/>
      <c r="BV199" s="252"/>
      <c r="BW199" s="259"/>
      <c r="BX199" s="252"/>
      <c r="BY199" s="252"/>
      <c r="BZ199" s="252"/>
      <c r="CA199" s="259"/>
      <c r="CB199" s="252"/>
      <c r="CC199" s="252"/>
      <c r="CD199" s="252"/>
      <c r="CE199" s="259"/>
      <c r="CF199" s="252"/>
      <c r="CG199" s="252"/>
      <c r="CH199" s="252"/>
      <c r="CI199" s="259"/>
      <c r="CJ199" s="252"/>
      <c r="CK199" s="252"/>
      <c r="CL199" s="252"/>
      <c r="CM199" s="259"/>
      <c r="CN199" s="252"/>
      <c r="CO199" s="252"/>
      <c r="CP199" s="252"/>
      <c r="CQ199" s="259"/>
      <c r="CR199" s="252"/>
      <c r="CS199" s="252"/>
      <c r="CT199" s="255"/>
      <c r="CU199" s="173"/>
      <c r="CV199" s="173"/>
      <c r="CW199" s="173"/>
      <c r="CX199" s="173"/>
      <c r="CY199" s="173"/>
      <c r="CZ199" s="173"/>
      <c r="DA199" s="173"/>
      <c r="DB199" s="173"/>
      <c r="DC199" s="173"/>
      <c r="DD199" s="173"/>
      <c r="DE199" s="173"/>
      <c r="DF199" s="173"/>
    </row>
    <row r="200" spans="1:110" s="174" customFormat="1" x14ac:dyDescent="0.2">
      <c r="A200" s="190"/>
      <c r="B200" s="172"/>
      <c r="D200" s="169"/>
      <c r="E200" s="169"/>
      <c r="F200" s="169"/>
      <c r="G200" s="244"/>
      <c r="H200" s="169"/>
      <c r="I200" s="295"/>
      <c r="J200" s="295"/>
      <c r="K200" s="169"/>
      <c r="L200" s="169"/>
      <c r="M200" s="169"/>
      <c r="N200" s="169"/>
      <c r="O200" s="169"/>
      <c r="P200" s="169"/>
      <c r="Q200" s="185"/>
      <c r="R200" s="190"/>
      <c r="AS200" s="161"/>
      <c r="BF200" s="162"/>
      <c r="BG200" s="162"/>
      <c r="BH200" s="163"/>
      <c r="BI200" s="163"/>
      <c r="BJ200" s="161"/>
      <c r="BK200" s="288"/>
      <c r="BL200" s="164"/>
      <c r="BM200" s="173"/>
      <c r="BN200" s="252"/>
      <c r="BO200" s="259"/>
      <c r="BP200" s="252"/>
      <c r="BQ200" s="252"/>
      <c r="BR200" s="252"/>
      <c r="BS200" s="259"/>
      <c r="BT200" s="252"/>
      <c r="BU200" s="252"/>
      <c r="BV200" s="252"/>
      <c r="BW200" s="259"/>
      <c r="BX200" s="252"/>
      <c r="BY200" s="252"/>
      <c r="BZ200" s="252"/>
      <c r="CA200" s="259"/>
      <c r="CB200" s="252"/>
      <c r="CC200" s="252"/>
      <c r="CD200" s="252"/>
      <c r="CE200" s="259"/>
      <c r="CF200" s="252"/>
      <c r="CG200" s="252"/>
      <c r="CH200" s="252"/>
      <c r="CI200" s="259"/>
      <c r="CJ200" s="252"/>
      <c r="CK200" s="252"/>
      <c r="CL200" s="252"/>
      <c r="CM200" s="259"/>
      <c r="CN200" s="252"/>
      <c r="CO200" s="252"/>
      <c r="CP200" s="252"/>
      <c r="CQ200" s="259"/>
      <c r="CR200" s="252"/>
      <c r="CS200" s="252"/>
      <c r="CT200" s="255"/>
      <c r="CU200" s="173"/>
      <c r="CV200" s="173"/>
      <c r="CW200" s="173"/>
      <c r="CX200" s="173"/>
      <c r="CY200" s="173"/>
      <c r="CZ200" s="173"/>
      <c r="DA200" s="173"/>
      <c r="DB200" s="173"/>
      <c r="DC200" s="173"/>
      <c r="DD200" s="173"/>
      <c r="DE200" s="173"/>
      <c r="DF200" s="173"/>
    </row>
    <row r="201" spans="1:110" s="174" customFormat="1" x14ac:dyDescent="0.2">
      <c r="A201" s="190"/>
      <c r="B201" s="172"/>
      <c r="D201" s="169"/>
      <c r="E201" s="169"/>
      <c r="F201" s="169"/>
      <c r="G201" s="244"/>
      <c r="H201" s="169"/>
      <c r="I201" s="295"/>
      <c r="J201" s="295"/>
      <c r="K201" s="169"/>
      <c r="L201" s="169"/>
      <c r="M201" s="169"/>
      <c r="N201" s="169"/>
      <c r="O201" s="169"/>
      <c r="P201" s="169"/>
      <c r="Q201" s="185"/>
      <c r="R201" s="190"/>
      <c r="AS201" s="161"/>
      <c r="BF201" s="162"/>
      <c r="BG201" s="162"/>
      <c r="BH201" s="163"/>
      <c r="BI201" s="163"/>
      <c r="BJ201" s="161"/>
      <c r="BK201" s="288"/>
      <c r="BL201" s="164"/>
      <c r="BM201" s="173"/>
      <c r="BN201" s="252"/>
      <c r="BO201" s="259"/>
      <c r="BP201" s="252"/>
      <c r="BQ201" s="252"/>
      <c r="BR201" s="252"/>
      <c r="BS201" s="259"/>
      <c r="BT201" s="252"/>
      <c r="BU201" s="252"/>
      <c r="BV201" s="252"/>
      <c r="BW201" s="259"/>
      <c r="BX201" s="252"/>
      <c r="BY201" s="252"/>
      <c r="BZ201" s="252"/>
      <c r="CA201" s="259"/>
      <c r="CB201" s="252"/>
      <c r="CC201" s="252"/>
      <c r="CD201" s="252"/>
      <c r="CE201" s="259"/>
      <c r="CF201" s="252"/>
      <c r="CG201" s="252"/>
      <c r="CH201" s="252"/>
      <c r="CI201" s="259"/>
      <c r="CJ201" s="252"/>
      <c r="CK201" s="252"/>
      <c r="CL201" s="252"/>
      <c r="CM201" s="259"/>
      <c r="CN201" s="252"/>
      <c r="CO201" s="252"/>
      <c r="CP201" s="252"/>
      <c r="CQ201" s="259"/>
      <c r="CR201" s="252"/>
      <c r="CS201" s="252"/>
      <c r="CT201" s="255"/>
      <c r="CU201" s="173"/>
      <c r="CV201" s="173"/>
      <c r="CW201" s="173"/>
      <c r="CX201" s="173"/>
      <c r="CY201" s="173"/>
      <c r="CZ201" s="173"/>
      <c r="DA201" s="173"/>
      <c r="DB201" s="173"/>
      <c r="DC201" s="173"/>
      <c r="DD201" s="173"/>
      <c r="DE201" s="173"/>
      <c r="DF201" s="173"/>
    </row>
    <row r="202" spans="1:110" s="174" customFormat="1" x14ac:dyDescent="0.2">
      <c r="A202" s="190"/>
      <c r="B202" s="172"/>
      <c r="D202" s="169"/>
      <c r="E202" s="169"/>
      <c r="F202" s="169"/>
      <c r="G202" s="244"/>
      <c r="H202" s="169"/>
      <c r="I202" s="295"/>
      <c r="J202" s="295"/>
      <c r="K202" s="169"/>
      <c r="L202" s="169"/>
      <c r="M202" s="169"/>
      <c r="N202" s="169"/>
      <c r="O202" s="169"/>
      <c r="P202" s="169"/>
      <c r="Q202" s="185"/>
      <c r="R202" s="190"/>
      <c r="AS202" s="161"/>
      <c r="BF202" s="162"/>
      <c r="BG202" s="162"/>
      <c r="BH202" s="163"/>
      <c r="BI202" s="163"/>
      <c r="BJ202" s="161"/>
      <c r="BK202" s="288"/>
      <c r="BL202" s="164"/>
      <c r="BM202" s="173"/>
      <c r="BN202" s="252"/>
      <c r="BO202" s="259"/>
      <c r="BP202" s="252"/>
      <c r="BQ202" s="252"/>
      <c r="BR202" s="252"/>
      <c r="BS202" s="259"/>
      <c r="BT202" s="252"/>
      <c r="BU202" s="252"/>
      <c r="BV202" s="252"/>
      <c r="BW202" s="259"/>
      <c r="BX202" s="252"/>
      <c r="BY202" s="252"/>
      <c r="BZ202" s="252"/>
      <c r="CA202" s="259"/>
      <c r="CB202" s="252"/>
      <c r="CC202" s="252"/>
      <c r="CD202" s="252"/>
      <c r="CE202" s="259"/>
      <c r="CF202" s="252"/>
      <c r="CG202" s="252"/>
      <c r="CH202" s="252"/>
      <c r="CI202" s="259"/>
      <c r="CJ202" s="252"/>
      <c r="CK202" s="252"/>
      <c r="CL202" s="252"/>
      <c r="CM202" s="259"/>
      <c r="CN202" s="252"/>
      <c r="CO202" s="252"/>
      <c r="CP202" s="252"/>
      <c r="CQ202" s="259"/>
      <c r="CR202" s="252"/>
      <c r="CS202" s="252"/>
      <c r="CT202" s="255"/>
      <c r="CU202" s="173"/>
      <c r="CV202" s="173"/>
      <c r="CW202" s="173"/>
      <c r="CX202" s="173"/>
      <c r="CY202" s="173"/>
      <c r="CZ202" s="173"/>
      <c r="DA202" s="173"/>
      <c r="DB202" s="173"/>
      <c r="DC202" s="173"/>
      <c r="DD202" s="173"/>
      <c r="DE202" s="173"/>
      <c r="DF202" s="173"/>
    </row>
    <row r="203" spans="1:110" s="174" customFormat="1" x14ac:dyDescent="0.2">
      <c r="A203" s="190"/>
      <c r="B203" s="172"/>
      <c r="D203" s="169"/>
      <c r="E203" s="169"/>
      <c r="F203" s="169"/>
      <c r="G203" s="244"/>
      <c r="H203" s="169"/>
      <c r="I203" s="295"/>
      <c r="J203" s="295"/>
      <c r="K203" s="169"/>
      <c r="L203" s="169"/>
      <c r="M203" s="169"/>
      <c r="N203" s="169"/>
      <c r="O203" s="169"/>
      <c r="P203" s="169"/>
      <c r="Q203" s="185"/>
      <c r="R203" s="190"/>
      <c r="AS203" s="161"/>
      <c r="BF203" s="162"/>
      <c r="BG203" s="162"/>
      <c r="BH203" s="163"/>
      <c r="BI203" s="163"/>
      <c r="BJ203" s="161"/>
      <c r="BK203" s="288"/>
      <c r="BL203" s="164"/>
      <c r="BM203" s="173"/>
      <c r="BN203" s="252"/>
      <c r="BO203" s="259"/>
      <c r="BP203" s="252"/>
      <c r="BQ203" s="252"/>
      <c r="BR203" s="252"/>
      <c r="BS203" s="259"/>
      <c r="BT203" s="252"/>
      <c r="BU203" s="252"/>
      <c r="BV203" s="252"/>
      <c r="BW203" s="259"/>
      <c r="BX203" s="252"/>
      <c r="BY203" s="252"/>
      <c r="BZ203" s="252"/>
      <c r="CA203" s="259"/>
      <c r="CB203" s="252"/>
      <c r="CC203" s="252"/>
      <c r="CD203" s="252"/>
      <c r="CE203" s="259"/>
      <c r="CF203" s="252"/>
      <c r="CG203" s="252"/>
      <c r="CH203" s="252"/>
      <c r="CI203" s="259"/>
      <c r="CJ203" s="252"/>
      <c r="CK203" s="252"/>
      <c r="CL203" s="252"/>
      <c r="CM203" s="259"/>
      <c r="CN203" s="252"/>
      <c r="CO203" s="252"/>
      <c r="CP203" s="252"/>
      <c r="CQ203" s="259"/>
      <c r="CR203" s="252"/>
      <c r="CS203" s="252"/>
      <c r="CT203" s="255"/>
      <c r="CU203" s="173"/>
      <c r="CV203" s="173"/>
      <c r="CW203" s="173"/>
      <c r="CX203" s="173"/>
      <c r="CY203" s="173"/>
      <c r="CZ203" s="173"/>
      <c r="DA203" s="173"/>
      <c r="DB203" s="173"/>
      <c r="DC203" s="173"/>
      <c r="DD203" s="173"/>
      <c r="DE203" s="173"/>
      <c r="DF203" s="173"/>
    </row>
    <row r="204" spans="1:110" s="174" customFormat="1" x14ac:dyDescent="0.2">
      <c r="A204" s="190"/>
      <c r="B204" s="172"/>
      <c r="D204" s="169"/>
      <c r="E204" s="169"/>
      <c r="F204" s="169"/>
      <c r="G204" s="244"/>
      <c r="H204" s="169"/>
      <c r="I204" s="295"/>
      <c r="J204" s="295"/>
      <c r="K204" s="169"/>
      <c r="L204" s="169"/>
      <c r="M204" s="169"/>
      <c r="N204" s="169"/>
      <c r="O204" s="169"/>
      <c r="P204" s="169"/>
      <c r="Q204" s="185"/>
      <c r="R204" s="190"/>
      <c r="AS204" s="161"/>
      <c r="BF204" s="162"/>
      <c r="BG204" s="162"/>
      <c r="BH204" s="163"/>
      <c r="BI204" s="163"/>
      <c r="BJ204" s="161"/>
      <c r="BK204" s="288"/>
      <c r="BL204" s="164"/>
      <c r="BM204" s="173"/>
      <c r="BN204" s="252"/>
      <c r="BO204" s="259"/>
      <c r="BP204" s="252"/>
      <c r="BQ204" s="252"/>
      <c r="BR204" s="252"/>
      <c r="BS204" s="259"/>
      <c r="BT204" s="252"/>
      <c r="BU204" s="252"/>
      <c r="BV204" s="252"/>
      <c r="BW204" s="259"/>
      <c r="BX204" s="252"/>
      <c r="BY204" s="252"/>
      <c r="BZ204" s="252"/>
      <c r="CA204" s="259"/>
      <c r="CB204" s="252"/>
      <c r="CC204" s="252"/>
      <c r="CD204" s="252"/>
      <c r="CE204" s="259"/>
      <c r="CF204" s="252"/>
      <c r="CG204" s="252"/>
      <c r="CH204" s="252"/>
      <c r="CI204" s="259"/>
      <c r="CJ204" s="252"/>
      <c r="CK204" s="252"/>
      <c r="CL204" s="252"/>
      <c r="CM204" s="259"/>
      <c r="CN204" s="252"/>
      <c r="CO204" s="252"/>
      <c r="CP204" s="252"/>
      <c r="CQ204" s="259"/>
      <c r="CR204" s="252"/>
      <c r="CS204" s="252"/>
      <c r="CT204" s="255"/>
      <c r="CU204" s="173"/>
      <c r="CV204" s="173"/>
      <c r="CW204" s="173"/>
      <c r="CX204" s="173"/>
      <c r="CY204" s="173"/>
      <c r="CZ204" s="173"/>
      <c r="DA204" s="173"/>
      <c r="DB204" s="173"/>
      <c r="DC204" s="173"/>
      <c r="DD204" s="173"/>
      <c r="DE204" s="173"/>
      <c r="DF204" s="173"/>
    </row>
    <row r="205" spans="1:110" s="174" customFormat="1" x14ac:dyDescent="0.2">
      <c r="A205" s="190"/>
      <c r="B205" s="172"/>
      <c r="D205" s="169"/>
      <c r="E205" s="169"/>
      <c r="F205" s="169"/>
      <c r="G205" s="244"/>
      <c r="H205" s="169"/>
      <c r="I205" s="295"/>
      <c r="J205" s="295"/>
      <c r="K205" s="169"/>
      <c r="L205" s="169"/>
      <c r="M205" s="169"/>
      <c r="N205" s="169"/>
      <c r="O205" s="169"/>
      <c r="P205" s="169"/>
      <c r="Q205" s="185"/>
      <c r="R205" s="190"/>
      <c r="AS205" s="161"/>
      <c r="BF205" s="162"/>
      <c r="BG205" s="162"/>
      <c r="BH205" s="163"/>
      <c r="BI205" s="163"/>
      <c r="BJ205" s="161"/>
      <c r="BK205" s="288"/>
      <c r="BL205" s="164"/>
      <c r="BM205" s="173"/>
      <c r="BN205" s="252"/>
      <c r="BO205" s="259"/>
      <c r="BP205" s="252"/>
      <c r="BQ205" s="252"/>
      <c r="BR205" s="252"/>
      <c r="BS205" s="259"/>
      <c r="BT205" s="252"/>
      <c r="BU205" s="252"/>
      <c r="BV205" s="252"/>
      <c r="BW205" s="259"/>
      <c r="BX205" s="252"/>
      <c r="BY205" s="252"/>
      <c r="BZ205" s="252"/>
      <c r="CA205" s="259"/>
      <c r="CB205" s="252"/>
      <c r="CC205" s="252"/>
      <c r="CD205" s="252"/>
      <c r="CE205" s="259"/>
      <c r="CF205" s="252"/>
      <c r="CG205" s="252"/>
      <c r="CH205" s="252"/>
      <c r="CI205" s="259"/>
      <c r="CJ205" s="252"/>
      <c r="CK205" s="252"/>
      <c r="CL205" s="252"/>
      <c r="CM205" s="259"/>
      <c r="CN205" s="252"/>
      <c r="CO205" s="252"/>
      <c r="CP205" s="252"/>
      <c r="CQ205" s="259"/>
      <c r="CR205" s="252"/>
      <c r="CS205" s="252"/>
      <c r="CT205" s="255"/>
      <c r="CU205" s="173"/>
      <c r="CV205" s="173"/>
      <c r="CW205" s="173"/>
      <c r="CX205" s="173"/>
      <c r="CY205" s="173"/>
      <c r="CZ205" s="173"/>
      <c r="DA205" s="173"/>
      <c r="DB205" s="173"/>
      <c r="DC205" s="173"/>
      <c r="DD205" s="173"/>
      <c r="DE205" s="173"/>
      <c r="DF205" s="173"/>
    </row>
    <row r="206" spans="1:110" s="174" customFormat="1" x14ac:dyDescent="0.2">
      <c r="A206" s="190"/>
      <c r="B206" s="172"/>
      <c r="D206" s="169"/>
      <c r="E206" s="169"/>
      <c r="F206" s="169"/>
      <c r="G206" s="244"/>
      <c r="H206" s="169"/>
      <c r="I206" s="295"/>
      <c r="J206" s="295"/>
      <c r="K206" s="169"/>
      <c r="L206" s="169"/>
      <c r="M206" s="169"/>
      <c r="N206" s="169"/>
      <c r="O206" s="169"/>
      <c r="P206" s="169"/>
      <c r="Q206" s="185"/>
      <c r="R206" s="190"/>
      <c r="AS206" s="161"/>
      <c r="BF206" s="162"/>
      <c r="BG206" s="162"/>
      <c r="BH206" s="163"/>
      <c r="BI206" s="163"/>
      <c r="BJ206" s="161"/>
      <c r="BK206" s="288"/>
      <c r="BL206" s="164"/>
      <c r="BM206" s="173"/>
      <c r="BN206" s="252"/>
      <c r="BO206" s="259"/>
      <c r="BP206" s="252"/>
      <c r="BQ206" s="252"/>
      <c r="BR206" s="252"/>
      <c r="BS206" s="259"/>
      <c r="BT206" s="252"/>
      <c r="BU206" s="252"/>
      <c r="BV206" s="252"/>
      <c r="BW206" s="259"/>
      <c r="BX206" s="252"/>
      <c r="BY206" s="252"/>
      <c r="BZ206" s="252"/>
      <c r="CA206" s="259"/>
      <c r="CB206" s="252"/>
      <c r="CC206" s="252"/>
      <c r="CD206" s="252"/>
      <c r="CE206" s="259"/>
      <c r="CF206" s="252"/>
      <c r="CG206" s="252"/>
      <c r="CH206" s="252"/>
      <c r="CI206" s="259"/>
      <c r="CJ206" s="252"/>
      <c r="CK206" s="252"/>
      <c r="CL206" s="252"/>
      <c r="CM206" s="259"/>
      <c r="CN206" s="252"/>
      <c r="CO206" s="252"/>
      <c r="CP206" s="252"/>
      <c r="CQ206" s="259"/>
      <c r="CR206" s="252"/>
      <c r="CS206" s="252"/>
      <c r="CT206" s="255"/>
      <c r="CU206" s="173"/>
      <c r="CV206" s="173"/>
      <c r="CW206" s="173"/>
      <c r="CX206" s="173"/>
      <c r="CY206" s="173"/>
      <c r="CZ206" s="173"/>
      <c r="DA206" s="173"/>
      <c r="DB206" s="173"/>
      <c r="DC206" s="173"/>
      <c r="DD206" s="173"/>
      <c r="DE206" s="173"/>
      <c r="DF206" s="173"/>
    </row>
    <row r="207" spans="1:110" s="174" customFormat="1" x14ac:dyDescent="0.2">
      <c r="A207" s="190"/>
      <c r="B207" s="172"/>
      <c r="D207" s="169"/>
      <c r="E207" s="169"/>
      <c r="F207" s="169"/>
      <c r="G207" s="244"/>
      <c r="H207" s="169"/>
      <c r="I207" s="295"/>
      <c r="J207" s="295"/>
      <c r="K207" s="169"/>
      <c r="L207" s="169"/>
      <c r="M207" s="169"/>
      <c r="N207" s="169"/>
      <c r="O207" s="169"/>
      <c r="P207" s="169"/>
      <c r="Q207" s="185"/>
      <c r="R207" s="190"/>
      <c r="AS207" s="161"/>
      <c r="BF207" s="162"/>
      <c r="BG207" s="162"/>
      <c r="BH207" s="163"/>
      <c r="BI207" s="163"/>
      <c r="BJ207" s="161"/>
      <c r="BK207" s="288"/>
      <c r="BL207" s="164"/>
      <c r="BM207" s="173"/>
      <c r="BN207" s="252"/>
      <c r="BO207" s="259"/>
      <c r="BP207" s="252"/>
      <c r="BQ207" s="252"/>
      <c r="BR207" s="252"/>
      <c r="BS207" s="259"/>
      <c r="BT207" s="252"/>
      <c r="BU207" s="252"/>
      <c r="BV207" s="252"/>
      <c r="BW207" s="259"/>
      <c r="BX207" s="252"/>
      <c r="BY207" s="252"/>
      <c r="BZ207" s="252"/>
      <c r="CA207" s="259"/>
      <c r="CB207" s="252"/>
      <c r="CC207" s="252"/>
      <c r="CD207" s="252"/>
      <c r="CE207" s="259"/>
      <c r="CF207" s="252"/>
      <c r="CG207" s="252"/>
      <c r="CH207" s="252"/>
      <c r="CI207" s="259"/>
      <c r="CJ207" s="252"/>
      <c r="CK207" s="252"/>
      <c r="CL207" s="252"/>
      <c r="CM207" s="259"/>
      <c r="CN207" s="252"/>
      <c r="CO207" s="252"/>
      <c r="CP207" s="252"/>
      <c r="CQ207" s="259"/>
      <c r="CR207" s="252"/>
      <c r="CS207" s="252"/>
      <c r="CT207" s="255"/>
      <c r="CU207" s="173"/>
      <c r="CV207" s="173"/>
      <c r="CW207" s="173"/>
      <c r="CX207" s="173"/>
      <c r="CY207" s="173"/>
      <c r="CZ207" s="173"/>
      <c r="DA207" s="173"/>
      <c r="DB207" s="173"/>
      <c r="DC207" s="173"/>
      <c r="DD207" s="173"/>
      <c r="DE207" s="173"/>
      <c r="DF207" s="173"/>
    </row>
    <row r="208" spans="1:110" s="174" customFormat="1" x14ac:dyDescent="0.2">
      <c r="A208" s="190"/>
      <c r="B208" s="172"/>
      <c r="D208" s="169"/>
      <c r="E208" s="169"/>
      <c r="F208" s="169"/>
      <c r="G208" s="244"/>
      <c r="H208" s="169"/>
      <c r="I208" s="295"/>
      <c r="J208" s="295"/>
      <c r="K208" s="169"/>
      <c r="L208" s="169"/>
      <c r="M208" s="169"/>
      <c r="N208" s="169"/>
      <c r="O208" s="169"/>
      <c r="P208" s="169"/>
      <c r="Q208" s="185"/>
      <c r="R208" s="190"/>
      <c r="AS208" s="161"/>
      <c r="BF208" s="162"/>
      <c r="BG208" s="162"/>
      <c r="BH208" s="163"/>
      <c r="BI208" s="163"/>
      <c r="BJ208" s="161"/>
      <c r="BK208" s="288"/>
      <c r="BL208" s="164"/>
      <c r="BM208" s="173"/>
      <c r="BN208" s="252"/>
      <c r="BO208" s="259"/>
      <c r="BP208" s="252"/>
      <c r="BQ208" s="252"/>
      <c r="BR208" s="252"/>
      <c r="BS208" s="259"/>
      <c r="BT208" s="252"/>
      <c r="BU208" s="252"/>
      <c r="BV208" s="252"/>
      <c r="BW208" s="259"/>
      <c r="BX208" s="252"/>
      <c r="BY208" s="252"/>
      <c r="BZ208" s="252"/>
      <c r="CA208" s="259"/>
      <c r="CB208" s="252"/>
      <c r="CC208" s="252"/>
      <c r="CD208" s="252"/>
      <c r="CE208" s="259"/>
      <c r="CF208" s="252"/>
      <c r="CG208" s="252"/>
      <c r="CH208" s="252"/>
      <c r="CI208" s="259"/>
      <c r="CJ208" s="252"/>
      <c r="CK208" s="252"/>
      <c r="CL208" s="252"/>
      <c r="CM208" s="259"/>
      <c r="CN208" s="252"/>
      <c r="CO208" s="252"/>
      <c r="CP208" s="252"/>
      <c r="CQ208" s="259"/>
      <c r="CR208" s="252"/>
      <c r="CS208" s="252"/>
      <c r="CT208" s="255"/>
      <c r="CU208" s="173"/>
      <c r="CV208" s="173"/>
      <c r="CW208" s="173"/>
      <c r="CX208" s="173"/>
      <c r="CY208" s="173"/>
      <c r="CZ208" s="173"/>
      <c r="DA208" s="173"/>
      <c r="DB208" s="173"/>
      <c r="DC208" s="173"/>
      <c r="DD208" s="173"/>
      <c r="DE208" s="173"/>
      <c r="DF208" s="173"/>
    </row>
    <row r="209" spans="1:110" s="174" customFormat="1" x14ac:dyDescent="0.2">
      <c r="A209" s="190"/>
      <c r="B209" s="172"/>
      <c r="D209" s="169"/>
      <c r="E209" s="169"/>
      <c r="F209" s="169"/>
      <c r="G209" s="244"/>
      <c r="H209" s="169"/>
      <c r="I209" s="295"/>
      <c r="J209" s="295"/>
      <c r="K209" s="169"/>
      <c r="L209" s="169"/>
      <c r="M209" s="169"/>
      <c r="N209" s="169"/>
      <c r="O209" s="169"/>
      <c r="P209" s="169"/>
      <c r="Q209" s="185"/>
      <c r="R209" s="190"/>
      <c r="AS209" s="161"/>
      <c r="BF209" s="162"/>
      <c r="BG209" s="162"/>
      <c r="BH209" s="163"/>
      <c r="BI209" s="163"/>
      <c r="BJ209" s="161"/>
      <c r="BK209" s="288"/>
      <c r="BL209" s="164"/>
      <c r="BM209" s="173"/>
      <c r="BN209" s="252"/>
      <c r="BO209" s="259"/>
      <c r="BP209" s="252"/>
      <c r="BQ209" s="252"/>
      <c r="BR209" s="252"/>
      <c r="BS209" s="259"/>
      <c r="BT209" s="252"/>
      <c r="BU209" s="252"/>
      <c r="BV209" s="252"/>
      <c r="BW209" s="259"/>
      <c r="BX209" s="252"/>
      <c r="BY209" s="252"/>
      <c r="BZ209" s="252"/>
      <c r="CA209" s="259"/>
      <c r="CB209" s="252"/>
      <c r="CC209" s="252"/>
      <c r="CD209" s="252"/>
      <c r="CE209" s="259"/>
      <c r="CF209" s="252"/>
      <c r="CG209" s="252"/>
      <c r="CH209" s="252"/>
      <c r="CI209" s="259"/>
      <c r="CJ209" s="252"/>
      <c r="CK209" s="252"/>
      <c r="CL209" s="252"/>
      <c r="CM209" s="259"/>
      <c r="CN209" s="252"/>
      <c r="CO209" s="252"/>
      <c r="CP209" s="252"/>
      <c r="CQ209" s="259"/>
      <c r="CR209" s="252"/>
      <c r="CS209" s="252"/>
      <c r="CT209" s="255"/>
      <c r="CU209" s="173"/>
      <c r="CV209" s="173"/>
      <c r="CW209" s="173"/>
      <c r="CX209" s="173"/>
      <c r="CY209" s="173"/>
      <c r="CZ209" s="173"/>
      <c r="DA209" s="173"/>
      <c r="DB209" s="173"/>
      <c r="DC209" s="173"/>
      <c r="DD209" s="173"/>
      <c r="DE209" s="173"/>
      <c r="DF209" s="173"/>
    </row>
    <row r="210" spans="1:110" s="174" customFormat="1" x14ac:dyDescent="0.2">
      <c r="A210" s="190"/>
      <c r="B210" s="172"/>
      <c r="D210" s="169"/>
      <c r="E210" s="169"/>
      <c r="F210" s="169"/>
      <c r="G210" s="244"/>
      <c r="H210" s="169"/>
      <c r="I210" s="295"/>
      <c r="J210" s="295"/>
      <c r="K210" s="169"/>
      <c r="L210" s="169"/>
      <c r="M210" s="169"/>
      <c r="N210" s="169"/>
      <c r="O210" s="169"/>
      <c r="P210" s="169"/>
      <c r="Q210" s="185"/>
      <c r="R210" s="190"/>
      <c r="AS210" s="161"/>
      <c r="BF210" s="162"/>
      <c r="BG210" s="162"/>
      <c r="BH210" s="163"/>
      <c r="BI210" s="163"/>
      <c r="BJ210" s="161"/>
      <c r="BK210" s="288"/>
      <c r="BL210" s="164"/>
      <c r="BM210" s="173"/>
      <c r="BN210" s="252"/>
      <c r="BO210" s="259"/>
      <c r="BP210" s="252"/>
      <c r="BQ210" s="252"/>
      <c r="BR210" s="252"/>
      <c r="BS210" s="259"/>
      <c r="BT210" s="252"/>
      <c r="BU210" s="252"/>
      <c r="BV210" s="252"/>
      <c r="BW210" s="259"/>
      <c r="BX210" s="252"/>
      <c r="BY210" s="252"/>
      <c r="BZ210" s="252"/>
      <c r="CA210" s="259"/>
      <c r="CB210" s="252"/>
      <c r="CC210" s="252"/>
      <c r="CD210" s="252"/>
      <c r="CE210" s="259"/>
      <c r="CF210" s="252"/>
      <c r="CG210" s="252"/>
      <c r="CH210" s="252"/>
      <c r="CI210" s="259"/>
      <c r="CJ210" s="252"/>
      <c r="CK210" s="252"/>
      <c r="CL210" s="252"/>
      <c r="CM210" s="259"/>
      <c r="CN210" s="252"/>
      <c r="CO210" s="252"/>
      <c r="CP210" s="252"/>
      <c r="CQ210" s="259"/>
      <c r="CR210" s="252"/>
      <c r="CS210" s="252"/>
      <c r="CT210" s="255"/>
      <c r="CU210" s="173"/>
      <c r="CV210" s="173"/>
      <c r="CW210" s="173"/>
      <c r="CX210" s="173"/>
      <c r="CY210" s="173"/>
      <c r="CZ210" s="173"/>
      <c r="DA210" s="173"/>
      <c r="DB210" s="173"/>
      <c r="DC210" s="173"/>
      <c r="DD210" s="173"/>
      <c r="DE210" s="173"/>
      <c r="DF210" s="173"/>
    </row>
    <row r="211" spans="1:110" s="174" customFormat="1" x14ac:dyDescent="0.2">
      <c r="A211" s="190"/>
      <c r="B211" s="172"/>
      <c r="D211" s="169"/>
      <c r="E211" s="169"/>
      <c r="F211" s="169"/>
      <c r="G211" s="244"/>
      <c r="H211" s="169"/>
      <c r="I211" s="295"/>
      <c r="J211" s="295"/>
      <c r="K211" s="169"/>
      <c r="L211" s="169"/>
      <c r="M211" s="169"/>
      <c r="N211" s="169"/>
      <c r="O211" s="169"/>
      <c r="P211" s="169"/>
      <c r="Q211" s="185"/>
      <c r="R211" s="190"/>
      <c r="AS211" s="161"/>
      <c r="BF211" s="162"/>
      <c r="BG211" s="162"/>
      <c r="BH211" s="163"/>
      <c r="BI211" s="163"/>
      <c r="BJ211" s="161"/>
      <c r="BK211" s="288"/>
      <c r="BL211" s="164"/>
      <c r="BM211" s="173"/>
      <c r="BN211" s="252"/>
      <c r="BO211" s="259"/>
      <c r="BP211" s="252"/>
      <c r="BQ211" s="252"/>
      <c r="BR211" s="252"/>
      <c r="BS211" s="259"/>
      <c r="BT211" s="252"/>
      <c r="BU211" s="252"/>
      <c r="BV211" s="252"/>
      <c r="BW211" s="259"/>
      <c r="BX211" s="252"/>
      <c r="BY211" s="252"/>
      <c r="BZ211" s="252"/>
      <c r="CA211" s="259"/>
      <c r="CB211" s="252"/>
      <c r="CC211" s="252"/>
      <c r="CD211" s="252"/>
      <c r="CE211" s="259"/>
      <c r="CF211" s="252"/>
      <c r="CG211" s="252"/>
      <c r="CH211" s="252"/>
      <c r="CI211" s="259"/>
      <c r="CJ211" s="252"/>
      <c r="CK211" s="252"/>
      <c r="CL211" s="252"/>
      <c r="CM211" s="259"/>
      <c r="CN211" s="252"/>
      <c r="CO211" s="252"/>
      <c r="CP211" s="252"/>
      <c r="CQ211" s="259"/>
      <c r="CR211" s="252"/>
      <c r="CS211" s="252"/>
      <c r="CT211" s="255"/>
      <c r="CU211" s="173"/>
      <c r="CV211" s="173"/>
      <c r="CW211" s="173"/>
      <c r="CX211" s="173"/>
      <c r="CY211" s="173"/>
      <c r="CZ211" s="173"/>
      <c r="DA211" s="173"/>
      <c r="DB211" s="173"/>
      <c r="DC211" s="173"/>
      <c r="DD211" s="173"/>
      <c r="DE211" s="173"/>
      <c r="DF211" s="173"/>
    </row>
    <row r="212" spans="1:110" s="174" customFormat="1" x14ac:dyDescent="0.2">
      <c r="A212" s="190"/>
      <c r="B212" s="172"/>
      <c r="D212" s="169"/>
      <c r="E212" s="169"/>
      <c r="F212" s="169"/>
      <c r="G212" s="244"/>
      <c r="H212" s="169"/>
      <c r="I212" s="295"/>
      <c r="J212" s="295"/>
      <c r="K212" s="169"/>
      <c r="L212" s="169"/>
      <c r="M212" s="169"/>
      <c r="N212" s="169"/>
      <c r="O212" s="169"/>
      <c r="P212" s="169"/>
      <c r="Q212" s="185"/>
      <c r="R212" s="190"/>
      <c r="AS212" s="161"/>
      <c r="BF212" s="162"/>
      <c r="BG212" s="162"/>
      <c r="BH212" s="163"/>
      <c r="BI212" s="163"/>
      <c r="BJ212" s="161"/>
      <c r="BK212" s="288"/>
      <c r="BL212" s="164"/>
      <c r="BM212" s="173"/>
      <c r="BN212" s="252"/>
      <c r="BO212" s="259"/>
      <c r="BP212" s="252"/>
      <c r="BQ212" s="252"/>
      <c r="BR212" s="252"/>
      <c r="BS212" s="259"/>
      <c r="BT212" s="252"/>
      <c r="BU212" s="252"/>
      <c r="BV212" s="252"/>
      <c r="BW212" s="259"/>
      <c r="BX212" s="252"/>
      <c r="BY212" s="252"/>
      <c r="BZ212" s="252"/>
      <c r="CA212" s="259"/>
      <c r="CB212" s="252"/>
      <c r="CC212" s="252"/>
      <c r="CD212" s="252"/>
      <c r="CE212" s="259"/>
      <c r="CF212" s="252"/>
      <c r="CG212" s="252"/>
      <c r="CH212" s="252"/>
      <c r="CI212" s="259"/>
      <c r="CJ212" s="252"/>
      <c r="CK212" s="252"/>
      <c r="CL212" s="252"/>
      <c r="CM212" s="259"/>
      <c r="CN212" s="252"/>
      <c r="CO212" s="252"/>
      <c r="CP212" s="252"/>
      <c r="CQ212" s="259"/>
      <c r="CR212" s="252"/>
      <c r="CS212" s="252"/>
      <c r="CT212" s="255"/>
      <c r="CU212" s="173"/>
      <c r="CV212" s="173"/>
      <c r="CW212" s="173"/>
      <c r="CX212" s="173"/>
      <c r="CY212" s="173"/>
      <c r="CZ212" s="173"/>
      <c r="DA212" s="173"/>
      <c r="DB212" s="173"/>
      <c r="DC212" s="173"/>
      <c r="DD212" s="173"/>
      <c r="DE212" s="173"/>
      <c r="DF212" s="173"/>
    </row>
    <row r="213" spans="1:110" s="174" customFormat="1" x14ac:dyDescent="0.2">
      <c r="A213" s="190"/>
      <c r="B213" s="172"/>
      <c r="D213" s="169"/>
      <c r="E213" s="169"/>
      <c r="F213" s="169"/>
      <c r="G213" s="244"/>
      <c r="H213" s="169"/>
      <c r="I213" s="295"/>
      <c r="J213" s="295"/>
      <c r="K213" s="169"/>
      <c r="L213" s="169"/>
      <c r="M213" s="169"/>
      <c r="N213" s="169"/>
      <c r="O213" s="169"/>
      <c r="P213" s="169"/>
      <c r="Q213" s="185"/>
      <c r="R213" s="190"/>
      <c r="AS213" s="161"/>
      <c r="BF213" s="162"/>
      <c r="BG213" s="162"/>
      <c r="BH213" s="163"/>
      <c r="BI213" s="163"/>
      <c r="BJ213" s="161"/>
      <c r="BK213" s="288"/>
      <c r="BL213" s="164"/>
      <c r="BM213" s="173"/>
      <c r="BN213" s="252"/>
      <c r="BO213" s="259"/>
      <c r="BP213" s="252"/>
      <c r="BQ213" s="252"/>
      <c r="BR213" s="252"/>
      <c r="BS213" s="259"/>
      <c r="BT213" s="252"/>
      <c r="BU213" s="252"/>
      <c r="BV213" s="252"/>
      <c r="BW213" s="259"/>
      <c r="BX213" s="252"/>
      <c r="BY213" s="252"/>
      <c r="BZ213" s="252"/>
      <c r="CA213" s="259"/>
      <c r="CB213" s="252"/>
      <c r="CC213" s="252"/>
      <c r="CD213" s="252"/>
      <c r="CE213" s="259"/>
      <c r="CF213" s="252"/>
      <c r="CG213" s="252"/>
      <c r="CH213" s="252"/>
      <c r="CI213" s="259"/>
      <c r="CJ213" s="252"/>
      <c r="CK213" s="252"/>
      <c r="CL213" s="252"/>
      <c r="CM213" s="259"/>
      <c r="CN213" s="252"/>
      <c r="CO213" s="252"/>
      <c r="CP213" s="252"/>
      <c r="CQ213" s="259"/>
      <c r="CR213" s="252"/>
      <c r="CS213" s="252"/>
      <c r="CT213" s="255"/>
      <c r="CU213" s="173"/>
      <c r="CV213" s="173"/>
      <c r="CW213" s="173"/>
      <c r="CX213" s="173"/>
      <c r="CY213" s="173"/>
      <c r="CZ213" s="173"/>
      <c r="DA213" s="173"/>
      <c r="DB213" s="173"/>
      <c r="DC213" s="173"/>
      <c r="DD213" s="173"/>
      <c r="DE213" s="173"/>
      <c r="DF213" s="173"/>
    </row>
    <row r="214" spans="1:110" s="174" customFormat="1" x14ac:dyDescent="0.2">
      <c r="A214" s="190"/>
      <c r="B214" s="172"/>
      <c r="D214" s="169"/>
      <c r="E214" s="169"/>
      <c r="F214" s="169"/>
      <c r="G214" s="244"/>
      <c r="H214" s="169"/>
      <c r="I214" s="295"/>
      <c r="J214" s="295"/>
      <c r="K214" s="169"/>
      <c r="L214" s="169"/>
      <c r="M214" s="169"/>
      <c r="N214" s="169"/>
      <c r="O214" s="169"/>
      <c r="P214" s="169"/>
      <c r="Q214" s="185"/>
      <c r="R214" s="190"/>
      <c r="AS214" s="161"/>
      <c r="BF214" s="162"/>
      <c r="BG214" s="162"/>
      <c r="BH214" s="163"/>
      <c r="BI214" s="163"/>
      <c r="BJ214" s="161"/>
      <c r="BK214" s="288"/>
      <c r="BL214" s="164"/>
      <c r="BM214" s="173"/>
      <c r="BN214" s="252"/>
      <c r="BO214" s="259"/>
      <c r="BP214" s="252"/>
      <c r="BQ214" s="252"/>
      <c r="BR214" s="252"/>
      <c r="BS214" s="259"/>
      <c r="BT214" s="252"/>
      <c r="BU214" s="252"/>
      <c r="BV214" s="252"/>
      <c r="BW214" s="259"/>
      <c r="BX214" s="252"/>
      <c r="BY214" s="252"/>
      <c r="BZ214" s="252"/>
      <c r="CA214" s="259"/>
      <c r="CB214" s="252"/>
      <c r="CC214" s="252"/>
      <c r="CD214" s="252"/>
      <c r="CE214" s="259"/>
      <c r="CF214" s="252"/>
      <c r="CG214" s="252"/>
      <c r="CH214" s="252"/>
      <c r="CI214" s="259"/>
      <c r="CJ214" s="252"/>
      <c r="CK214" s="252"/>
      <c r="CL214" s="252"/>
      <c r="CM214" s="259"/>
      <c r="CN214" s="252"/>
      <c r="CO214" s="252"/>
      <c r="CP214" s="252"/>
      <c r="CQ214" s="259"/>
      <c r="CR214" s="252"/>
      <c r="CS214" s="252"/>
      <c r="CT214" s="255"/>
      <c r="CU214" s="173"/>
      <c r="CV214" s="173"/>
      <c r="CW214" s="173"/>
      <c r="CX214" s="173"/>
      <c r="CY214" s="173"/>
      <c r="CZ214" s="173"/>
      <c r="DA214" s="173"/>
      <c r="DB214" s="173"/>
      <c r="DC214" s="173"/>
      <c r="DD214" s="173"/>
      <c r="DE214" s="173"/>
      <c r="DF214" s="173"/>
    </row>
    <row r="215" spans="1:110" s="174" customFormat="1" x14ac:dyDescent="0.2">
      <c r="A215" s="190"/>
      <c r="B215" s="172"/>
      <c r="D215" s="169"/>
      <c r="E215" s="169"/>
      <c r="F215" s="169"/>
      <c r="G215" s="244"/>
      <c r="H215" s="169"/>
      <c r="I215" s="295"/>
      <c r="J215" s="295"/>
      <c r="K215" s="169"/>
      <c r="L215" s="169"/>
      <c r="M215" s="169"/>
      <c r="N215" s="169"/>
      <c r="O215" s="169"/>
      <c r="P215" s="169"/>
      <c r="Q215" s="185"/>
      <c r="R215" s="190"/>
      <c r="AS215" s="161"/>
      <c r="BF215" s="162"/>
      <c r="BG215" s="162"/>
      <c r="BH215" s="163"/>
      <c r="BI215" s="163"/>
      <c r="BJ215" s="161"/>
      <c r="BK215" s="288"/>
      <c r="BL215" s="164"/>
      <c r="BM215" s="173"/>
      <c r="BN215" s="252"/>
      <c r="BO215" s="259"/>
      <c r="BP215" s="252"/>
      <c r="BQ215" s="252"/>
      <c r="BR215" s="252"/>
      <c r="BS215" s="259"/>
      <c r="BT215" s="252"/>
      <c r="BU215" s="252"/>
      <c r="BV215" s="252"/>
      <c r="BW215" s="259"/>
      <c r="BX215" s="252"/>
      <c r="BY215" s="252"/>
      <c r="BZ215" s="252"/>
      <c r="CA215" s="259"/>
      <c r="CB215" s="252"/>
      <c r="CC215" s="252"/>
      <c r="CD215" s="252"/>
      <c r="CE215" s="259"/>
      <c r="CF215" s="252"/>
      <c r="CG215" s="252"/>
      <c r="CH215" s="252"/>
      <c r="CI215" s="259"/>
      <c r="CJ215" s="252"/>
      <c r="CK215" s="252"/>
      <c r="CL215" s="252"/>
      <c r="CM215" s="259"/>
      <c r="CN215" s="252"/>
      <c r="CO215" s="252"/>
      <c r="CP215" s="252"/>
      <c r="CQ215" s="259"/>
      <c r="CR215" s="252"/>
      <c r="CS215" s="252"/>
      <c r="CT215" s="255"/>
      <c r="CU215" s="173"/>
      <c r="CV215" s="173"/>
      <c r="CW215" s="173"/>
      <c r="CX215" s="173"/>
      <c r="CY215" s="173"/>
      <c r="CZ215" s="173"/>
      <c r="DA215" s="173"/>
      <c r="DB215" s="173"/>
      <c r="DC215" s="173"/>
      <c r="DD215" s="173"/>
      <c r="DE215" s="173"/>
      <c r="DF215" s="173"/>
    </row>
    <row r="216" spans="1:110" s="174" customFormat="1" x14ac:dyDescent="0.2">
      <c r="A216" s="190"/>
      <c r="B216" s="172"/>
      <c r="D216" s="169"/>
      <c r="E216" s="169"/>
      <c r="F216" s="169"/>
      <c r="G216" s="244"/>
      <c r="H216" s="169"/>
      <c r="I216" s="295"/>
      <c r="J216" s="295"/>
      <c r="K216" s="169"/>
      <c r="L216" s="169"/>
      <c r="M216" s="169"/>
      <c r="N216" s="169"/>
      <c r="O216" s="169"/>
      <c r="P216" s="169"/>
      <c r="Q216" s="185"/>
      <c r="R216" s="190"/>
      <c r="AS216" s="161"/>
      <c r="BF216" s="162"/>
      <c r="BG216" s="162"/>
      <c r="BH216" s="163"/>
      <c r="BI216" s="163"/>
      <c r="BJ216" s="161"/>
      <c r="BK216" s="288"/>
      <c r="BL216" s="164"/>
      <c r="BM216" s="173"/>
      <c r="BN216" s="252"/>
      <c r="BO216" s="259"/>
      <c r="BP216" s="252"/>
      <c r="BQ216" s="252"/>
      <c r="BR216" s="252"/>
      <c r="BS216" s="259"/>
      <c r="BT216" s="252"/>
      <c r="BU216" s="252"/>
      <c r="BV216" s="252"/>
      <c r="BW216" s="259"/>
      <c r="BX216" s="252"/>
      <c r="BY216" s="252"/>
      <c r="BZ216" s="252"/>
      <c r="CA216" s="259"/>
      <c r="CB216" s="252"/>
      <c r="CC216" s="252"/>
      <c r="CD216" s="252"/>
      <c r="CE216" s="259"/>
      <c r="CF216" s="252"/>
      <c r="CG216" s="252"/>
      <c r="CH216" s="252"/>
      <c r="CI216" s="259"/>
      <c r="CJ216" s="252"/>
      <c r="CK216" s="252"/>
      <c r="CL216" s="252"/>
      <c r="CM216" s="259"/>
      <c r="CN216" s="252"/>
      <c r="CO216" s="252"/>
      <c r="CP216" s="252"/>
      <c r="CQ216" s="259"/>
      <c r="CR216" s="252"/>
      <c r="CS216" s="252"/>
      <c r="CT216" s="255"/>
      <c r="CU216" s="173"/>
      <c r="CV216" s="173"/>
      <c r="CW216" s="173"/>
      <c r="CX216" s="173"/>
      <c r="CY216" s="173"/>
      <c r="CZ216" s="173"/>
      <c r="DA216" s="173"/>
      <c r="DB216" s="173"/>
      <c r="DC216" s="173"/>
      <c r="DD216" s="173"/>
      <c r="DE216" s="173"/>
      <c r="DF216" s="173"/>
    </row>
    <row r="217" spans="1:110" s="174" customFormat="1" x14ac:dyDescent="0.2">
      <c r="A217" s="190"/>
      <c r="B217" s="172"/>
      <c r="D217" s="169"/>
      <c r="E217" s="169"/>
      <c r="F217" s="169"/>
      <c r="G217" s="244"/>
      <c r="H217" s="169"/>
      <c r="I217" s="295"/>
      <c r="J217" s="295"/>
      <c r="K217" s="169"/>
      <c r="L217" s="169"/>
      <c r="M217" s="169"/>
      <c r="N217" s="169"/>
      <c r="O217" s="169"/>
      <c r="P217" s="169"/>
      <c r="Q217" s="185"/>
      <c r="R217" s="190"/>
      <c r="AS217" s="161"/>
      <c r="BF217" s="162"/>
      <c r="BG217" s="162"/>
      <c r="BH217" s="163"/>
      <c r="BI217" s="163"/>
      <c r="BJ217" s="161"/>
      <c r="BK217" s="288"/>
      <c r="BL217" s="164"/>
      <c r="BM217" s="173"/>
      <c r="BN217" s="252"/>
      <c r="BO217" s="259"/>
      <c r="BP217" s="252"/>
      <c r="BQ217" s="252"/>
      <c r="BR217" s="252"/>
      <c r="BS217" s="259"/>
      <c r="BT217" s="252"/>
      <c r="BU217" s="252"/>
      <c r="BV217" s="252"/>
      <c r="BW217" s="259"/>
      <c r="BX217" s="252"/>
      <c r="BY217" s="252"/>
      <c r="BZ217" s="252"/>
      <c r="CA217" s="259"/>
      <c r="CB217" s="252"/>
      <c r="CC217" s="252"/>
      <c r="CD217" s="252"/>
      <c r="CE217" s="259"/>
      <c r="CF217" s="252"/>
      <c r="CG217" s="252"/>
      <c r="CH217" s="252"/>
      <c r="CI217" s="259"/>
      <c r="CJ217" s="252"/>
      <c r="CK217" s="252"/>
      <c r="CL217" s="252"/>
      <c r="CM217" s="259"/>
      <c r="CN217" s="252"/>
      <c r="CO217" s="252"/>
      <c r="CP217" s="252"/>
      <c r="CQ217" s="259"/>
      <c r="CR217" s="252"/>
      <c r="CS217" s="252"/>
      <c r="CT217" s="255"/>
      <c r="CU217" s="173"/>
      <c r="CV217" s="173"/>
      <c r="CW217" s="173"/>
      <c r="CX217" s="173"/>
      <c r="CY217" s="173"/>
      <c r="CZ217" s="173"/>
      <c r="DA217" s="173"/>
      <c r="DB217" s="173"/>
      <c r="DC217" s="173"/>
      <c r="DD217" s="173"/>
      <c r="DE217" s="173"/>
      <c r="DF217" s="173"/>
    </row>
    <row r="218" spans="1:110" s="174" customFormat="1" x14ac:dyDescent="0.2">
      <c r="A218" s="190"/>
      <c r="B218" s="172"/>
      <c r="D218" s="169"/>
      <c r="E218" s="169"/>
      <c r="F218" s="169"/>
      <c r="G218" s="244"/>
      <c r="H218" s="169"/>
      <c r="I218" s="295"/>
      <c r="J218" s="295"/>
      <c r="K218" s="169"/>
      <c r="L218" s="169"/>
      <c r="M218" s="169"/>
      <c r="N218" s="169"/>
      <c r="O218" s="169"/>
      <c r="P218" s="169"/>
      <c r="Q218" s="185"/>
      <c r="R218" s="190"/>
      <c r="AS218" s="161"/>
      <c r="BF218" s="162"/>
      <c r="BG218" s="162"/>
      <c r="BH218" s="163"/>
      <c r="BI218" s="163"/>
      <c r="BJ218" s="161"/>
      <c r="BK218" s="288"/>
      <c r="BL218" s="164"/>
      <c r="BM218" s="173"/>
      <c r="BN218" s="252"/>
      <c r="BO218" s="259"/>
      <c r="BP218" s="252"/>
      <c r="BQ218" s="252"/>
      <c r="BR218" s="252"/>
      <c r="BS218" s="259"/>
      <c r="BT218" s="252"/>
      <c r="BU218" s="252"/>
      <c r="BV218" s="252"/>
      <c r="BW218" s="259"/>
      <c r="BX218" s="252"/>
      <c r="BY218" s="252"/>
      <c r="BZ218" s="252"/>
      <c r="CA218" s="259"/>
      <c r="CB218" s="252"/>
      <c r="CC218" s="252"/>
      <c r="CD218" s="252"/>
      <c r="CE218" s="259"/>
      <c r="CF218" s="252"/>
      <c r="CG218" s="252"/>
      <c r="CH218" s="252"/>
      <c r="CI218" s="259"/>
      <c r="CJ218" s="252"/>
      <c r="CK218" s="252"/>
      <c r="CL218" s="252"/>
      <c r="CM218" s="259"/>
      <c r="CN218" s="252"/>
      <c r="CO218" s="252"/>
      <c r="CP218" s="252"/>
      <c r="CQ218" s="259"/>
      <c r="CR218" s="252"/>
      <c r="CS218" s="252"/>
      <c r="CT218" s="255"/>
      <c r="CU218" s="173"/>
      <c r="CV218" s="173"/>
      <c r="CW218" s="173"/>
      <c r="CX218" s="173"/>
      <c r="CY218" s="173"/>
      <c r="CZ218" s="173"/>
      <c r="DA218" s="173"/>
      <c r="DB218" s="173"/>
      <c r="DC218" s="173"/>
      <c r="DD218" s="173"/>
      <c r="DE218" s="173"/>
      <c r="DF218" s="173"/>
    </row>
    <row r="219" spans="1:110" s="174" customFormat="1" x14ac:dyDescent="0.2">
      <c r="A219" s="190"/>
      <c r="B219" s="172"/>
      <c r="D219" s="169"/>
      <c r="E219" s="169"/>
      <c r="F219" s="169"/>
      <c r="G219" s="244"/>
      <c r="H219" s="169"/>
      <c r="I219" s="295"/>
      <c r="J219" s="295"/>
      <c r="K219" s="169"/>
      <c r="L219" s="169"/>
      <c r="M219" s="169"/>
      <c r="N219" s="169"/>
      <c r="O219" s="169"/>
      <c r="P219" s="169"/>
      <c r="Q219" s="185"/>
      <c r="R219" s="190"/>
      <c r="AS219" s="161"/>
      <c r="BF219" s="162"/>
      <c r="BG219" s="162"/>
      <c r="BH219" s="163"/>
      <c r="BI219" s="163"/>
      <c r="BJ219" s="161"/>
      <c r="BK219" s="288"/>
      <c r="BL219" s="164"/>
      <c r="BM219" s="173"/>
      <c r="BN219" s="252"/>
      <c r="BO219" s="259"/>
      <c r="BP219" s="252"/>
      <c r="BQ219" s="252"/>
      <c r="BR219" s="252"/>
      <c r="BS219" s="259"/>
      <c r="BT219" s="252"/>
      <c r="BU219" s="252"/>
      <c r="BV219" s="252"/>
      <c r="BW219" s="259"/>
      <c r="BX219" s="252"/>
      <c r="BY219" s="252"/>
      <c r="BZ219" s="252"/>
      <c r="CA219" s="259"/>
      <c r="CB219" s="252"/>
      <c r="CC219" s="252"/>
      <c r="CD219" s="252"/>
      <c r="CE219" s="259"/>
      <c r="CF219" s="252"/>
      <c r="CG219" s="252"/>
      <c r="CH219" s="252"/>
      <c r="CI219" s="259"/>
      <c r="CJ219" s="252"/>
      <c r="CK219" s="252"/>
      <c r="CL219" s="252"/>
      <c r="CM219" s="259"/>
      <c r="CN219" s="252"/>
      <c r="CO219" s="252"/>
      <c r="CP219" s="252"/>
      <c r="CQ219" s="259"/>
      <c r="CR219" s="252"/>
      <c r="CS219" s="252"/>
      <c r="CT219" s="255"/>
      <c r="CU219" s="173"/>
      <c r="CV219" s="173"/>
      <c r="CW219" s="173"/>
      <c r="CX219" s="173"/>
      <c r="CY219" s="173"/>
      <c r="CZ219" s="173"/>
      <c r="DA219" s="173"/>
      <c r="DB219" s="173"/>
      <c r="DC219" s="173"/>
      <c r="DD219" s="173"/>
      <c r="DE219" s="173"/>
      <c r="DF219" s="173"/>
    </row>
    <row r="220" spans="1:110" s="174" customFormat="1" x14ac:dyDescent="0.2">
      <c r="A220" s="190"/>
      <c r="B220" s="172"/>
      <c r="D220" s="169"/>
      <c r="E220" s="169"/>
      <c r="F220" s="169"/>
      <c r="G220" s="244"/>
      <c r="H220" s="169"/>
      <c r="I220" s="295"/>
      <c r="J220" s="295"/>
      <c r="K220" s="169"/>
      <c r="L220" s="169"/>
      <c r="M220" s="169"/>
      <c r="N220" s="169"/>
      <c r="O220" s="169"/>
      <c r="P220" s="169"/>
      <c r="Q220" s="185"/>
      <c r="R220" s="190"/>
      <c r="AS220" s="161"/>
      <c r="BF220" s="162"/>
      <c r="BG220" s="162"/>
      <c r="BH220" s="163"/>
      <c r="BI220" s="163"/>
      <c r="BJ220" s="161"/>
      <c r="BK220" s="288"/>
      <c r="BL220" s="164"/>
      <c r="BM220" s="173"/>
      <c r="BN220" s="252"/>
      <c r="BO220" s="259"/>
      <c r="BP220" s="252"/>
      <c r="BQ220" s="252"/>
      <c r="BR220" s="252"/>
      <c r="BS220" s="259"/>
      <c r="BT220" s="252"/>
      <c r="BU220" s="252"/>
      <c r="BV220" s="252"/>
      <c r="BW220" s="259"/>
      <c r="BX220" s="252"/>
      <c r="BY220" s="252"/>
      <c r="BZ220" s="252"/>
      <c r="CA220" s="259"/>
      <c r="CB220" s="252"/>
      <c r="CC220" s="252"/>
      <c r="CD220" s="252"/>
      <c r="CE220" s="259"/>
      <c r="CF220" s="252"/>
      <c r="CG220" s="252"/>
      <c r="CH220" s="252"/>
      <c r="CI220" s="259"/>
      <c r="CJ220" s="252"/>
      <c r="CK220" s="252"/>
      <c r="CL220" s="252"/>
      <c r="CM220" s="259"/>
      <c r="CN220" s="252"/>
      <c r="CO220" s="252"/>
      <c r="CP220" s="252"/>
      <c r="CQ220" s="259"/>
      <c r="CR220" s="252"/>
      <c r="CS220" s="252"/>
      <c r="CT220" s="255"/>
      <c r="CU220" s="173"/>
      <c r="CV220" s="173"/>
      <c r="CW220" s="173"/>
      <c r="CX220" s="173"/>
      <c r="CY220" s="173"/>
      <c r="CZ220" s="173"/>
      <c r="DA220" s="173"/>
      <c r="DB220" s="173"/>
      <c r="DC220" s="173"/>
      <c r="DD220" s="173"/>
      <c r="DE220" s="173"/>
      <c r="DF220" s="173"/>
    </row>
    <row r="221" spans="1:110" s="174" customFormat="1" x14ac:dyDescent="0.2">
      <c r="A221" s="190"/>
      <c r="B221" s="172"/>
      <c r="D221" s="169"/>
      <c r="E221" s="169"/>
      <c r="F221" s="169"/>
      <c r="G221" s="244"/>
      <c r="H221" s="169"/>
      <c r="I221" s="295"/>
      <c r="J221" s="295"/>
      <c r="K221" s="169"/>
      <c r="L221" s="169"/>
      <c r="M221" s="169"/>
      <c r="N221" s="169"/>
      <c r="O221" s="169"/>
      <c r="P221" s="169"/>
      <c r="Q221" s="185"/>
      <c r="R221" s="190"/>
      <c r="AS221" s="161"/>
      <c r="BF221" s="162"/>
      <c r="BG221" s="162"/>
      <c r="BH221" s="163"/>
      <c r="BI221" s="163"/>
      <c r="BJ221" s="161"/>
      <c r="BK221" s="288"/>
      <c r="BL221" s="164"/>
      <c r="BM221" s="173"/>
      <c r="BN221" s="252"/>
      <c r="BO221" s="259"/>
      <c r="BP221" s="252"/>
      <c r="BQ221" s="252"/>
      <c r="BR221" s="252"/>
      <c r="BS221" s="259"/>
      <c r="BT221" s="252"/>
      <c r="BU221" s="252"/>
      <c r="BV221" s="252"/>
      <c r="BW221" s="259"/>
      <c r="BX221" s="252"/>
      <c r="BY221" s="252"/>
      <c r="BZ221" s="252"/>
      <c r="CA221" s="259"/>
      <c r="CB221" s="252"/>
      <c r="CC221" s="252"/>
      <c r="CD221" s="252"/>
      <c r="CE221" s="259"/>
      <c r="CF221" s="252"/>
      <c r="CG221" s="252"/>
      <c r="CH221" s="252"/>
      <c r="CI221" s="259"/>
      <c r="CJ221" s="252"/>
      <c r="CK221" s="252"/>
      <c r="CL221" s="252"/>
      <c r="CM221" s="259"/>
      <c r="CN221" s="252"/>
      <c r="CO221" s="252"/>
      <c r="CP221" s="252"/>
      <c r="CQ221" s="259"/>
      <c r="CR221" s="252"/>
      <c r="CS221" s="252"/>
      <c r="CT221" s="255"/>
      <c r="CU221" s="173"/>
      <c r="CV221" s="173"/>
      <c r="CW221" s="173"/>
      <c r="CX221" s="173"/>
      <c r="CY221" s="173"/>
      <c r="CZ221" s="173"/>
      <c r="DA221" s="173"/>
      <c r="DB221" s="173"/>
      <c r="DC221" s="173"/>
      <c r="DD221" s="173"/>
      <c r="DE221" s="173"/>
      <c r="DF221" s="173"/>
    </row>
    <row r="222" spans="1:110" s="174" customFormat="1" x14ac:dyDescent="0.2">
      <c r="A222" s="190"/>
      <c r="B222" s="172"/>
      <c r="D222" s="169"/>
      <c r="E222" s="169"/>
      <c r="F222" s="169"/>
      <c r="G222" s="244"/>
      <c r="H222" s="169"/>
      <c r="I222" s="295"/>
      <c r="J222" s="295"/>
      <c r="K222" s="169"/>
      <c r="L222" s="169"/>
      <c r="M222" s="169"/>
      <c r="N222" s="169"/>
      <c r="O222" s="169"/>
      <c r="P222" s="169"/>
      <c r="Q222" s="185"/>
      <c r="R222" s="190"/>
      <c r="AS222" s="161"/>
      <c r="BF222" s="162"/>
      <c r="BG222" s="162"/>
      <c r="BH222" s="163"/>
      <c r="BI222" s="163"/>
      <c r="BJ222" s="161"/>
      <c r="BK222" s="288"/>
      <c r="BL222" s="164"/>
      <c r="BM222" s="173"/>
      <c r="BN222" s="252"/>
      <c r="BO222" s="259"/>
      <c r="BP222" s="252"/>
      <c r="BQ222" s="252"/>
      <c r="BR222" s="252"/>
      <c r="BS222" s="259"/>
      <c r="BT222" s="252"/>
      <c r="BU222" s="252"/>
      <c r="BV222" s="252"/>
      <c r="BW222" s="259"/>
      <c r="BX222" s="252"/>
      <c r="BY222" s="252"/>
      <c r="BZ222" s="252"/>
      <c r="CA222" s="259"/>
      <c r="CB222" s="252"/>
      <c r="CC222" s="252"/>
      <c r="CD222" s="252"/>
      <c r="CE222" s="259"/>
      <c r="CF222" s="252"/>
      <c r="CG222" s="252"/>
      <c r="CH222" s="252"/>
      <c r="CI222" s="259"/>
      <c r="CJ222" s="252"/>
      <c r="CK222" s="252"/>
      <c r="CL222" s="252"/>
      <c r="CM222" s="259"/>
      <c r="CN222" s="252"/>
      <c r="CO222" s="252"/>
      <c r="CP222" s="252"/>
      <c r="CQ222" s="259"/>
      <c r="CR222" s="252"/>
      <c r="CS222" s="252"/>
      <c r="CT222" s="255"/>
      <c r="CU222" s="173"/>
      <c r="CV222" s="173"/>
      <c r="CW222" s="173"/>
      <c r="CX222" s="173"/>
      <c r="CY222" s="173"/>
      <c r="CZ222" s="173"/>
      <c r="DA222" s="173"/>
      <c r="DB222" s="173"/>
      <c r="DC222" s="173"/>
      <c r="DD222" s="173"/>
      <c r="DE222" s="173"/>
      <c r="DF222" s="173"/>
    </row>
    <row r="223" spans="1:110" s="174" customFormat="1" x14ac:dyDescent="0.2">
      <c r="A223" s="190"/>
      <c r="B223" s="172"/>
      <c r="D223" s="169"/>
      <c r="E223" s="169"/>
      <c r="F223" s="169"/>
      <c r="G223" s="244"/>
      <c r="H223" s="169"/>
      <c r="I223" s="295"/>
      <c r="J223" s="295"/>
      <c r="K223" s="169"/>
      <c r="L223" s="169"/>
      <c r="M223" s="169"/>
      <c r="N223" s="169"/>
      <c r="O223" s="169"/>
      <c r="P223" s="169"/>
      <c r="Q223" s="185"/>
      <c r="R223" s="190"/>
      <c r="AS223" s="161"/>
      <c r="BF223" s="162"/>
      <c r="BG223" s="162"/>
      <c r="BH223" s="163"/>
      <c r="BI223" s="163"/>
      <c r="BJ223" s="161"/>
      <c r="BK223" s="288"/>
      <c r="BL223" s="164"/>
      <c r="BM223" s="173"/>
      <c r="BN223" s="252"/>
      <c r="BO223" s="259"/>
      <c r="BP223" s="252"/>
      <c r="BQ223" s="252"/>
      <c r="BR223" s="252"/>
      <c r="BS223" s="259"/>
      <c r="BT223" s="252"/>
      <c r="BU223" s="252"/>
      <c r="BV223" s="252"/>
      <c r="BW223" s="259"/>
      <c r="BX223" s="252"/>
      <c r="BY223" s="252"/>
      <c r="BZ223" s="252"/>
      <c r="CA223" s="259"/>
      <c r="CB223" s="252"/>
      <c r="CC223" s="252"/>
      <c r="CD223" s="252"/>
      <c r="CE223" s="259"/>
      <c r="CF223" s="252"/>
      <c r="CG223" s="252"/>
      <c r="CH223" s="252"/>
      <c r="CI223" s="259"/>
      <c r="CJ223" s="252"/>
      <c r="CK223" s="252"/>
      <c r="CL223" s="252"/>
      <c r="CM223" s="259"/>
      <c r="CN223" s="252"/>
      <c r="CO223" s="252"/>
      <c r="CP223" s="252"/>
      <c r="CQ223" s="259"/>
      <c r="CR223" s="252"/>
      <c r="CS223" s="252"/>
      <c r="CT223" s="255"/>
      <c r="CU223" s="173"/>
      <c r="CV223" s="173"/>
      <c r="CW223" s="173"/>
      <c r="CX223" s="173"/>
      <c r="CY223" s="173"/>
      <c r="CZ223" s="173"/>
      <c r="DA223" s="173"/>
      <c r="DB223" s="173"/>
      <c r="DC223" s="173"/>
      <c r="DD223" s="173"/>
      <c r="DE223" s="173"/>
      <c r="DF223" s="173"/>
    </row>
    <row r="224" spans="1:110" s="174" customFormat="1" x14ac:dyDescent="0.2">
      <c r="A224" s="190"/>
      <c r="B224" s="172"/>
      <c r="D224" s="169"/>
      <c r="E224" s="169"/>
      <c r="F224" s="169"/>
      <c r="G224" s="244"/>
      <c r="H224" s="169"/>
      <c r="I224" s="295"/>
      <c r="J224" s="295"/>
      <c r="K224" s="169"/>
      <c r="L224" s="169"/>
      <c r="M224" s="169"/>
      <c r="N224" s="169"/>
      <c r="O224" s="169"/>
      <c r="P224" s="169"/>
      <c r="Q224" s="185"/>
      <c r="R224" s="190"/>
      <c r="AS224" s="161"/>
      <c r="BF224" s="162"/>
      <c r="BG224" s="162"/>
      <c r="BH224" s="163"/>
      <c r="BI224" s="163"/>
      <c r="BJ224" s="161"/>
      <c r="BK224" s="288"/>
      <c r="BL224" s="164"/>
      <c r="BM224" s="173"/>
      <c r="BN224" s="252"/>
      <c r="BO224" s="259"/>
      <c r="BP224" s="252"/>
      <c r="BQ224" s="252"/>
      <c r="BR224" s="252"/>
      <c r="BS224" s="259"/>
      <c r="BT224" s="252"/>
      <c r="BU224" s="252"/>
      <c r="BV224" s="252"/>
      <c r="BW224" s="259"/>
      <c r="BX224" s="252"/>
      <c r="BY224" s="252"/>
      <c r="BZ224" s="252"/>
      <c r="CA224" s="259"/>
      <c r="CB224" s="252"/>
      <c r="CC224" s="252"/>
      <c r="CD224" s="252"/>
      <c r="CE224" s="259"/>
      <c r="CF224" s="252"/>
      <c r="CG224" s="252"/>
      <c r="CH224" s="252"/>
      <c r="CI224" s="259"/>
      <c r="CJ224" s="252"/>
      <c r="CK224" s="252"/>
      <c r="CL224" s="252"/>
      <c r="CM224" s="259"/>
      <c r="CN224" s="252"/>
      <c r="CO224" s="252"/>
      <c r="CP224" s="252"/>
      <c r="CQ224" s="259"/>
      <c r="CR224" s="252"/>
      <c r="CS224" s="252"/>
      <c r="CT224" s="255"/>
      <c r="CU224" s="173"/>
      <c r="CV224" s="173"/>
      <c r="CW224" s="173"/>
      <c r="CX224" s="173"/>
      <c r="CY224" s="173"/>
      <c r="CZ224" s="173"/>
      <c r="DA224" s="173"/>
      <c r="DB224" s="173"/>
      <c r="DC224" s="173"/>
      <c r="DD224" s="173"/>
      <c r="DE224" s="173"/>
      <c r="DF224" s="173"/>
    </row>
    <row r="225" spans="1:110" s="174" customFormat="1" x14ac:dyDescent="0.2">
      <c r="A225" s="190"/>
      <c r="B225" s="172"/>
      <c r="D225" s="169"/>
      <c r="E225" s="169"/>
      <c r="F225" s="169"/>
      <c r="G225" s="244"/>
      <c r="H225" s="169"/>
      <c r="I225" s="295"/>
      <c r="J225" s="295"/>
      <c r="K225" s="169"/>
      <c r="L225" s="169"/>
      <c r="M225" s="169"/>
      <c r="N225" s="169"/>
      <c r="O225" s="169"/>
      <c r="P225" s="169"/>
      <c r="Q225" s="185"/>
      <c r="R225" s="190"/>
      <c r="AS225" s="161"/>
      <c r="BF225" s="162"/>
      <c r="BG225" s="162"/>
      <c r="BH225" s="163"/>
      <c r="BI225" s="163"/>
      <c r="BJ225" s="161"/>
      <c r="BK225" s="288"/>
      <c r="BL225" s="164"/>
      <c r="BM225" s="173"/>
      <c r="BN225" s="252"/>
      <c r="BO225" s="259"/>
      <c r="BP225" s="252"/>
      <c r="BQ225" s="252"/>
      <c r="BR225" s="252"/>
      <c r="BS225" s="259"/>
      <c r="BT225" s="252"/>
      <c r="BU225" s="252"/>
      <c r="BV225" s="252"/>
      <c r="BW225" s="259"/>
      <c r="BX225" s="252"/>
      <c r="BY225" s="252"/>
      <c r="BZ225" s="252"/>
      <c r="CA225" s="259"/>
      <c r="CB225" s="252"/>
      <c r="CC225" s="252"/>
      <c r="CD225" s="252"/>
      <c r="CE225" s="259"/>
      <c r="CF225" s="252"/>
      <c r="CG225" s="252"/>
      <c r="CH225" s="252"/>
      <c r="CI225" s="259"/>
      <c r="CJ225" s="252"/>
      <c r="CK225" s="252"/>
      <c r="CL225" s="252"/>
      <c r="CM225" s="259"/>
      <c r="CN225" s="252"/>
      <c r="CO225" s="252"/>
      <c r="CP225" s="252"/>
      <c r="CQ225" s="259"/>
      <c r="CR225" s="252"/>
      <c r="CS225" s="252"/>
      <c r="CT225" s="255"/>
      <c r="CU225" s="173"/>
      <c r="CV225" s="173"/>
      <c r="CW225" s="173"/>
      <c r="CX225" s="173"/>
      <c r="CY225" s="173"/>
      <c r="CZ225" s="173"/>
      <c r="DA225" s="173"/>
      <c r="DB225" s="173"/>
      <c r="DC225" s="173"/>
      <c r="DD225" s="173"/>
      <c r="DE225" s="173"/>
      <c r="DF225" s="173"/>
    </row>
    <row r="226" spans="1:110" s="174" customFormat="1" x14ac:dyDescent="0.2">
      <c r="A226" s="190"/>
      <c r="B226" s="172"/>
      <c r="D226" s="169"/>
      <c r="E226" s="169"/>
      <c r="F226" s="169"/>
      <c r="G226" s="244"/>
      <c r="H226" s="169"/>
      <c r="I226" s="295"/>
      <c r="J226" s="295"/>
      <c r="K226" s="169"/>
      <c r="L226" s="169"/>
      <c r="M226" s="169"/>
      <c r="N226" s="169"/>
      <c r="O226" s="169"/>
      <c r="P226" s="169"/>
      <c r="Q226" s="185"/>
      <c r="R226" s="190"/>
      <c r="AS226" s="161"/>
      <c r="BF226" s="162"/>
      <c r="BG226" s="162"/>
      <c r="BH226" s="163"/>
      <c r="BI226" s="163"/>
      <c r="BJ226" s="161"/>
      <c r="BK226" s="288"/>
      <c r="BL226" s="164"/>
      <c r="BM226" s="173"/>
      <c r="BN226" s="252"/>
      <c r="BO226" s="259"/>
      <c r="BP226" s="252"/>
      <c r="BQ226" s="252"/>
      <c r="BR226" s="252"/>
      <c r="BS226" s="259"/>
      <c r="BT226" s="252"/>
      <c r="BU226" s="252"/>
      <c r="BV226" s="252"/>
      <c r="BW226" s="259"/>
      <c r="BX226" s="252"/>
      <c r="BY226" s="252"/>
      <c r="BZ226" s="252"/>
      <c r="CA226" s="259"/>
      <c r="CB226" s="252"/>
      <c r="CC226" s="252"/>
      <c r="CD226" s="252"/>
      <c r="CE226" s="259"/>
      <c r="CF226" s="252"/>
      <c r="CG226" s="252"/>
      <c r="CH226" s="252"/>
      <c r="CI226" s="259"/>
      <c r="CJ226" s="252"/>
      <c r="CK226" s="252"/>
      <c r="CL226" s="252"/>
      <c r="CM226" s="259"/>
      <c r="CN226" s="252"/>
      <c r="CO226" s="252"/>
      <c r="CP226" s="252"/>
      <c r="CQ226" s="259"/>
      <c r="CR226" s="252"/>
      <c r="CS226" s="252"/>
      <c r="CT226" s="255"/>
      <c r="CU226" s="173"/>
      <c r="CV226" s="173"/>
      <c r="CW226" s="173"/>
      <c r="CX226" s="173"/>
      <c r="CY226" s="173"/>
      <c r="CZ226" s="173"/>
      <c r="DA226" s="173"/>
      <c r="DB226" s="173"/>
      <c r="DC226" s="173"/>
      <c r="DD226" s="173"/>
      <c r="DE226" s="173"/>
      <c r="DF226" s="173"/>
    </row>
    <row r="227" spans="1:110" s="174" customFormat="1" x14ac:dyDescent="0.2">
      <c r="A227" s="190"/>
      <c r="B227" s="172"/>
      <c r="D227" s="169"/>
      <c r="E227" s="169"/>
      <c r="F227" s="169"/>
      <c r="G227" s="244"/>
      <c r="H227" s="169"/>
      <c r="I227" s="295"/>
      <c r="J227" s="295"/>
      <c r="K227" s="169"/>
      <c r="L227" s="169"/>
      <c r="M227" s="169"/>
      <c r="N227" s="169"/>
      <c r="O227" s="169"/>
      <c r="P227" s="169"/>
      <c r="Q227" s="185"/>
      <c r="R227" s="190"/>
      <c r="AS227" s="161"/>
      <c r="BF227" s="162"/>
      <c r="BG227" s="162"/>
      <c r="BH227" s="163"/>
      <c r="BI227" s="163"/>
      <c r="BJ227" s="161"/>
      <c r="BK227" s="288"/>
      <c r="BL227" s="164"/>
      <c r="BM227" s="173"/>
      <c r="BN227" s="252"/>
      <c r="BO227" s="259"/>
      <c r="BP227" s="252"/>
      <c r="BQ227" s="252"/>
      <c r="BR227" s="252"/>
      <c r="BS227" s="259"/>
      <c r="BT227" s="252"/>
      <c r="BU227" s="252"/>
      <c r="BV227" s="252"/>
      <c r="BW227" s="259"/>
      <c r="BX227" s="252"/>
      <c r="BY227" s="252"/>
      <c r="BZ227" s="252"/>
      <c r="CA227" s="259"/>
      <c r="CB227" s="252"/>
      <c r="CC227" s="252"/>
      <c r="CD227" s="252"/>
      <c r="CE227" s="259"/>
      <c r="CF227" s="252"/>
      <c r="CG227" s="252"/>
      <c r="CH227" s="252"/>
      <c r="CI227" s="259"/>
      <c r="CJ227" s="252"/>
      <c r="CK227" s="252"/>
      <c r="CL227" s="252"/>
      <c r="CM227" s="259"/>
      <c r="CN227" s="252"/>
      <c r="CO227" s="252"/>
      <c r="CP227" s="252"/>
      <c r="CQ227" s="259"/>
      <c r="CR227" s="252"/>
      <c r="CS227" s="252"/>
      <c r="CT227" s="255"/>
      <c r="CU227" s="173"/>
      <c r="CV227" s="173"/>
      <c r="CW227" s="173"/>
      <c r="CX227" s="173"/>
      <c r="CY227" s="173"/>
      <c r="CZ227" s="173"/>
      <c r="DA227" s="173"/>
      <c r="DB227" s="173"/>
      <c r="DC227" s="173"/>
      <c r="DD227" s="173"/>
      <c r="DE227" s="173"/>
      <c r="DF227" s="173"/>
    </row>
    <row r="228" spans="1:110" s="174" customFormat="1" x14ac:dyDescent="0.2">
      <c r="A228" s="190"/>
      <c r="B228" s="172"/>
      <c r="D228" s="169"/>
      <c r="E228" s="169"/>
      <c r="F228" s="169"/>
      <c r="G228" s="244"/>
      <c r="H228" s="169"/>
      <c r="I228" s="295"/>
      <c r="J228" s="295"/>
      <c r="K228" s="169"/>
      <c r="L228" s="169"/>
      <c r="M228" s="169"/>
      <c r="N228" s="169"/>
      <c r="O228" s="169"/>
      <c r="P228" s="169"/>
      <c r="Q228" s="185"/>
      <c r="R228" s="190"/>
      <c r="AS228" s="161"/>
      <c r="BF228" s="162"/>
      <c r="BG228" s="162"/>
      <c r="BH228" s="163"/>
      <c r="BI228" s="163"/>
      <c r="BJ228" s="161"/>
      <c r="BK228" s="288"/>
      <c r="BL228" s="164"/>
      <c r="BM228" s="173"/>
      <c r="BN228" s="252"/>
      <c r="BO228" s="259"/>
      <c r="BP228" s="252"/>
      <c r="BQ228" s="252"/>
      <c r="BR228" s="252"/>
      <c r="BS228" s="259"/>
      <c r="BT228" s="252"/>
      <c r="BU228" s="252"/>
      <c r="BV228" s="252"/>
      <c r="BW228" s="259"/>
      <c r="BX228" s="252"/>
      <c r="BY228" s="252"/>
      <c r="BZ228" s="252"/>
      <c r="CA228" s="259"/>
      <c r="CB228" s="252"/>
      <c r="CC228" s="252"/>
      <c r="CD228" s="252"/>
      <c r="CE228" s="259"/>
      <c r="CF228" s="252"/>
      <c r="CG228" s="252"/>
      <c r="CH228" s="252"/>
      <c r="CI228" s="259"/>
      <c r="CJ228" s="252"/>
      <c r="CK228" s="252"/>
      <c r="CL228" s="252"/>
      <c r="CM228" s="259"/>
      <c r="CN228" s="252"/>
      <c r="CO228" s="252"/>
      <c r="CP228" s="252"/>
      <c r="CQ228" s="259"/>
      <c r="CR228" s="252"/>
      <c r="CS228" s="252"/>
      <c r="CT228" s="255"/>
      <c r="CU228" s="173"/>
      <c r="CV228" s="173"/>
      <c r="CW228" s="173"/>
      <c r="CX228" s="173"/>
      <c r="CY228" s="173"/>
      <c r="CZ228" s="173"/>
      <c r="DA228" s="173"/>
      <c r="DB228" s="173"/>
      <c r="DC228" s="173"/>
      <c r="DD228" s="173"/>
      <c r="DE228" s="173"/>
      <c r="DF228" s="173"/>
    </row>
    <row r="229" spans="1:110" s="174" customFormat="1" x14ac:dyDescent="0.2">
      <c r="A229" s="190"/>
      <c r="B229" s="172"/>
      <c r="D229" s="169"/>
      <c r="E229" s="169"/>
      <c r="F229" s="169"/>
      <c r="G229" s="244"/>
      <c r="H229" s="169"/>
      <c r="I229" s="295"/>
      <c r="J229" s="295"/>
      <c r="K229" s="169"/>
      <c r="L229" s="169"/>
      <c r="M229" s="169"/>
      <c r="N229" s="169"/>
      <c r="O229" s="169"/>
      <c r="P229" s="169"/>
      <c r="Q229" s="185"/>
      <c r="R229" s="190"/>
      <c r="AS229" s="161"/>
      <c r="BF229" s="162"/>
      <c r="BG229" s="162"/>
      <c r="BH229" s="163"/>
      <c r="BI229" s="163"/>
      <c r="BJ229" s="161"/>
      <c r="BK229" s="288"/>
      <c r="BL229" s="164"/>
      <c r="BM229" s="173"/>
      <c r="BN229" s="252"/>
      <c r="BO229" s="259"/>
      <c r="BP229" s="252"/>
      <c r="BQ229" s="252"/>
      <c r="BR229" s="252"/>
      <c r="BS229" s="259"/>
      <c r="BT229" s="252"/>
      <c r="BU229" s="252"/>
      <c r="BV229" s="252"/>
      <c r="BW229" s="259"/>
      <c r="BX229" s="252"/>
      <c r="BY229" s="252"/>
      <c r="BZ229" s="252"/>
      <c r="CA229" s="259"/>
      <c r="CB229" s="252"/>
      <c r="CC229" s="252"/>
      <c r="CD229" s="252"/>
      <c r="CE229" s="259"/>
      <c r="CF229" s="252"/>
      <c r="CG229" s="252"/>
      <c r="CH229" s="252"/>
      <c r="CI229" s="259"/>
      <c r="CJ229" s="252"/>
      <c r="CK229" s="252"/>
      <c r="CL229" s="252"/>
      <c r="CM229" s="259"/>
      <c r="CN229" s="252"/>
      <c r="CO229" s="252"/>
      <c r="CP229" s="252"/>
      <c r="CQ229" s="259"/>
      <c r="CR229" s="252"/>
      <c r="CS229" s="252"/>
      <c r="CT229" s="255"/>
      <c r="CU229" s="173"/>
      <c r="CV229" s="173"/>
      <c r="CW229" s="173"/>
      <c r="CX229" s="173"/>
      <c r="CY229" s="173"/>
      <c r="CZ229" s="173"/>
      <c r="DA229" s="173"/>
      <c r="DB229" s="173"/>
      <c r="DC229" s="173"/>
      <c r="DD229" s="173"/>
      <c r="DE229" s="173"/>
      <c r="DF229" s="173"/>
    </row>
    <row r="230" spans="1:110" s="174" customFormat="1" x14ac:dyDescent="0.2">
      <c r="A230" s="190"/>
      <c r="B230" s="172"/>
      <c r="D230" s="169"/>
      <c r="E230" s="169"/>
      <c r="F230" s="169"/>
      <c r="G230" s="244"/>
      <c r="H230" s="169"/>
      <c r="I230" s="295"/>
      <c r="J230" s="295"/>
      <c r="K230" s="169"/>
      <c r="L230" s="169"/>
      <c r="M230" s="169"/>
      <c r="N230" s="169"/>
      <c r="O230" s="169"/>
      <c r="P230" s="169"/>
      <c r="Q230" s="185"/>
      <c r="R230" s="190"/>
      <c r="AS230" s="161"/>
      <c r="BF230" s="162"/>
      <c r="BG230" s="162"/>
      <c r="BH230" s="163"/>
      <c r="BI230" s="163"/>
      <c r="BJ230" s="161"/>
      <c r="BK230" s="288"/>
      <c r="BL230" s="164"/>
      <c r="BM230" s="173"/>
      <c r="BN230" s="252"/>
      <c r="BO230" s="259"/>
      <c r="BP230" s="252"/>
      <c r="BQ230" s="252"/>
      <c r="BR230" s="252"/>
      <c r="BS230" s="259"/>
      <c r="BT230" s="252"/>
      <c r="BU230" s="252"/>
      <c r="BV230" s="252"/>
      <c r="BW230" s="259"/>
      <c r="BX230" s="252"/>
      <c r="BY230" s="252"/>
      <c r="BZ230" s="252"/>
      <c r="CA230" s="259"/>
      <c r="CB230" s="252"/>
      <c r="CC230" s="252"/>
      <c r="CD230" s="252"/>
      <c r="CE230" s="259"/>
      <c r="CF230" s="252"/>
      <c r="CG230" s="252"/>
      <c r="CH230" s="252"/>
      <c r="CI230" s="259"/>
      <c r="CJ230" s="252"/>
      <c r="CK230" s="252"/>
      <c r="CL230" s="252"/>
      <c r="CM230" s="259"/>
      <c r="CN230" s="252"/>
      <c r="CO230" s="252"/>
      <c r="CP230" s="252"/>
      <c r="CQ230" s="259"/>
      <c r="CR230" s="252"/>
      <c r="CS230" s="252"/>
      <c r="CT230" s="255"/>
      <c r="CU230" s="173"/>
      <c r="CV230" s="173"/>
      <c r="CW230" s="173"/>
      <c r="CX230" s="173"/>
      <c r="CY230" s="173"/>
      <c r="CZ230" s="173"/>
      <c r="DA230" s="173"/>
      <c r="DB230" s="173"/>
      <c r="DC230" s="173"/>
      <c r="DD230" s="173"/>
      <c r="DE230" s="173"/>
      <c r="DF230" s="173"/>
    </row>
    <row r="231" spans="1:110" s="174" customFormat="1" x14ac:dyDescent="0.2">
      <c r="A231" s="190"/>
      <c r="B231" s="172"/>
      <c r="D231" s="169"/>
      <c r="E231" s="169"/>
      <c r="F231" s="169"/>
      <c r="G231" s="244"/>
      <c r="H231" s="169"/>
      <c r="I231" s="295"/>
      <c r="J231" s="295"/>
      <c r="K231" s="169"/>
      <c r="L231" s="169"/>
      <c r="M231" s="169"/>
      <c r="N231" s="169"/>
      <c r="O231" s="169"/>
      <c r="P231" s="169"/>
      <c r="Q231" s="185"/>
      <c r="R231" s="190"/>
      <c r="AS231" s="161"/>
      <c r="BF231" s="162"/>
      <c r="BG231" s="162"/>
      <c r="BH231" s="163"/>
      <c r="BI231" s="163"/>
      <c r="BJ231" s="161"/>
      <c r="BK231" s="288"/>
      <c r="BL231" s="164"/>
      <c r="BM231" s="173"/>
      <c r="BN231" s="252"/>
      <c r="BO231" s="259"/>
      <c r="BP231" s="252"/>
      <c r="BQ231" s="252"/>
      <c r="BR231" s="252"/>
      <c r="BS231" s="259"/>
      <c r="BT231" s="252"/>
      <c r="BU231" s="252"/>
      <c r="BV231" s="252"/>
      <c r="BW231" s="259"/>
      <c r="BX231" s="252"/>
      <c r="BY231" s="252"/>
      <c r="BZ231" s="252"/>
      <c r="CA231" s="259"/>
      <c r="CB231" s="252"/>
      <c r="CC231" s="252"/>
      <c r="CD231" s="252"/>
      <c r="CE231" s="259"/>
      <c r="CF231" s="252"/>
      <c r="CG231" s="252"/>
      <c r="CH231" s="252"/>
      <c r="CI231" s="259"/>
      <c r="CJ231" s="252"/>
      <c r="CK231" s="252"/>
      <c r="CL231" s="252"/>
      <c r="CM231" s="259"/>
      <c r="CN231" s="252"/>
      <c r="CO231" s="252"/>
      <c r="CP231" s="252"/>
      <c r="CQ231" s="259"/>
      <c r="CR231" s="252"/>
      <c r="CS231" s="252"/>
      <c r="CT231" s="255"/>
      <c r="CU231" s="173"/>
      <c r="CV231" s="173"/>
      <c r="CW231" s="173"/>
      <c r="CX231" s="173"/>
      <c r="CY231" s="173"/>
      <c r="CZ231" s="173"/>
      <c r="DA231" s="173"/>
      <c r="DB231" s="173"/>
      <c r="DC231" s="173"/>
      <c r="DD231" s="173"/>
      <c r="DE231" s="173"/>
      <c r="DF231" s="173"/>
    </row>
    <row r="232" spans="1:110" s="174" customFormat="1" x14ac:dyDescent="0.2">
      <c r="A232" s="190"/>
      <c r="B232" s="172"/>
      <c r="D232" s="169"/>
      <c r="E232" s="169"/>
      <c r="F232" s="169"/>
      <c r="G232" s="244"/>
      <c r="H232" s="169"/>
      <c r="I232" s="295"/>
      <c r="J232" s="295"/>
      <c r="K232" s="169"/>
      <c r="L232" s="169"/>
      <c r="M232" s="169"/>
      <c r="N232" s="169"/>
      <c r="O232" s="169"/>
      <c r="P232" s="169"/>
      <c r="Q232" s="185"/>
      <c r="R232" s="190"/>
      <c r="AS232" s="161"/>
      <c r="BF232" s="162"/>
      <c r="BG232" s="162"/>
      <c r="BH232" s="163"/>
      <c r="BI232" s="163"/>
      <c r="BJ232" s="161"/>
      <c r="BK232" s="288"/>
      <c r="BL232" s="164"/>
      <c r="BM232" s="173"/>
      <c r="BN232" s="252"/>
      <c r="BO232" s="259"/>
      <c r="BP232" s="252"/>
      <c r="BQ232" s="252"/>
      <c r="BR232" s="252"/>
      <c r="BS232" s="259"/>
      <c r="BT232" s="252"/>
      <c r="BU232" s="252"/>
      <c r="BV232" s="252"/>
      <c r="BW232" s="259"/>
      <c r="BX232" s="252"/>
      <c r="BY232" s="252"/>
      <c r="BZ232" s="252"/>
      <c r="CA232" s="259"/>
      <c r="CB232" s="252"/>
      <c r="CC232" s="252"/>
      <c r="CD232" s="252"/>
      <c r="CE232" s="259"/>
      <c r="CF232" s="252"/>
      <c r="CG232" s="252"/>
      <c r="CH232" s="252"/>
      <c r="CI232" s="259"/>
      <c r="CJ232" s="252"/>
      <c r="CK232" s="252"/>
      <c r="CL232" s="252"/>
      <c r="CM232" s="259"/>
      <c r="CN232" s="252"/>
      <c r="CO232" s="252"/>
      <c r="CP232" s="252"/>
      <c r="CQ232" s="259"/>
      <c r="CR232" s="252"/>
      <c r="CS232" s="252"/>
      <c r="CT232" s="255"/>
      <c r="CU232" s="173"/>
      <c r="CV232" s="173"/>
      <c r="CW232" s="173"/>
      <c r="CX232" s="173"/>
      <c r="CY232" s="173"/>
      <c r="CZ232" s="173"/>
      <c r="DA232" s="173"/>
      <c r="DB232" s="173"/>
      <c r="DC232" s="173"/>
      <c r="DD232" s="173"/>
      <c r="DE232" s="173"/>
      <c r="DF232" s="173"/>
    </row>
    <row r="233" spans="1:110" s="174" customFormat="1" x14ac:dyDescent="0.2">
      <c r="A233" s="190"/>
      <c r="B233" s="172"/>
      <c r="D233" s="169"/>
      <c r="E233" s="169"/>
      <c r="F233" s="169"/>
      <c r="G233" s="244"/>
      <c r="H233" s="169"/>
      <c r="I233" s="295"/>
      <c r="J233" s="295"/>
      <c r="K233" s="169"/>
      <c r="L233" s="169"/>
      <c r="M233" s="169"/>
      <c r="N233" s="169"/>
      <c r="O233" s="169"/>
      <c r="P233" s="169"/>
      <c r="Q233" s="185"/>
      <c r="R233" s="190"/>
      <c r="AS233" s="161"/>
      <c r="BF233" s="162"/>
      <c r="BG233" s="162"/>
      <c r="BH233" s="163"/>
      <c r="BI233" s="163"/>
      <c r="BJ233" s="161"/>
      <c r="BK233" s="288"/>
      <c r="BL233" s="164"/>
      <c r="BM233" s="173"/>
      <c r="BN233" s="252"/>
      <c r="BO233" s="259"/>
      <c r="BP233" s="252"/>
      <c r="BQ233" s="252"/>
      <c r="BR233" s="252"/>
      <c r="BS233" s="259"/>
      <c r="BT233" s="252"/>
      <c r="BU233" s="252"/>
      <c r="BV233" s="252"/>
      <c r="BW233" s="259"/>
      <c r="BX233" s="252"/>
      <c r="BY233" s="252"/>
      <c r="BZ233" s="252"/>
      <c r="CA233" s="259"/>
      <c r="CB233" s="252"/>
      <c r="CC233" s="252"/>
      <c r="CD233" s="252"/>
      <c r="CE233" s="259"/>
      <c r="CF233" s="252"/>
      <c r="CG233" s="252"/>
      <c r="CH233" s="252"/>
      <c r="CI233" s="259"/>
      <c r="CJ233" s="252"/>
      <c r="CK233" s="252"/>
      <c r="CL233" s="252"/>
      <c r="CM233" s="259"/>
      <c r="CN233" s="252"/>
      <c r="CO233" s="252"/>
      <c r="CP233" s="252"/>
      <c r="CQ233" s="259"/>
      <c r="CR233" s="252"/>
      <c r="CS233" s="252"/>
      <c r="CT233" s="255"/>
      <c r="CU233" s="173"/>
      <c r="CV233" s="173"/>
      <c r="CW233" s="173"/>
      <c r="CX233" s="173"/>
      <c r="CY233" s="173"/>
      <c r="CZ233" s="173"/>
      <c r="DA233" s="173"/>
      <c r="DB233" s="173"/>
      <c r="DC233" s="173"/>
      <c r="DD233" s="173"/>
      <c r="DE233" s="173"/>
      <c r="DF233" s="173"/>
    </row>
    <row r="234" spans="1:110" s="174" customFormat="1" x14ac:dyDescent="0.2">
      <c r="A234" s="190"/>
      <c r="B234" s="172"/>
      <c r="D234" s="169"/>
      <c r="E234" s="169"/>
      <c r="F234" s="169"/>
      <c r="G234" s="244"/>
      <c r="H234" s="169"/>
      <c r="I234" s="295"/>
      <c r="J234" s="295"/>
      <c r="K234" s="169"/>
      <c r="L234" s="169"/>
      <c r="M234" s="169"/>
      <c r="N234" s="169"/>
      <c r="O234" s="169"/>
      <c r="P234" s="169"/>
      <c r="Q234" s="185"/>
      <c r="R234" s="190"/>
      <c r="AS234" s="161"/>
      <c r="BF234" s="162"/>
      <c r="BG234" s="162"/>
      <c r="BH234" s="163"/>
      <c r="BI234" s="163"/>
      <c r="BJ234" s="161"/>
      <c r="BK234" s="288"/>
      <c r="BL234" s="164"/>
      <c r="BM234" s="173"/>
      <c r="BN234" s="252"/>
      <c r="BO234" s="259"/>
      <c r="BP234" s="252"/>
      <c r="BQ234" s="252"/>
      <c r="BR234" s="252"/>
      <c r="BS234" s="259"/>
      <c r="BT234" s="252"/>
      <c r="BU234" s="252"/>
      <c r="BV234" s="252"/>
      <c r="BW234" s="259"/>
      <c r="BX234" s="252"/>
      <c r="BY234" s="252"/>
      <c r="BZ234" s="252"/>
      <c r="CA234" s="259"/>
      <c r="CB234" s="252"/>
      <c r="CC234" s="252"/>
      <c r="CD234" s="252"/>
      <c r="CE234" s="259"/>
      <c r="CF234" s="252"/>
      <c r="CG234" s="252"/>
      <c r="CH234" s="252"/>
      <c r="CI234" s="259"/>
      <c r="CJ234" s="252"/>
      <c r="CK234" s="252"/>
      <c r="CL234" s="252"/>
      <c r="CM234" s="259"/>
      <c r="CN234" s="252"/>
      <c r="CO234" s="252"/>
      <c r="CP234" s="252"/>
      <c r="CQ234" s="259"/>
      <c r="CR234" s="252"/>
      <c r="CS234" s="252"/>
      <c r="CT234" s="255"/>
      <c r="CU234" s="173"/>
      <c r="CV234" s="173"/>
      <c r="CW234" s="173"/>
      <c r="CX234" s="173"/>
      <c r="CY234" s="173"/>
      <c r="CZ234" s="173"/>
      <c r="DA234" s="173"/>
      <c r="DB234" s="173"/>
      <c r="DC234" s="173"/>
      <c r="DD234" s="173"/>
      <c r="DE234" s="173"/>
      <c r="DF234" s="173"/>
    </row>
    <row r="235" spans="1:110" s="174" customFormat="1" x14ac:dyDescent="0.2">
      <c r="A235" s="190"/>
      <c r="B235" s="172"/>
      <c r="D235" s="169"/>
      <c r="E235" s="169"/>
      <c r="F235" s="169"/>
      <c r="G235" s="244"/>
      <c r="H235" s="169"/>
      <c r="I235" s="295"/>
      <c r="J235" s="295"/>
      <c r="K235" s="169"/>
      <c r="L235" s="169"/>
      <c r="M235" s="169"/>
      <c r="N235" s="169"/>
      <c r="O235" s="169"/>
      <c r="P235" s="169"/>
      <c r="Q235" s="185"/>
      <c r="R235" s="190"/>
      <c r="AS235" s="161"/>
      <c r="BF235" s="162"/>
      <c r="BG235" s="162"/>
      <c r="BH235" s="163"/>
      <c r="BI235" s="163"/>
      <c r="BJ235" s="161"/>
      <c r="BK235" s="288"/>
      <c r="BL235" s="164"/>
      <c r="BM235" s="173"/>
      <c r="BN235" s="252"/>
      <c r="BO235" s="259"/>
      <c r="BP235" s="252"/>
      <c r="BQ235" s="252"/>
      <c r="BR235" s="252"/>
      <c r="BS235" s="259"/>
      <c r="BT235" s="252"/>
      <c r="BU235" s="252"/>
      <c r="BV235" s="252"/>
      <c r="BW235" s="259"/>
      <c r="BX235" s="252"/>
      <c r="BY235" s="252"/>
      <c r="BZ235" s="252"/>
      <c r="CA235" s="259"/>
      <c r="CB235" s="252"/>
      <c r="CC235" s="252"/>
      <c r="CD235" s="252"/>
      <c r="CE235" s="259"/>
      <c r="CF235" s="252"/>
      <c r="CG235" s="252"/>
      <c r="CH235" s="252"/>
      <c r="CI235" s="259"/>
      <c r="CJ235" s="252"/>
      <c r="CK235" s="252"/>
      <c r="CL235" s="252"/>
      <c r="CM235" s="259"/>
      <c r="CN235" s="252"/>
      <c r="CO235" s="252"/>
      <c r="CP235" s="252"/>
      <c r="CQ235" s="259"/>
      <c r="CR235" s="252"/>
      <c r="CS235" s="252"/>
      <c r="CT235" s="255"/>
      <c r="CU235" s="173"/>
      <c r="CV235" s="173"/>
      <c r="CW235" s="173"/>
      <c r="CX235" s="173"/>
      <c r="CY235" s="173"/>
      <c r="CZ235" s="173"/>
      <c r="DA235" s="173"/>
      <c r="DB235" s="173"/>
      <c r="DC235" s="173"/>
      <c r="DD235" s="173"/>
      <c r="DE235" s="173"/>
      <c r="DF235" s="173"/>
    </row>
    <row r="236" spans="1:110" s="174" customFormat="1" x14ac:dyDescent="0.2">
      <c r="A236" s="190"/>
      <c r="B236" s="172"/>
      <c r="D236" s="169"/>
      <c r="E236" s="169"/>
      <c r="F236" s="169"/>
      <c r="G236" s="244"/>
      <c r="H236" s="169"/>
      <c r="I236" s="295"/>
      <c r="J236" s="295"/>
      <c r="K236" s="169"/>
      <c r="L236" s="169"/>
      <c r="M236" s="169"/>
      <c r="N236" s="169"/>
      <c r="O236" s="169"/>
      <c r="P236" s="169"/>
      <c r="Q236" s="185"/>
      <c r="R236" s="190"/>
      <c r="AS236" s="161"/>
      <c r="BF236" s="162"/>
      <c r="BG236" s="162"/>
      <c r="BH236" s="163"/>
      <c r="BI236" s="163"/>
      <c r="BJ236" s="161"/>
      <c r="BK236" s="288"/>
      <c r="BL236" s="164"/>
      <c r="BM236" s="173"/>
      <c r="BN236" s="252"/>
      <c r="BO236" s="259"/>
      <c r="BP236" s="252"/>
      <c r="BQ236" s="252"/>
      <c r="BR236" s="252"/>
      <c r="BS236" s="259"/>
      <c r="BT236" s="252"/>
      <c r="BU236" s="252"/>
      <c r="BV236" s="252"/>
      <c r="BW236" s="259"/>
      <c r="BX236" s="252"/>
      <c r="BY236" s="252"/>
      <c r="BZ236" s="252"/>
      <c r="CA236" s="259"/>
      <c r="CB236" s="252"/>
      <c r="CC236" s="252"/>
      <c r="CD236" s="252"/>
      <c r="CE236" s="259"/>
      <c r="CF236" s="252"/>
      <c r="CG236" s="252"/>
      <c r="CH236" s="252"/>
      <c r="CI236" s="259"/>
      <c r="CJ236" s="252"/>
      <c r="CK236" s="252"/>
      <c r="CL236" s="252"/>
      <c r="CM236" s="259"/>
      <c r="CN236" s="252"/>
      <c r="CO236" s="252"/>
      <c r="CP236" s="252"/>
      <c r="CQ236" s="259"/>
      <c r="CR236" s="252"/>
      <c r="CS236" s="252"/>
      <c r="CT236" s="255"/>
      <c r="CU236" s="173"/>
      <c r="CV236" s="173"/>
      <c r="CW236" s="173"/>
      <c r="CX236" s="173"/>
      <c r="CY236" s="173"/>
      <c r="CZ236" s="173"/>
      <c r="DA236" s="173"/>
      <c r="DB236" s="173"/>
      <c r="DC236" s="173"/>
      <c r="DD236" s="173"/>
      <c r="DE236" s="173"/>
      <c r="DF236" s="173"/>
    </row>
    <row r="237" spans="1:110" s="174" customFormat="1" x14ac:dyDescent="0.2">
      <c r="A237" s="190"/>
      <c r="B237" s="172"/>
      <c r="D237" s="169"/>
      <c r="E237" s="169"/>
      <c r="F237" s="169"/>
      <c r="G237" s="244"/>
      <c r="H237" s="169"/>
      <c r="I237" s="295"/>
      <c r="J237" s="295"/>
      <c r="K237" s="169"/>
      <c r="L237" s="169"/>
      <c r="M237" s="169"/>
      <c r="N237" s="169"/>
      <c r="O237" s="169"/>
      <c r="P237" s="169"/>
      <c r="Q237" s="185"/>
      <c r="R237" s="190"/>
      <c r="AS237" s="161"/>
      <c r="BF237" s="162"/>
      <c r="BG237" s="162"/>
      <c r="BH237" s="163"/>
      <c r="BI237" s="163"/>
      <c r="BJ237" s="161"/>
      <c r="BK237" s="288"/>
      <c r="BL237" s="164"/>
      <c r="BM237" s="173"/>
      <c r="BN237" s="252"/>
      <c r="BO237" s="259"/>
      <c r="BP237" s="252"/>
      <c r="BQ237" s="252"/>
      <c r="BR237" s="252"/>
      <c r="BS237" s="259"/>
      <c r="BT237" s="252"/>
      <c r="BU237" s="252"/>
      <c r="BV237" s="252"/>
      <c r="BW237" s="259"/>
      <c r="BX237" s="252"/>
      <c r="BY237" s="252"/>
      <c r="BZ237" s="252"/>
      <c r="CA237" s="259"/>
      <c r="CB237" s="252"/>
      <c r="CC237" s="252"/>
      <c r="CD237" s="252"/>
      <c r="CE237" s="259"/>
      <c r="CF237" s="252"/>
      <c r="CG237" s="252"/>
      <c r="CH237" s="252"/>
      <c r="CI237" s="259"/>
      <c r="CJ237" s="252"/>
      <c r="CK237" s="252"/>
      <c r="CL237" s="252"/>
      <c r="CM237" s="259"/>
      <c r="CN237" s="252"/>
      <c r="CO237" s="252"/>
      <c r="CP237" s="252"/>
      <c r="CQ237" s="259"/>
      <c r="CR237" s="252"/>
      <c r="CS237" s="252"/>
      <c r="CT237" s="255"/>
      <c r="CU237" s="173"/>
      <c r="CV237" s="173"/>
      <c r="CW237" s="173"/>
      <c r="CX237" s="173"/>
      <c r="CY237" s="173"/>
      <c r="CZ237" s="173"/>
      <c r="DA237" s="173"/>
      <c r="DB237" s="173"/>
      <c r="DC237" s="173"/>
      <c r="DD237" s="173"/>
      <c r="DE237" s="173"/>
      <c r="DF237" s="173"/>
    </row>
    <row r="238" spans="1:110" s="174" customFormat="1" x14ac:dyDescent="0.2">
      <c r="A238" s="190"/>
      <c r="B238" s="172"/>
      <c r="D238" s="169"/>
      <c r="E238" s="169"/>
      <c r="F238" s="169"/>
      <c r="G238" s="244"/>
      <c r="H238" s="169"/>
      <c r="I238" s="295"/>
      <c r="J238" s="295"/>
      <c r="K238" s="169"/>
      <c r="L238" s="169"/>
      <c r="M238" s="169"/>
      <c r="N238" s="169"/>
      <c r="O238" s="169"/>
      <c r="P238" s="169"/>
      <c r="Q238" s="185"/>
      <c r="R238" s="190"/>
      <c r="AS238" s="161"/>
      <c r="BF238" s="162"/>
      <c r="BG238" s="162"/>
      <c r="BH238" s="163"/>
      <c r="BI238" s="163"/>
      <c r="BJ238" s="161"/>
      <c r="BK238" s="288"/>
      <c r="BL238" s="164"/>
      <c r="BM238" s="173"/>
      <c r="BN238" s="252"/>
      <c r="BO238" s="259"/>
      <c r="BP238" s="252"/>
      <c r="BQ238" s="252"/>
      <c r="BR238" s="252"/>
      <c r="BS238" s="259"/>
      <c r="BT238" s="252"/>
      <c r="BU238" s="252"/>
      <c r="BV238" s="252"/>
      <c r="BW238" s="259"/>
      <c r="BX238" s="252"/>
      <c r="BY238" s="252"/>
      <c r="BZ238" s="252"/>
      <c r="CA238" s="259"/>
      <c r="CB238" s="252"/>
      <c r="CC238" s="252"/>
      <c r="CD238" s="252"/>
      <c r="CE238" s="259"/>
      <c r="CF238" s="252"/>
      <c r="CG238" s="252"/>
      <c r="CH238" s="252"/>
      <c r="CI238" s="259"/>
      <c r="CJ238" s="252"/>
      <c r="CK238" s="252"/>
      <c r="CL238" s="252"/>
      <c r="CM238" s="259"/>
      <c r="CN238" s="252"/>
      <c r="CO238" s="252"/>
      <c r="CP238" s="252"/>
      <c r="CQ238" s="259"/>
      <c r="CR238" s="252"/>
      <c r="CS238" s="252"/>
      <c r="CT238" s="255"/>
      <c r="CU238" s="173"/>
      <c r="CV238" s="173"/>
      <c r="CW238" s="173"/>
      <c r="CX238" s="173"/>
      <c r="CY238" s="173"/>
      <c r="CZ238" s="173"/>
      <c r="DA238" s="173"/>
      <c r="DB238" s="173"/>
      <c r="DC238" s="173"/>
      <c r="DD238" s="173"/>
      <c r="DE238" s="173"/>
      <c r="DF238" s="173"/>
    </row>
    <row r="239" spans="1:110" s="174" customFormat="1" x14ac:dyDescent="0.2">
      <c r="A239" s="190"/>
      <c r="B239" s="172"/>
      <c r="D239" s="169"/>
      <c r="E239" s="169"/>
      <c r="F239" s="169"/>
      <c r="G239" s="244"/>
      <c r="H239" s="169"/>
      <c r="I239" s="295"/>
      <c r="J239" s="295"/>
      <c r="K239" s="169"/>
      <c r="L239" s="169"/>
      <c r="M239" s="169"/>
      <c r="N239" s="169"/>
      <c r="O239" s="169"/>
      <c r="P239" s="169"/>
      <c r="Q239" s="185"/>
      <c r="R239" s="190"/>
      <c r="AS239" s="161"/>
      <c r="BF239" s="162"/>
      <c r="BG239" s="162"/>
      <c r="BH239" s="163"/>
      <c r="BI239" s="163"/>
      <c r="BJ239" s="161"/>
      <c r="BK239" s="288"/>
      <c r="BL239" s="164"/>
      <c r="BM239" s="173"/>
      <c r="BN239" s="252"/>
      <c r="BO239" s="259"/>
      <c r="BP239" s="252"/>
      <c r="BQ239" s="252"/>
      <c r="BR239" s="252"/>
      <c r="BS239" s="259"/>
      <c r="BT239" s="252"/>
      <c r="BU239" s="252"/>
      <c r="BV239" s="252"/>
      <c r="BW239" s="259"/>
      <c r="BX239" s="252"/>
      <c r="BY239" s="252"/>
      <c r="BZ239" s="252"/>
      <c r="CA239" s="259"/>
      <c r="CB239" s="252"/>
      <c r="CC239" s="252"/>
      <c r="CD239" s="252"/>
      <c r="CE239" s="259"/>
      <c r="CF239" s="252"/>
      <c r="CG239" s="252"/>
      <c r="CH239" s="252"/>
      <c r="CI239" s="259"/>
      <c r="CJ239" s="252"/>
      <c r="CK239" s="252"/>
      <c r="CL239" s="252"/>
      <c r="CM239" s="259"/>
      <c r="CN239" s="252"/>
      <c r="CO239" s="252"/>
      <c r="CP239" s="252"/>
      <c r="CQ239" s="259"/>
      <c r="CR239" s="252"/>
      <c r="CS239" s="252"/>
      <c r="CT239" s="255"/>
      <c r="CU239" s="173"/>
      <c r="CV239" s="173"/>
      <c r="CW239" s="173"/>
      <c r="CX239" s="173"/>
      <c r="CY239" s="173"/>
      <c r="CZ239" s="173"/>
      <c r="DA239" s="173"/>
      <c r="DB239" s="173"/>
      <c r="DC239" s="173"/>
      <c r="DD239" s="173"/>
      <c r="DE239" s="173"/>
      <c r="DF239" s="173"/>
    </row>
    <row r="240" spans="1:110" s="174" customFormat="1" x14ac:dyDescent="0.2">
      <c r="A240" s="190"/>
      <c r="B240" s="172"/>
      <c r="D240" s="169"/>
      <c r="E240" s="169"/>
      <c r="F240" s="169"/>
      <c r="G240" s="244"/>
      <c r="H240" s="169"/>
      <c r="I240" s="295"/>
      <c r="J240" s="295"/>
      <c r="K240" s="169"/>
      <c r="L240" s="169"/>
      <c r="M240" s="169"/>
      <c r="N240" s="169"/>
      <c r="O240" s="169"/>
      <c r="P240" s="169"/>
      <c r="Q240" s="185"/>
      <c r="R240" s="190"/>
      <c r="AS240" s="161"/>
      <c r="BF240" s="162"/>
      <c r="BG240" s="162"/>
      <c r="BH240" s="163"/>
      <c r="BI240" s="163"/>
      <c r="BJ240" s="161"/>
      <c r="BK240" s="288"/>
      <c r="BL240" s="164"/>
      <c r="BM240" s="173"/>
      <c r="BN240" s="252"/>
      <c r="BO240" s="259"/>
      <c r="BP240" s="252"/>
      <c r="BQ240" s="252"/>
      <c r="BR240" s="252"/>
      <c r="BS240" s="259"/>
      <c r="BT240" s="252"/>
      <c r="BU240" s="252"/>
      <c r="BV240" s="252"/>
      <c r="BW240" s="259"/>
      <c r="BX240" s="252"/>
      <c r="BY240" s="252"/>
      <c r="BZ240" s="252"/>
      <c r="CA240" s="259"/>
      <c r="CB240" s="252"/>
      <c r="CC240" s="252"/>
      <c r="CD240" s="252"/>
      <c r="CE240" s="259"/>
      <c r="CF240" s="252"/>
      <c r="CG240" s="252"/>
      <c r="CH240" s="252"/>
      <c r="CI240" s="259"/>
      <c r="CJ240" s="252"/>
      <c r="CK240" s="252"/>
      <c r="CL240" s="252"/>
      <c r="CM240" s="259"/>
      <c r="CN240" s="252"/>
      <c r="CO240" s="252"/>
      <c r="CP240" s="252"/>
      <c r="CQ240" s="259"/>
      <c r="CR240" s="252"/>
      <c r="CS240" s="252"/>
      <c r="CT240" s="255"/>
      <c r="CU240" s="173"/>
      <c r="CV240" s="173"/>
      <c r="CW240" s="173"/>
      <c r="CX240" s="173"/>
      <c r="CY240" s="173"/>
      <c r="CZ240" s="173"/>
      <c r="DA240" s="173"/>
      <c r="DB240" s="173"/>
      <c r="DC240" s="173"/>
      <c r="DD240" s="173"/>
      <c r="DE240" s="173"/>
      <c r="DF240" s="173"/>
    </row>
    <row r="241" spans="1:110" s="174" customFormat="1" x14ac:dyDescent="0.2">
      <c r="A241" s="190"/>
      <c r="B241" s="172"/>
      <c r="D241" s="169"/>
      <c r="E241" s="169"/>
      <c r="F241" s="169"/>
      <c r="G241" s="244"/>
      <c r="H241" s="169"/>
      <c r="I241" s="295"/>
      <c r="J241" s="295"/>
      <c r="K241" s="169"/>
      <c r="L241" s="169"/>
      <c r="M241" s="169"/>
      <c r="N241" s="169"/>
      <c r="O241" s="169"/>
      <c r="P241" s="169"/>
      <c r="Q241" s="185"/>
      <c r="R241" s="190"/>
      <c r="AS241" s="161"/>
      <c r="BF241" s="162"/>
      <c r="BG241" s="162"/>
      <c r="BH241" s="163"/>
      <c r="BI241" s="163"/>
      <c r="BJ241" s="161"/>
      <c r="BK241" s="288"/>
      <c r="BL241" s="164"/>
      <c r="BM241" s="173"/>
      <c r="BN241" s="252"/>
      <c r="BO241" s="259"/>
      <c r="BP241" s="252"/>
      <c r="BQ241" s="252"/>
      <c r="BR241" s="252"/>
      <c r="BS241" s="259"/>
      <c r="BT241" s="252"/>
      <c r="BU241" s="252"/>
      <c r="BV241" s="252"/>
      <c r="BW241" s="259"/>
      <c r="BX241" s="252"/>
      <c r="BY241" s="252"/>
      <c r="BZ241" s="252"/>
      <c r="CA241" s="259"/>
      <c r="CB241" s="252"/>
      <c r="CC241" s="252"/>
      <c r="CD241" s="252"/>
      <c r="CE241" s="259"/>
      <c r="CF241" s="252"/>
      <c r="CG241" s="252"/>
      <c r="CH241" s="252"/>
      <c r="CI241" s="259"/>
      <c r="CJ241" s="252"/>
      <c r="CK241" s="252"/>
      <c r="CL241" s="252"/>
      <c r="CM241" s="259"/>
      <c r="CN241" s="252"/>
      <c r="CO241" s="252"/>
      <c r="CP241" s="252"/>
      <c r="CQ241" s="259"/>
      <c r="CR241" s="252"/>
      <c r="CS241" s="252"/>
      <c r="CT241" s="255"/>
      <c r="CU241" s="173"/>
      <c r="CV241" s="173"/>
      <c r="CW241" s="173"/>
      <c r="CX241" s="173"/>
      <c r="CY241" s="173"/>
      <c r="CZ241" s="173"/>
      <c r="DA241" s="173"/>
      <c r="DB241" s="173"/>
      <c r="DC241" s="173"/>
      <c r="DD241" s="173"/>
      <c r="DE241" s="173"/>
      <c r="DF241" s="173"/>
    </row>
    <row r="242" spans="1:110" s="174" customFormat="1" x14ac:dyDescent="0.2">
      <c r="A242" s="190"/>
      <c r="B242" s="172"/>
      <c r="D242" s="169"/>
      <c r="E242" s="169"/>
      <c r="F242" s="169"/>
      <c r="G242" s="244"/>
      <c r="H242" s="169"/>
      <c r="I242" s="295"/>
      <c r="J242" s="295"/>
      <c r="K242" s="169"/>
      <c r="L242" s="169"/>
      <c r="M242" s="169"/>
      <c r="N242" s="169"/>
      <c r="O242" s="169"/>
      <c r="P242" s="169"/>
      <c r="Q242" s="185"/>
      <c r="R242" s="190"/>
      <c r="AS242" s="161"/>
      <c r="BF242" s="162"/>
      <c r="BG242" s="162"/>
      <c r="BH242" s="163"/>
      <c r="BI242" s="163"/>
      <c r="BJ242" s="161"/>
      <c r="BK242" s="288"/>
      <c r="BL242" s="164"/>
      <c r="BM242" s="173"/>
      <c r="BN242" s="252"/>
      <c r="BO242" s="259"/>
      <c r="BP242" s="252"/>
      <c r="BQ242" s="252"/>
      <c r="BR242" s="252"/>
      <c r="BS242" s="259"/>
      <c r="BT242" s="252"/>
      <c r="BU242" s="252"/>
      <c r="BV242" s="252"/>
      <c r="BW242" s="259"/>
      <c r="BX242" s="252"/>
      <c r="BY242" s="252"/>
      <c r="BZ242" s="252"/>
      <c r="CA242" s="259"/>
      <c r="CB242" s="252"/>
      <c r="CC242" s="252"/>
      <c r="CD242" s="252"/>
      <c r="CE242" s="259"/>
      <c r="CF242" s="252"/>
      <c r="CG242" s="252"/>
      <c r="CH242" s="252"/>
      <c r="CI242" s="259"/>
      <c r="CJ242" s="252"/>
      <c r="CK242" s="252"/>
      <c r="CL242" s="252"/>
      <c r="CM242" s="259"/>
      <c r="CN242" s="252"/>
      <c r="CO242" s="252"/>
      <c r="CP242" s="252"/>
      <c r="CQ242" s="259"/>
      <c r="CR242" s="252"/>
      <c r="CS242" s="252"/>
      <c r="CT242" s="255"/>
      <c r="CU242" s="173"/>
      <c r="CV242" s="173"/>
      <c r="CW242" s="173"/>
      <c r="CX242" s="173"/>
      <c r="CY242" s="173"/>
      <c r="CZ242" s="173"/>
      <c r="DA242" s="173"/>
      <c r="DB242" s="173"/>
      <c r="DC242" s="173"/>
      <c r="DD242" s="173"/>
      <c r="DE242" s="173"/>
      <c r="DF242" s="173"/>
    </row>
    <row r="243" spans="1:110" s="174" customFormat="1" x14ac:dyDescent="0.2">
      <c r="A243" s="190"/>
      <c r="B243" s="172"/>
      <c r="D243" s="169"/>
      <c r="E243" s="169"/>
      <c r="F243" s="169"/>
      <c r="G243" s="244"/>
      <c r="H243" s="169"/>
      <c r="I243" s="295"/>
      <c r="J243" s="295"/>
      <c r="K243" s="169"/>
      <c r="L243" s="169"/>
      <c r="M243" s="169"/>
      <c r="N243" s="169"/>
      <c r="O243" s="169"/>
      <c r="P243" s="169"/>
      <c r="Q243" s="185"/>
      <c r="R243" s="190"/>
      <c r="AS243" s="161"/>
      <c r="BF243" s="162"/>
      <c r="BG243" s="162"/>
      <c r="BH243" s="163"/>
      <c r="BI243" s="163"/>
      <c r="BJ243" s="161"/>
      <c r="BK243" s="288"/>
      <c r="BL243" s="164"/>
      <c r="BM243" s="173"/>
      <c r="BN243" s="252"/>
      <c r="BO243" s="259"/>
      <c r="BP243" s="252"/>
      <c r="BQ243" s="252"/>
      <c r="BR243" s="252"/>
      <c r="BS243" s="259"/>
      <c r="BT243" s="252"/>
      <c r="BU243" s="252"/>
      <c r="BV243" s="252"/>
      <c r="BW243" s="259"/>
      <c r="BX243" s="252"/>
      <c r="BY243" s="252"/>
      <c r="BZ243" s="252"/>
      <c r="CA243" s="259"/>
      <c r="CB243" s="252"/>
      <c r="CC243" s="252"/>
      <c r="CD243" s="252"/>
      <c r="CE243" s="259"/>
      <c r="CF243" s="252"/>
      <c r="CG243" s="252"/>
      <c r="CH243" s="252"/>
      <c r="CI243" s="259"/>
      <c r="CJ243" s="252"/>
      <c r="CK243" s="252"/>
      <c r="CL243" s="252"/>
      <c r="CM243" s="259"/>
      <c r="CN243" s="252"/>
      <c r="CO243" s="252"/>
      <c r="CP243" s="252"/>
      <c r="CQ243" s="259"/>
      <c r="CR243" s="252"/>
      <c r="CS243" s="252"/>
      <c r="CT243" s="255"/>
      <c r="CU243" s="173"/>
      <c r="CV243" s="173"/>
      <c r="CW243" s="173"/>
      <c r="CX243" s="173"/>
      <c r="CY243" s="173"/>
      <c r="CZ243" s="173"/>
      <c r="DA243" s="173"/>
      <c r="DB243" s="173"/>
      <c r="DC243" s="173"/>
      <c r="DD243" s="173"/>
      <c r="DE243" s="173"/>
      <c r="DF243" s="173"/>
    </row>
    <row r="244" spans="1:110" s="174" customFormat="1" x14ac:dyDescent="0.2">
      <c r="A244" s="190"/>
      <c r="B244" s="172"/>
      <c r="D244" s="169"/>
      <c r="E244" s="169"/>
      <c r="F244" s="169"/>
      <c r="G244" s="244"/>
      <c r="H244" s="169"/>
      <c r="I244" s="295"/>
      <c r="J244" s="295"/>
      <c r="K244" s="169"/>
      <c r="L244" s="169"/>
      <c r="M244" s="169"/>
      <c r="N244" s="169"/>
      <c r="O244" s="169"/>
      <c r="P244" s="169"/>
      <c r="Q244" s="185"/>
      <c r="R244" s="190"/>
      <c r="AS244" s="161"/>
      <c r="BF244" s="162"/>
      <c r="BG244" s="162"/>
      <c r="BH244" s="163"/>
      <c r="BI244" s="163"/>
      <c r="BJ244" s="161"/>
      <c r="BK244" s="288"/>
      <c r="BL244" s="164"/>
      <c r="BM244" s="173"/>
      <c r="BN244" s="252"/>
      <c r="BO244" s="259"/>
      <c r="BP244" s="252"/>
      <c r="BQ244" s="252"/>
      <c r="BR244" s="252"/>
      <c r="BS244" s="259"/>
      <c r="BT244" s="252"/>
      <c r="BU244" s="252"/>
      <c r="BV244" s="252"/>
      <c r="BW244" s="259"/>
      <c r="BX244" s="252"/>
      <c r="BY244" s="252"/>
      <c r="BZ244" s="252"/>
      <c r="CA244" s="259"/>
      <c r="CB244" s="252"/>
      <c r="CC244" s="252"/>
      <c r="CD244" s="252"/>
      <c r="CE244" s="259"/>
      <c r="CF244" s="252"/>
      <c r="CG244" s="252"/>
      <c r="CH244" s="252"/>
      <c r="CI244" s="259"/>
      <c r="CJ244" s="252"/>
      <c r="CK244" s="252"/>
      <c r="CL244" s="252"/>
      <c r="CM244" s="259"/>
      <c r="CN244" s="252"/>
      <c r="CO244" s="252"/>
      <c r="CP244" s="252"/>
      <c r="CQ244" s="259"/>
      <c r="CR244" s="252"/>
      <c r="CS244" s="252"/>
      <c r="CT244" s="255"/>
      <c r="CU244" s="173"/>
      <c r="CV244" s="173"/>
      <c r="CW244" s="173"/>
      <c r="CX244" s="173"/>
      <c r="CY244" s="173"/>
      <c r="CZ244" s="173"/>
      <c r="DA244" s="173"/>
      <c r="DB244" s="173"/>
      <c r="DC244" s="173"/>
      <c r="DD244" s="173"/>
      <c r="DE244" s="173"/>
      <c r="DF244" s="173"/>
    </row>
    <row r="245" spans="1:110" s="174" customFormat="1" x14ac:dyDescent="0.2">
      <c r="A245" s="190"/>
      <c r="B245" s="172"/>
      <c r="D245" s="169"/>
      <c r="E245" s="169"/>
      <c r="F245" s="169"/>
      <c r="G245" s="244"/>
      <c r="H245" s="169"/>
      <c r="I245" s="295"/>
      <c r="J245" s="295"/>
      <c r="K245" s="169"/>
      <c r="L245" s="169"/>
      <c r="M245" s="169"/>
      <c r="N245" s="169"/>
      <c r="O245" s="169"/>
      <c r="P245" s="169"/>
      <c r="Q245" s="185"/>
      <c r="R245" s="190"/>
      <c r="AS245" s="161"/>
      <c r="BF245" s="162"/>
      <c r="BG245" s="162"/>
      <c r="BH245" s="163"/>
      <c r="BI245" s="163"/>
      <c r="BJ245" s="161"/>
      <c r="BK245" s="288"/>
      <c r="BL245" s="164"/>
      <c r="BM245" s="173"/>
      <c r="BN245" s="252"/>
      <c r="BO245" s="259"/>
      <c r="BP245" s="252"/>
      <c r="BQ245" s="252"/>
      <c r="BR245" s="252"/>
      <c r="BS245" s="259"/>
      <c r="BT245" s="252"/>
      <c r="BU245" s="252"/>
      <c r="BV245" s="252"/>
      <c r="BW245" s="259"/>
      <c r="BX245" s="252"/>
      <c r="BY245" s="252"/>
      <c r="BZ245" s="252"/>
      <c r="CA245" s="259"/>
      <c r="CB245" s="252"/>
      <c r="CC245" s="252"/>
      <c r="CD245" s="252"/>
      <c r="CE245" s="259"/>
      <c r="CF245" s="252"/>
      <c r="CG245" s="252"/>
      <c r="CH245" s="252"/>
      <c r="CI245" s="259"/>
      <c r="CJ245" s="252"/>
      <c r="CK245" s="252"/>
      <c r="CL245" s="252"/>
      <c r="CM245" s="259"/>
      <c r="CN245" s="252"/>
      <c r="CO245" s="252"/>
      <c r="CP245" s="252"/>
      <c r="CQ245" s="259"/>
      <c r="CR245" s="252"/>
      <c r="CS245" s="252"/>
      <c r="CT245" s="255"/>
      <c r="CU245" s="173"/>
      <c r="CV245" s="173"/>
      <c r="CW245" s="173"/>
      <c r="CX245" s="173"/>
      <c r="CY245" s="173"/>
      <c r="CZ245" s="173"/>
      <c r="DA245" s="173"/>
      <c r="DB245" s="173"/>
      <c r="DC245" s="173"/>
      <c r="DD245" s="173"/>
      <c r="DE245" s="173"/>
      <c r="DF245" s="173"/>
    </row>
    <row r="246" spans="1:110" s="174" customFormat="1" x14ac:dyDescent="0.2">
      <c r="A246" s="190"/>
      <c r="B246" s="172"/>
      <c r="D246" s="169"/>
      <c r="E246" s="169"/>
      <c r="F246" s="169"/>
      <c r="G246" s="244"/>
      <c r="H246" s="169"/>
      <c r="I246" s="295"/>
      <c r="J246" s="295"/>
      <c r="K246" s="169"/>
      <c r="L246" s="169"/>
      <c r="M246" s="169"/>
      <c r="N246" s="169"/>
      <c r="O246" s="169"/>
      <c r="P246" s="169"/>
      <c r="Q246" s="185"/>
      <c r="R246" s="190"/>
      <c r="AS246" s="161"/>
      <c r="BF246" s="162"/>
      <c r="BG246" s="162"/>
      <c r="BH246" s="163"/>
      <c r="BI246" s="163"/>
      <c r="BJ246" s="161"/>
      <c r="BK246" s="288"/>
      <c r="BL246" s="164"/>
      <c r="BM246" s="173"/>
      <c r="BN246" s="252"/>
      <c r="BO246" s="259"/>
      <c r="BP246" s="252"/>
      <c r="BQ246" s="252"/>
      <c r="BR246" s="252"/>
      <c r="BS246" s="259"/>
      <c r="BT246" s="252"/>
      <c r="BU246" s="252"/>
      <c r="BV246" s="252"/>
      <c r="BW246" s="259"/>
      <c r="BX246" s="252"/>
      <c r="BY246" s="252"/>
      <c r="BZ246" s="252"/>
      <c r="CA246" s="259"/>
      <c r="CB246" s="252"/>
      <c r="CC246" s="252"/>
      <c r="CD246" s="252"/>
      <c r="CE246" s="259"/>
      <c r="CF246" s="252"/>
      <c r="CG246" s="252"/>
      <c r="CH246" s="252"/>
      <c r="CI246" s="259"/>
      <c r="CJ246" s="252"/>
      <c r="CK246" s="252"/>
      <c r="CL246" s="252"/>
      <c r="CM246" s="259"/>
      <c r="CN246" s="252"/>
      <c r="CO246" s="252"/>
      <c r="CP246" s="252"/>
      <c r="CQ246" s="259"/>
      <c r="CR246" s="252"/>
      <c r="CS246" s="252"/>
      <c r="CT246" s="255"/>
      <c r="CU246" s="173"/>
      <c r="CV246" s="173"/>
      <c r="CW246" s="173"/>
      <c r="CX246" s="173"/>
      <c r="CY246" s="173"/>
      <c r="CZ246" s="173"/>
      <c r="DA246" s="173"/>
      <c r="DB246" s="173"/>
      <c r="DC246" s="173"/>
      <c r="DD246" s="173"/>
      <c r="DE246" s="173"/>
      <c r="DF246" s="173"/>
    </row>
    <row r="247" spans="1:110" s="174" customFormat="1" x14ac:dyDescent="0.2">
      <c r="A247" s="190"/>
      <c r="B247" s="172"/>
      <c r="D247" s="169"/>
      <c r="E247" s="169"/>
      <c r="F247" s="169"/>
      <c r="G247" s="244"/>
      <c r="H247" s="169"/>
      <c r="I247" s="295"/>
      <c r="J247" s="295"/>
      <c r="K247" s="169"/>
      <c r="L247" s="169"/>
      <c r="M247" s="169"/>
      <c r="N247" s="169"/>
      <c r="O247" s="169"/>
      <c r="P247" s="169"/>
      <c r="Q247" s="185"/>
      <c r="R247" s="190"/>
      <c r="AS247" s="161"/>
      <c r="BF247" s="162"/>
      <c r="BG247" s="162"/>
      <c r="BH247" s="163"/>
      <c r="BI247" s="163"/>
      <c r="BJ247" s="161"/>
      <c r="BK247" s="288"/>
      <c r="BL247" s="164"/>
      <c r="BM247" s="173"/>
      <c r="BN247" s="252"/>
      <c r="BO247" s="259"/>
      <c r="BP247" s="252"/>
      <c r="BQ247" s="252"/>
      <c r="BR247" s="252"/>
      <c r="BS247" s="259"/>
      <c r="BT247" s="252"/>
      <c r="BU247" s="252"/>
      <c r="BV247" s="252"/>
      <c r="BW247" s="259"/>
      <c r="BX247" s="252"/>
      <c r="BY247" s="252"/>
      <c r="BZ247" s="252"/>
      <c r="CA247" s="259"/>
      <c r="CB247" s="252"/>
      <c r="CC247" s="252"/>
      <c r="CD247" s="252"/>
      <c r="CE247" s="259"/>
      <c r="CF247" s="252"/>
      <c r="CG247" s="252"/>
      <c r="CH247" s="252"/>
      <c r="CI247" s="259"/>
      <c r="CJ247" s="252"/>
      <c r="CK247" s="252"/>
      <c r="CL247" s="252"/>
      <c r="CM247" s="259"/>
      <c r="CN247" s="252"/>
      <c r="CO247" s="252"/>
      <c r="CP247" s="252"/>
      <c r="CQ247" s="259"/>
      <c r="CR247" s="252"/>
      <c r="CS247" s="252"/>
      <c r="CT247" s="255"/>
      <c r="CU247" s="173"/>
      <c r="CV247" s="173"/>
      <c r="CW247" s="173"/>
      <c r="CX247" s="173"/>
      <c r="CY247" s="173"/>
      <c r="CZ247" s="173"/>
      <c r="DA247" s="173"/>
      <c r="DB247" s="173"/>
      <c r="DC247" s="173"/>
      <c r="DD247" s="173"/>
      <c r="DE247" s="173"/>
      <c r="DF247" s="173"/>
    </row>
    <row r="248" spans="1:110" s="174" customFormat="1" x14ac:dyDescent="0.2">
      <c r="A248" s="190"/>
      <c r="B248" s="172"/>
      <c r="D248" s="169"/>
      <c r="E248" s="169"/>
      <c r="F248" s="169"/>
      <c r="G248" s="244"/>
      <c r="H248" s="169"/>
      <c r="I248" s="295"/>
      <c r="J248" s="295"/>
      <c r="K248" s="169"/>
      <c r="L248" s="169"/>
      <c r="M248" s="169"/>
      <c r="N248" s="169"/>
      <c r="O248" s="169"/>
      <c r="P248" s="169"/>
      <c r="Q248" s="185"/>
      <c r="R248" s="190"/>
      <c r="AS248" s="161"/>
      <c r="BF248" s="162"/>
      <c r="BG248" s="162"/>
      <c r="BH248" s="163"/>
      <c r="BI248" s="163"/>
      <c r="BJ248" s="161"/>
      <c r="BK248" s="288"/>
      <c r="BL248" s="164"/>
      <c r="BM248" s="173"/>
      <c r="BN248" s="252"/>
      <c r="BO248" s="259"/>
      <c r="BP248" s="252"/>
      <c r="BQ248" s="252"/>
      <c r="BR248" s="252"/>
      <c r="BS248" s="259"/>
      <c r="BT248" s="252"/>
      <c r="BU248" s="252"/>
      <c r="BV248" s="252"/>
      <c r="BW248" s="259"/>
      <c r="BX248" s="252"/>
      <c r="BY248" s="252"/>
      <c r="BZ248" s="252"/>
      <c r="CA248" s="259"/>
      <c r="CB248" s="252"/>
      <c r="CC248" s="252"/>
      <c r="CD248" s="252"/>
      <c r="CE248" s="259"/>
      <c r="CF248" s="252"/>
      <c r="CG248" s="252"/>
      <c r="CH248" s="252"/>
      <c r="CI248" s="259"/>
      <c r="CJ248" s="252"/>
      <c r="CK248" s="252"/>
      <c r="CL248" s="252"/>
      <c r="CM248" s="259"/>
      <c r="CN248" s="252"/>
      <c r="CO248" s="252"/>
      <c r="CP248" s="252"/>
      <c r="CQ248" s="259"/>
      <c r="CR248" s="252"/>
      <c r="CS248" s="252"/>
      <c r="CT248" s="255"/>
      <c r="CU248" s="173"/>
      <c r="CV248" s="173"/>
      <c r="CW248" s="173"/>
      <c r="CX248" s="173"/>
      <c r="CY248" s="173"/>
      <c r="CZ248" s="173"/>
      <c r="DA248" s="173"/>
      <c r="DB248" s="173"/>
      <c r="DC248" s="173"/>
      <c r="DD248" s="173"/>
      <c r="DE248" s="173"/>
      <c r="DF248" s="173"/>
    </row>
    <row r="249" spans="1:110" s="174" customFormat="1" x14ac:dyDescent="0.2">
      <c r="A249" s="190"/>
      <c r="B249" s="172"/>
      <c r="D249" s="169"/>
      <c r="E249" s="169"/>
      <c r="F249" s="169"/>
      <c r="G249" s="244"/>
      <c r="H249" s="169"/>
      <c r="I249" s="295"/>
      <c r="J249" s="295"/>
      <c r="K249" s="169"/>
      <c r="L249" s="169"/>
      <c r="M249" s="169"/>
      <c r="N249" s="169"/>
      <c r="O249" s="169"/>
      <c r="P249" s="169"/>
      <c r="Q249" s="185"/>
      <c r="R249" s="190"/>
      <c r="AS249" s="161"/>
      <c r="BF249" s="162"/>
      <c r="BG249" s="162"/>
      <c r="BH249" s="163"/>
      <c r="BI249" s="163"/>
      <c r="BJ249" s="161"/>
      <c r="BK249" s="288"/>
      <c r="BL249" s="164"/>
      <c r="BM249" s="173"/>
      <c r="BN249" s="252"/>
      <c r="BO249" s="259"/>
      <c r="BP249" s="252"/>
      <c r="BQ249" s="252"/>
      <c r="BR249" s="252"/>
      <c r="BS249" s="259"/>
      <c r="BT249" s="252"/>
      <c r="BU249" s="252"/>
      <c r="BV249" s="252"/>
      <c r="BW249" s="259"/>
      <c r="BX249" s="252"/>
      <c r="BY249" s="252"/>
      <c r="BZ249" s="252"/>
      <c r="CA249" s="259"/>
      <c r="CB249" s="252"/>
      <c r="CC249" s="252"/>
      <c r="CD249" s="252"/>
      <c r="CE249" s="259"/>
      <c r="CF249" s="252"/>
      <c r="CG249" s="252"/>
      <c r="CH249" s="252"/>
      <c r="CI249" s="259"/>
      <c r="CJ249" s="252"/>
      <c r="CK249" s="252"/>
      <c r="CL249" s="252"/>
      <c r="CM249" s="259"/>
      <c r="CN249" s="252"/>
      <c r="CO249" s="252"/>
      <c r="CP249" s="252"/>
      <c r="CQ249" s="259"/>
      <c r="CR249" s="252"/>
      <c r="CS249" s="252"/>
      <c r="CT249" s="255"/>
      <c r="CU249" s="173"/>
      <c r="CV249" s="173"/>
      <c r="CW249" s="173"/>
      <c r="CX249" s="173"/>
      <c r="CY249" s="173"/>
      <c r="CZ249" s="173"/>
      <c r="DA249" s="173"/>
      <c r="DB249" s="173"/>
      <c r="DC249" s="173"/>
      <c r="DD249" s="173"/>
      <c r="DE249" s="173"/>
      <c r="DF249" s="173"/>
    </row>
    <row r="250" spans="1:110" s="174" customFormat="1" x14ac:dyDescent="0.2">
      <c r="A250" s="190"/>
      <c r="B250" s="172"/>
      <c r="D250" s="169"/>
      <c r="E250" s="169"/>
      <c r="F250" s="169"/>
      <c r="G250" s="244"/>
      <c r="H250" s="169"/>
      <c r="I250" s="295"/>
      <c r="J250" s="295"/>
      <c r="K250" s="169"/>
      <c r="L250" s="169"/>
      <c r="M250" s="169"/>
      <c r="N250" s="169"/>
      <c r="O250" s="169"/>
      <c r="P250" s="169"/>
      <c r="Q250" s="185"/>
      <c r="R250" s="190"/>
      <c r="AS250" s="161"/>
      <c r="BF250" s="162"/>
      <c r="BG250" s="162"/>
      <c r="BH250" s="163"/>
      <c r="BI250" s="163"/>
      <c r="BJ250" s="161"/>
      <c r="BK250" s="288"/>
      <c r="BL250" s="164"/>
      <c r="BM250" s="173"/>
      <c r="BN250" s="252"/>
      <c r="BO250" s="259"/>
      <c r="BP250" s="252"/>
      <c r="BQ250" s="252"/>
      <c r="BR250" s="252"/>
      <c r="BS250" s="259"/>
      <c r="BT250" s="252"/>
      <c r="BU250" s="252"/>
      <c r="BV250" s="252"/>
      <c r="BW250" s="259"/>
      <c r="BX250" s="252"/>
      <c r="BY250" s="252"/>
      <c r="BZ250" s="252"/>
      <c r="CA250" s="259"/>
      <c r="CB250" s="252"/>
      <c r="CC250" s="252"/>
      <c r="CD250" s="252"/>
      <c r="CE250" s="259"/>
      <c r="CF250" s="252"/>
      <c r="CG250" s="252"/>
      <c r="CH250" s="252"/>
      <c r="CI250" s="259"/>
      <c r="CJ250" s="252"/>
      <c r="CK250" s="252"/>
      <c r="CL250" s="252"/>
      <c r="CM250" s="259"/>
      <c r="CN250" s="252"/>
      <c r="CO250" s="252"/>
      <c r="CP250" s="252"/>
      <c r="CQ250" s="259"/>
      <c r="CR250" s="252"/>
      <c r="CS250" s="252"/>
      <c r="CT250" s="255"/>
      <c r="CU250" s="173"/>
      <c r="CV250" s="173"/>
      <c r="CW250" s="173"/>
      <c r="CX250" s="173"/>
      <c r="CY250" s="173"/>
      <c r="CZ250" s="173"/>
      <c r="DA250" s="173"/>
      <c r="DB250" s="173"/>
      <c r="DC250" s="173"/>
      <c r="DD250" s="173"/>
      <c r="DE250" s="173"/>
      <c r="DF250" s="173"/>
    </row>
    <row r="251" spans="1:110" s="174" customFormat="1" x14ac:dyDescent="0.2">
      <c r="A251" s="190"/>
      <c r="B251" s="172"/>
      <c r="D251" s="169"/>
      <c r="E251" s="169"/>
      <c r="F251" s="169"/>
      <c r="G251" s="244"/>
      <c r="H251" s="169"/>
      <c r="I251" s="295"/>
      <c r="J251" s="295"/>
      <c r="K251" s="169"/>
      <c r="L251" s="169"/>
      <c r="M251" s="169"/>
      <c r="N251" s="169"/>
      <c r="O251" s="169"/>
      <c r="P251" s="169"/>
      <c r="Q251" s="185"/>
      <c r="R251" s="190"/>
      <c r="AS251" s="161"/>
      <c r="BF251" s="162"/>
      <c r="BG251" s="162"/>
      <c r="BH251" s="163"/>
      <c r="BI251" s="163"/>
      <c r="BJ251" s="161"/>
      <c r="BK251" s="288"/>
      <c r="BL251" s="164"/>
      <c r="BM251" s="173"/>
      <c r="BN251" s="252"/>
      <c r="BO251" s="259"/>
      <c r="BP251" s="252"/>
      <c r="BQ251" s="252"/>
      <c r="BR251" s="252"/>
      <c r="BS251" s="259"/>
      <c r="BT251" s="252"/>
      <c r="BU251" s="252"/>
      <c r="BV251" s="252"/>
      <c r="BW251" s="259"/>
      <c r="BX251" s="252"/>
      <c r="BY251" s="252"/>
      <c r="BZ251" s="252"/>
      <c r="CA251" s="259"/>
      <c r="CB251" s="252"/>
      <c r="CC251" s="252"/>
      <c r="CD251" s="252"/>
      <c r="CE251" s="259"/>
      <c r="CF251" s="252"/>
      <c r="CG251" s="252"/>
      <c r="CH251" s="252"/>
      <c r="CI251" s="259"/>
      <c r="CJ251" s="252"/>
      <c r="CK251" s="252"/>
      <c r="CL251" s="252"/>
      <c r="CM251" s="259"/>
      <c r="CN251" s="252"/>
      <c r="CO251" s="252"/>
      <c r="CP251" s="252"/>
      <c r="CQ251" s="259"/>
      <c r="CR251" s="252"/>
      <c r="CS251" s="252"/>
      <c r="CT251" s="255"/>
      <c r="CU251" s="173"/>
      <c r="CV251" s="173"/>
      <c r="CW251" s="173"/>
      <c r="CX251" s="173"/>
      <c r="CY251" s="173"/>
      <c r="CZ251" s="173"/>
      <c r="DA251" s="173"/>
      <c r="DB251" s="173"/>
      <c r="DC251" s="173"/>
      <c r="DD251" s="173"/>
      <c r="DE251" s="173"/>
      <c r="DF251" s="173"/>
    </row>
    <row r="252" spans="1:110" s="174" customFormat="1" x14ac:dyDescent="0.2">
      <c r="A252" s="190"/>
      <c r="B252" s="172"/>
      <c r="D252" s="169"/>
      <c r="E252" s="169"/>
      <c r="F252" s="169"/>
      <c r="G252" s="244"/>
      <c r="H252" s="169"/>
      <c r="I252" s="295"/>
      <c r="J252" s="295"/>
      <c r="K252" s="169"/>
      <c r="L252" s="169"/>
      <c r="M252" s="169"/>
      <c r="N252" s="169"/>
      <c r="O252" s="169"/>
      <c r="P252" s="169"/>
      <c r="Q252" s="185"/>
      <c r="R252" s="190"/>
      <c r="AS252" s="161"/>
      <c r="BF252" s="162"/>
      <c r="BG252" s="162"/>
      <c r="BH252" s="163"/>
      <c r="BI252" s="163"/>
      <c r="BJ252" s="161"/>
      <c r="BK252" s="288"/>
      <c r="BL252" s="164"/>
      <c r="BM252" s="173"/>
      <c r="BN252" s="252"/>
      <c r="BO252" s="259"/>
      <c r="BP252" s="252"/>
      <c r="BQ252" s="252"/>
      <c r="BR252" s="252"/>
      <c r="BS252" s="259"/>
      <c r="BT252" s="252"/>
      <c r="BU252" s="252"/>
      <c r="BV252" s="252"/>
      <c r="BW252" s="259"/>
      <c r="BX252" s="252"/>
      <c r="BY252" s="252"/>
      <c r="BZ252" s="252"/>
      <c r="CA252" s="259"/>
      <c r="CB252" s="252"/>
      <c r="CC252" s="252"/>
      <c r="CD252" s="252"/>
      <c r="CE252" s="259"/>
      <c r="CF252" s="252"/>
      <c r="CG252" s="252"/>
      <c r="CH252" s="252"/>
      <c r="CI252" s="259"/>
      <c r="CJ252" s="252"/>
      <c r="CK252" s="252"/>
      <c r="CL252" s="252"/>
      <c r="CM252" s="259"/>
      <c r="CN252" s="252"/>
      <c r="CO252" s="252"/>
      <c r="CP252" s="252"/>
      <c r="CQ252" s="259"/>
      <c r="CR252" s="252"/>
      <c r="CS252" s="252"/>
      <c r="CT252" s="255"/>
      <c r="CU252" s="173"/>
      <c r="CV252" s="173"/>
      <c r="CW252" s="173"/>
      <c r="CX252" s="173"/>
      <c r="CY252" s="173"/>
      <c r="CZ252" s="173"/>
      <c r="DA252" s="173"/>
      <c r="DB252" s="173"/>
      <c r="DC252" s="173"/>
      <c r="DD252" s="173"/>
      <c r="DE252" s="173"/>
      <c r="DF252" s="173"/>
    </row>
    <row r="253" spans="1:110" s="174" customFormat="1" x14ac:dyDescent="0.2">
      <c r="A253" s="190"/>
      <c r="B253" s="172"/>
      <c r="D253" s="169"/>
      <c r="E253" s="169"/>
      <c r="F253" s="169"/>
      <c r="G253" s="244"/>
      <c r="H253" s="169"/>
      <c r="I253" s="295"/>
      <c r="J253" s="295"/>
      <c r="K253" s="169"/>
      <c r="L253" s="169"/>
      <c r="M253" s="169"/>
      <c r="N253" s="169"/>
      <c r="O253" s="169"/>
      <c r="P253" s="169"/>
      <c r="Q253" s="185"/>
      <c r="R253" s="190"/>
      <c r="AS253" s="161"/>
      <c r="BF253" s="162"/>
      <c r="BG253" s="162"/>
      <c r="BH253" s="163"/>
      <c r="BI253" s="163"/>
      <c r="BJ253" s="161"/>
      <c r="BK253" s="288"/>
      <c r="BL253" s="164"/>
      <c r="BM253" s="173"/>
      <c r="BN253" s="252"/>
      <c r="BO253" s="259"/>
      <c r="BP253" s="252"/>
      <c r="BQ253" s="252"/>
      <c r="BR253" s="252"/>
      <c r="BS253" s="259"/>
      <c r="BT253" s="252"/>
      <c r="BU253" s="252"/>
      <c r="BV253" s="252"/>
      <c r="BW253" s="259"/>
      <c r="BX253" s="252"/>
      <c r="BY253" s="252"/>
      <c r="BZ253" s="252"/>
      <c r="CA253" s="259"/>
      <c r="CB253" s="252"/>
      <c r="CC253" s="252"/>
      <c r="CD253" s="252"/>
      <c r="CE253" s="259"/>
      <c r="CF253" s="252"/>
      <c r="CG253" s="252"/>
      <c r="CH253" s="252"/>
      <c r="CI253" s="259"/>
      <c r="CJ253" s="252"/>
      <c r="CK253" s="252"/>
      <c r="CL253" s="252"/>
      <c r="CM253" s="259"/>
      <c r="CN253" s="252"/>
      <c r="CO253" s="252"/>
      <c r="CP253" s="252"/>
      <c r="CQ253" s="259"/>
      <c r="CR253" s="252"/>
      <c r="CS253" s="252"/>
      <c r="CT253" s="255"/>
      <c r="CU253" s="173"/>
      <c r="CV253" s="173"/>
      <c r="CW253" s="173"/>
      <c r="CX253" s="173"/>
      <c r="CY253" s="173"/>
      <c r="CZ253" s="173"/>
      <c r="DA253" s="173"/>
      <c r="DB253" s="173"/>
      <c r="DC253" s="173"/>
      <c r="DD253" s="173"/>
      <c r="DE253" s="173"/>
      <c r="DF253" s="173"/>
    </row>
    <row r="254" spans="1:110" s="174" customFormat="1" x14ac:dyDescent="0.2">
      <c r="A254" s="190"/>
      <c r="B254" s="172"/>
      <c r="D254" s="169"/>
      <c r="E254" s="169"/>
      <c r="F254" s="169"/>
      <c r="G254" s="244"/>
      <c r="H254" s="169"/>
      <c r="I254" s="295"/>
      <c r="J254" s="295"/>
      <c r="K254" s="169"/>
      <c r="L254" s="169"/>
      <c r="M254" s="169"/>
      <c r="N254" s="169"/>
      <c r="O254" s="169"/>
      <c r="P254" s="169"/>
      <c r="Q254" s="185"/>
      <c r="R254" s="190"/>
      <c r="AS254" s="161"/>
      <c r="BF254" s="162"/>
      <c r="BG254" s="162"/>
      <c r="BH254" s="163"/>
      <c r="BI254" s="163"/>
      <c r="BJ254" s="161"/>
      <c r="BK254" s="288"/>
      <c r="BL254" s="164"/>
      <c r="BM254" s="173"/>
      <c r="BN254" s="252"/>
      <c r="BO254" s="259"/>
      <c r="BP254" s="252"/>
      <c r="BQ254" s="252"/>
      <c r="BR254" s="252"/>
      <c r="BS254" s="259"/>
      <c r="BT254" s="252"/>
      <c r="BU254" s="252"/>
      <c r="BV254" s="252"/>
      <c r="BW254" s="259"/>
      <c r="BX254" s="252"/>
      <c r="BY254" s="252"/>
      <c r="BZ254" s="252"/>
      <c r="CA254" s="259"/>
      <c r="CB254" s="252"/>
      <c r="CC254" s="252"/>
      <c r="CD254" s="252"/>
      <c r="CE254" s="259"/>
      <c r="CF254" s="252"/>
      <c r="CG254" s="252"/>
      <c r="CH254" s="252"/>
      <c r="CI254" s="259"/>
      <c r="CJ254" s="252"/>
      <c r="CK254" s="252"/>
      <c r="CL254" s="252"/>
      <c r="CM254" s="259"/>
      <c r="CN254" s="252"/>
      <c r="CO254" s="252"/>
      <c r="CP254" s="252"/>
      <c r="CQ254" s="259"/>
      <c r="CR254" s="252"/>
      <c r="CS254" s="252"/>
      <c r="CT254" s="255"/>
      <c r="CU254" s="173"/>
      <c r="CV254" s="173"/>
      <c r="CW254" s="173"/>
      <c r="CX254" s="173"/>
      <c r="CY254" s="173"/>
      <c r="CZ254" s="173"/>
      <c r="DA254" s="173"/>
      <c r="DB254" s="173"/>
      <c r="DC254" s="173"/>
      <c r="DD254" s="173"/>
      <c r="DE254" s="173"/>
      <c r="DF254" s="173"/>
    </row>
    <row r="255" spans="1:110" s="174" customFormat="1" x14ac:dyDescent="0.2">
      <c r="A255" s="190"/>
      <c r="B255" s="172"/>
      <c r="D255" s="169"/>
      <c r="E255" s="169"/>
      <c r="F255" s="169"/>
      <c r="G255" s="244"/>
      <c r="H255" s="169"/>
      <c r="I255" s="295"/>
      <c r="J255" s="295"/>
      <c r="K255" s="169"/>
      <c r="L255" s="169"/>
      <c r="M255" s="169"/>
      <c r="N255" s="169"/>
      <c r="O255" s="169"/>
      <c r="P255" s="169"/>
      <c r="Q255" s="185"/>
      <c r="R255" s="190"/>
      <c r="AS255" s="161"/>
      <c r="BF255" s="162"/>
      <c r="BG255" s="162"/>
      <c r="BH255" s="163"/>
      <c r="BI255" s="163"/>
      <c r="BJ255" s="161"/>
      <c r="BK255" s="288"/>
      <c r="BL255" s="164"/>
      <c r="BM255" s="173"/>
      <c r="BN255" s="252"/>
      <c r="BO255" s="259"/>
      <c r="BP255" s="252"/>
      <c r="BQ255" s="252"/>
      <c r="BR255" s="252"/>
      <c r="BS255" s="259"/>
      <c r="BT255" s="252"/>
      <c r="BU255" s="252"/>
      <c r="BV255" s="252"/>
      <c r="BW255" s="259"/>
      <c r="BX255" s="252"/>
      <c r="BY255" s="252"/>
      <c r="BZ255" s="252"/>
      <c r="CA255" s="259"/>
      <c r="CB255" s="252"/>
      <c r="CC255" s="252"/>
      <c r="CD255" s="252"/>
      <c r="CE255" s="259"/>
      <c r="CF255" s="252"/>
      <c r="CG255" s="252"/>
      <c r="CH255" s="252"/>
      <c r="CI255" s="259"/>
      <c r="CJ255" s="252"/>
      <c r="CK255" s="252"/>
      <c r="CL255" s="252"/>
      <c r="CM255" s="259"/>
      <c r="CN255" s="252"/>
      <c r="CO255" s="252"/>
      <c r="CP255" s="252"/>
      <c r="CQ255" s="259"/>
      <c r="CR255" s="252"/>
      <c r="CS255" s="252"/>
      <c r="CT255" s="255"/>
      <c r="CU255" s="173"/>
      <c r="CV255" s="173"/>
      <c r="CW255" s="173"/>
      <c r="CX255" s="173"/>
      <c r="CY255" s="173"/>
      <c r="CZ255" s="173"/>
      <c r="DA255" s="173"/>
      <c r="DB255" s="173"/>
      <c r="DC255" s="173"/>
      <c r="DD255" s="173"/>
      <c r="DE255" s="173"/>
      <c r="DF255" s="173"/>
    </row>
    <row r="256" spans="1:110" s="174" customFormat="1" x14ac:dyDescent="0.2">
      <c r="A256" s="190"/>
      <c r="B256" s="172"/>
      <c r="D256" s="169"/>
      <c r="E256" s="169"/>
      <c r="F256" s="169"/>
      <c r="G256" s="244"/>
      <c r="H256" s="169"/>
      <c r="I256" s="295"/>
      <c r="J256" s="295"/>
      <c r="K256" s="169"/>
      <c r="L256" s="169"/>
      <c r="M256" s="169"/>
      <c r="N256" s="169"/>
      <c r="O256" s="169"/>
      <c r="P256" s="169"/>
      <c r="Q256" s="185"/>
      <c r="R256" s="190"/>
      <c r="AS256" s="161"/>
      <c r="BF256" s="162"/>
      <c r="BG256" s="162"/>
      <c r="BH256" s="163"/>
      <c r="BI256" s="163"/>
      <c r="BJ256" s="161"/>
      <c r="BK256" s="288"/>
      <c r="BL256" s="164"/>
      <c r="BM256" s="173"/>
      <c r="BN256" s="252"/>
      <c r="BO256" s="259"/>
      <c r="BP256" s="252"/>
      <c r="BQ256" s="252"/>
      <c r="BR256" s="252"/>
      <c r="BS256" s="259"/>
      <c r="BT256" s="252"/>
      <c r="BU256" s="252"/>
      <c r="BV256" s="252"/>
      <c r="BW256" s="259"/>
      <c r="BX256" s="252"/>
      <c r="BY256" s="252"/>
      <c r="BZ256" s="252"/>
      <c r="CA256" s="259"/>
      <c r="CB256" s="252"/>
      <c r="CC256" s="252"/>
      <c r="CD256" s="252"/>
      <c r="CE256" s="259"/>
      <c r="CF256" s="252"/>
      <c r="CG256" s="252"/>
      <c r="CH256" s="252"/>
      <c r="CI256" s="259"/>
      <c r="CJ256" s="252"/>
      <c r="CK256" s="252"/>
      <c r="CL256" s="252"/>
      <c r="CM256" s="259"/>
      <c r="CN256" s="252"/>
      <c r="CO256" s="252"/>
      <c r="CP256" s="252"/>
      <c r="CQ256" s="259"/>
      <c r="CR256" s="252"/>
      <c r="CS256" s="252"/>
      <c r="CT256" s="255"/>
      <c r="CU256" s="173"/>
      <c r="CV256" s="173"/>
      <c r="CW256" s="173"/>
      <c r="CX256" s="173"/>
      <c r="CY256" s="173"/>
      <c r="CZ256" s="173"/>
      <c r="DA256" s="173"/>
      <c r="DB256" s="173"/>
      <c r="DC256" s="173"/>
      <c r="DD256" s="173"/>
      <c r="DE256" s="173"/>
      <c r="DF256" s="173"/>
    </row>
    <row r="257" spans="1:110" s="174" customFormat="1" x14ac:dyDescent="0.2">
      <c r="A257" s="190"/>
      <c r="B257" s="172"/>
      <c r="D257" s="169"/>
      <c r="E257" s="169"/>
      <c r="F257" s="169"/>
      <c r="G257" s="244"/>
      <c r="H257" s="169"/>
      <c r="I257" s="295"/>
      <c r="J257" s="295"/>
      <c r="K257" s="169"/>
      <c r="L257" s="169"/>
      <c r="M257" s="169"/>
      <c r="N257" s="169"/>
      <c r="O257" s="169"/>
      <c r="P257" s="169"/>
      <c r="Q257" s="185"/>
      <c r="R257" s="190"/>
      <c r="AS257" s="161"/>
      <c r="BF257" s="162"/>
      <c r="BG257" s="162"/>
      <c r="BH257" s="163"/>
      <c r="BI257" s="163"/>
      <c r="BJ257" s="161"/>
      <c r="BK257" s="288"/>
      <c r="BL257" s="164"/>
      <c r="BM257" s="173"/>
      <c r="BN257" s="252"/>
      <c r="BO257" s="259"/>
      <c r="BP257" s="252"/>
      <c r="BQ257" s="252"/>
      <c r="BR257" s="252"/>
      <c r="BS257" s="259"/>
      <c r="BT257" s="252"/>
      <c r="BU257" s="252"/>
      <c r="BV257" s="252"/>
      <c r="BW257" s="259"/>
      <c r="BX257" s="252"/>
      <c r="BY257" s="252"/>
      <c r="BZ257" s="252"/>
      <c r="CA257" s="259"/>
      <c r="CB257" s="252"/>
      <c r="CC257" s="252"/>
      <c r="CD257" s="252"/>
      <c r="CE257" s="259"/>
      <c r="CF257" s="252"/>
      <c r="CG257" s="252"/>
      <c r="CH257" s="252"/>
      <c r="CI257" s="259"/>
      <c r="CJ257" s="252"/>
      <c r="CK257" s="252"/>
      <c r="CL257" s="252"/>
      <c r="CM257" s="259"/>
      <c r="CN257" s="252"/>
      <c r="CO257" s="252"/>
      <c r="CP257" s="252"/>
      <c r="CQ257" s="259"/>
      <c r="CR257" s="252"/>
      <c r="CS257" s="252"/>
      <c r="CT257" s="255"/>
      <c r="CU257" s="173"/>
      <c r="CV257" s="173"/>
      <c r="CW257" s="173"/>
      <c r="CX257" s="173"/>
      <c r="CY257" s="173"/>
      <c r="CZ257" s="173"/>
      <c r="DA257" s="173"/>
      <c r="DB257" s="173"/>
      <c r="DC257" s="173"/>
      <c r="DD257" s="173"/>
      <c r="DE257" s="173"/>
      <c r="DF257" s="173"/>
    </row>
    <row r="258" spans="1:110" s="174" customFormat="1" x14ac:dyDescent="0.2">
      <c r="A258" s="190"/>
      <c r="B258" s="172"/>
      <c r="D258" s="169"/>
      <c r="E258" s="169"/>
      <c r="F258" s="169"/>
      <c r="G258" s="244"/>
      <c r="H258" s="169"/>
      <c r="I258" s="295"/>
      <c r="J258" s="295"/>
      <c r="K258" s="169"/>
      <c r="L258" s="169"/>
      <c r="M258" s="169"/>
      <c r="N258" s="169"/>
      <c r="O258" s="169"/>
      <c r="P258" s="169"/>
      <c r="Q258" s="185"/>
      <c r="R258" s="190"/>
      <c r="AS258" s="161"/>
      <c r="BF258" s="162"/>
      <c r="BG258" s="162"/>
      <c r="BH258" s="163"/>
      <c r="BI258" s="163"/>
      <c r="BJ258" s="161"/>
      <c r="BK258" s="288"/>
      <c r="BL258" s="164"/>
      <c r="BM258" s="173"/>
      <c r="BN258" s="252"/>
      <c r="BO258" s="259"/>
      <c r="BP258" s="252"/>
      <c r="BQ258" s="252"/>
      <c r="BR258" s="252"/>
      <c r="BS258" s="259"/>
      <c r="BT258" s="252"/>
      <c r="BU258" s="252"/>
      <c r="BV258" s="252"/>
      <c r="BW258" s="259"/>
      <c r="BX258" s="252"/>
      <c r="BY258" s="252"/>
      <c r="BZ258" s="252"/>
      <c r="CA258" s="259"/>
      <c r="CB258" s="252"/>
      <c r="CC258" s="252"/>
      <c r="CD258" s="252"/>
      <c r="CE258" s="259"/>
      <c r="CF258" s="252"/>
      <c r="CG258" s="252"/>
      <c r="CH258" s="252"/>
      <c r="CI258" s="259"/>
      <c r="CJ258" s="252"/>
      <c r="CK258" s="252"/>
      <c r="CL258" s="252"/>
      <c r="CM258" s="259"/>
      <c r="CN258" s="252"/>
      <c r="CO258" s="252"/>
      <c r="CP258" s="252"/>
      <c r="CQ258" s="259"/>
      <c r="CR258" s="252"/>
      <c r="CS258" s="252"/>
      <c r="CT258" s="255"/>
      <c r="CU258" s="173"/>
      <c r="CV258" s="173"/>
      <c r="CW258" s="173"/>
      <c r="CX258" s="173"/>
      <c r="CY258" s="173"/>
      <c r="CZ258" s="173"/>
      <c r="DA258" s="173"/>
      <c r="DB258" s="173"/>
      <c r="DC258" s="173"/>
      <c r="DD258" s="173"/>
      <c r="DE258" s="173"/>
      <c r="DF258" s="173"/>
    </row>
    <row r="259" spans="1:110" s="174" customFormat="1" x14ac:dyDescent="0.2">
      <c r="A259" s="190"/>
      <c r="B259" s="172"/>
      <c r="D259" s="169"/>
      <c r="E259" s="169"/>
      <c r="F259" s="169"/>
      <c r="G259" s="244"/>
      <c r="H259" s="169"/>
      <c r="I259" s="295"/>
      <c r="J259" s="295"/>
      <c r="K259" s="169"/>
      <c r="L259" s="169"/>
      <c r="M259" s="169"/>
      <c r="N259" s="169"/>
      <c r="O259" s="169"/>
      <c r="P259" s="169"/>
      <c r="Q259" s="185"/>
      <c r="R259" s="190"/>
      <c r="AS259" s="161"/>
      <c r="BF259" s="162"/>
      <c r="BG259" s="162"/>
      <c r="BH259" s="163"/>
      <c r="BI259" s="163"/>
      <c r="BJ259" s="161"/>
      <c r="BK259" s="288"/>
      <c r="BL259" s="164"/>
      <c r="BM259" s="173"/>
      <c r="BN259" s="252"/>
      <c r="BO259" s="259"/>
      <c r="BP259" s="252"/>
      <c r="BQ259" s="252"/>
      <c r="BR259" s="252"/>
      <c r="BS259" s="259"/>
      <c r="BT259" s="252"/>
      <c r="BU259" s="252"/>
      <c r="BV259" s="252"/>
      <c r="BW259" s="259"/>
      <c r="BX259" s="252"/>
      <c r="BY259" s="252"/>
      <c r="BZ259" s="252"/>
      <c r="CA259" s="259"/>
      <c r="CB259" s="252"/>
      <c r="CC259" s="252"/>
      <c r="CD259" s="252"/>
      <c r="CE259" s="259"/>
      <c r="CF259" s="252"/>
      <c r="CG259" s="252"/>
      <c r="CH259" s="252"/>
      <c r="CI259" s="259"/>
      <c r="CJ259" s="252"/>
      <c r="CK259" s="252"/>
      <c r="CL259" s="252"/>
      <c r="CM259" s="259"/>
      <c r="CN259" s="252"/>
      <c r="CO259" s="252"/>
      <c r="CP259" s="252"/>
      <c r="CQ259" s="259"/>
      <c r="CR259" s="252"/>
      <c r="CS259" s="252"/>
      <c r="CT259" s="255"/>
      <c r="CU259" s="173"/>
      <c r="CV259" s="173"/>
      <c r="CW259" s="173"/>
      <c r="CX259" s="173"/>
      <c r="CY259" s="173"/>
      <c r="CZ259" s="173"/>
      <c r="DA259" s="173"/>
      <c r="DB259" s="173"/>
      <c r="DC259" s="173"/>
      <c r="DD259" s="173"/>
      <c r="DE259" s="173"/>
      <c r="DF259" s="173"/>
    </row>
    <row r="260" spans="1:110" s="174" customFormat="1" x14ac:dyDescent="0.2">
      <c r="A260" s="190"/>
      <c r="B260" s="172"/>
      <c r="D260" s="169"/>
      <c r="E260" s="169"/>
      <c r="F260" s="169"/>
      <c r="G260" s="244"/>
      <c r="H260" s="169"/>
      <c r="I260" s="295"/>
      <c r="J260" s="295"/>
      <c r="K260" s="169"/>
      <c r="L260" s="169"/>
      <c r="M260" s="169"/>
      <c r="N260" s="169"/>
      <c r="O260" s="169"/>
      <c r="P260" s="169"/>
      <c r="Q260" s="185"/>
      <c r="R260" s="190"/>
      <c r="AS260" s="161"/>
      <c r="BF260" s="162"/>
      <c r="BG260" s="162"/>
      <c r="BH260" s="163"/>
      <c r="BI260" s="163"/>
      <c r="BJ260" s="161"/>
      <c r="BK260" s="288"/>
      <c r="BL260" s="164"/>
      <c r="BM260" s="173"/>
      <c r="BN260" s="252"/>
      <c r="BO260" s="259"/>
      <c r="BP260" s="252"/>
      <c r="BQ260" s="252"/>
      <c r="BR260" s="252"/>
      <c r="BS260" s="259"/>
      <c r="BT260" s="252"/>
      <c r="BU260" s="252"/>
      <c r="BV260" s="252"/>
      <c r="BW260" s="259"/>
      <c r="BX260" s="252"/>
      <c r="BY260" s="252"/>
      <c r="BZ260" s="252"/>
      <c r="CA260" s="259"/>
      <c r="CB260" s="252"/>
      <c r="CC260" s="252"/>
      <c r="CD260" s="252"/>
      <c r="CE260" s="259"/>
      <c r="CF260" s="252"/>
      <c r="CG260" s="252"/>
      <c r="CH260" s="252"/>
      <c r="CI260" s="259"/>
      <c r="CJ260" s="252"/>
      <c r="CK260" s="252"/>
      <c r="CL260" s="252"/>
      <c r="CM260" s="259"/>
      <c r="CN260" s="252"/>
      <c r="CO260" s="252"/>
      <c r="CP260" s="252"/>
      <c r="CQ260" s="259"/>
      <c r="CR260" s="252"/>
      <c r="CS260" s="252"/>
      <c r="CT260" s="255"/>
      <c r="CU260" s="173"/>
      <c r="CV260" s="173"/>
      <c r="CW260" s="173"/>
      <c r="CX260" s="173"/>
      <c r="CY260" s="173"/>
      <c r="CZ260" s="173"/>
      <c r="DA260" s="173"/>
      <c r="DB260" s="173"/>
      <c r="DC260" s="173"/>
      <c r="DD260" s="173"/>
      <c r="DE260" s="173"/>
      <c r="DF260" s="173"/>
    </row>
    <row r="261" spans="1:110" s="174" customFormat="1" x14ac:dyDescent="0.2">
      <c r="A261" s="190"/>
      <c r="B261" s="172"/>
      <c r="D261" s="169"/>
      <c r="E261" s="169"/>
      <c r="F261" s="169"/>
      <c r="G261" s="244"/>
      <c r="H261" s="169"/>
      <c r="I261" s="295"/>
      <c r="J261" s="295"/>
      <c r="K261" s="169"/>
      <c r="L261" s="169"/>
      <c r="M261" s="169"/>
      <c r="N261" s="169"/>
      <c r="O261" s="169"/>
      <c r="P261" s="169"/>
      <c r="Q261" s="185"/>
      <c r="R261" s="190"/>
      <c r="AS261" s="161"/>
      <c r="BF261" s="162"/>
      <c r="BG261" s="162"/>
      <c r="BH261" s="163"/>
      <c r="BI261" s="163"/>
      <c r="BJ261" s="161"/>
      <c r="BK261" s="288"/>
      <c r="BL261" s="164"/>
      <c r="BM261" s="173"/>
      <c r="BN261" s="252"/>
      <c r="BO261" s="259"/>
      <c r="BP261" s="252"/>
      <c r="BQ261" s="252"/>
      <c r="BR261" s="252"/>
      <c r="BS261" s="259"/>
      <c r="BT261" s="252"/>
      <c r="BU261" s="252"/>
      <c r="BV261" s="252"/>
      <c r="BW261" s="259"/>
      <c r="BX261" s="252"/>
      <c r="BY261" s="252"/>
      <c r="BZ261" s="252"/>
      <c r="CA261" s="259"/>
      <c r="CB261" s="252"/>
      <c r="CC261" s="252"/>
      <c r="CD261" s="252"/>
      <c r="CE261" s="259"/>
      <c r="CF261" s="252"/>
      <c r="CG261" s="252"/>
      <c r="CH261" s="252"/>
      <c r="CI261" s="259"/>
      <c r="CJ261" s="252"/>
      <c r="CK261" s="252"/>
      <c r="CL261" s="252"/>
      <c r="CM261" s="259"/>
      <c r="CN261" s="252"/>
      <c r="CO261" s="252"/>
      <c r="CP261" s="252"/>
      <c r="CQ261" s="259"/>
      <c r="CR261" s="252"/>
      <c r="CS261" s="252"/>
      <c r="CT261" s="255"/>
      <c r="CU261" s="173"/>
      <c r="CV261" s="173"/>
      <c r="CW261" s="173"/>
      <c r="CX261" s="173"/>
      <c r="CY261" s="173"/>
      <c r="CZ261" s="173"/>
      <c r="DA261" s="173"/>
      <c r="DB261" s="173"/>
      <c r="DC261" s="173"/>
      <c r="DD261" s="173"/>
      <c r="DE261" s="173"/>
      <c r="DF261" s="173"/>
    </row>
    <row r="262" spans="1:110" s="174" customFormat="1" x14ac:dyDescent="0.2">
      <c r="A262" s="190"/>
      <c r="B262" s="172"/>
      <c r="D262" s="169"/>
      <c r="E262" s="169"/>
      <c r="F262" s="169"/>
      <c r="G262" s="244"/>
      <c r="H262" s="169"/>
      <c r="I262" s="295"/>
      <c r="J262" s="295"/>
      <c r="K262" s="169"/>
      <c r="L262" s="169"/>
      <c r="M262" s="169"/>
      <c r="N262" s="169"/>
      <c r="O262" s="169"/>
      <c r="P262" s="169"/>
      <c r="Q262" s="185"/>
      <c r="R262" s="190"/>
      <c r="AS262" s="161"/>
      <c r="BF262" s="162"/>
      <c r="BG262" s="162"/>
      <c r="BH262" s="163"/>
      <c r="BI262" s="163"/>
      <c r="BJ262" s="161"/>
      <c r="BK262" s="288"/>
      <c r="BL262" s="164"/>
      <c r="BM262" s="173"/>
      <c r="BN262" s="252"/>
      <c r="BO262" s="259"/>
      <c r="BP262" s="252"/>
      <c r="BQ262" s="252"/>
      <c r="BR262" s="252"/>
      <c r="BS262" s="259"/>
      <c r="BT262" s="252"/>
      <c r="BU262" s="252"/>
      <c r="BV262" s="252"/>
      <c r="BW262" s="259"/>
      <c r="BX262" s="252"/>
      <c r="BY262" s="252"/>
      <c r="BZ262" s="252"/>
      <c r="CA262" s="259"/>
      <c r="CB262" s="252"/>
      <c r="CC262" s="252"/>
      <c r="CD262" s="252"/>
      <c r="CE262" s="259"/>
      <c r="CF262" s="252"/>
      <c r="CG262" s="252"/>
      <c r="CH262" s="252"/>
      <c r="CI262" s="259"/>
      <c r="CJ262" s="252"/>
      <c r="CK262" s="252"/>
      <c r="CL262" s="252"/>
      <c r="CM262" s="259"/>
      <c r="CN262" s="252"/>
      <c r="CO262" s="252"/>
      <c r="CP262" s="252"/>
      <c r="CQ262" s="259"/>
      <c r="CR262" s="252"/>
      <c r="CS262" s="252"/>
      <c r="CT262" s="255"/>
      <c r="CU262" s="173"/>
      <c r="CV262" s="173"/>
      <c r="CW262" s="173"/>
      <c r="CX262" s="173"/>
      <c r="CY262" s="173"/>
      <c r="CZ262" s="173"/>
      <c r="DA262" s="173"/>
      <c r="DB262" s="173"/>
      <c r="DC262" s="173"/>
      <c r="DD262" s="173"/>
      <c r="DE262" s="173"/>
      <c r="DF262" s="173"/>
    </row>
    <row r="263" spans="1:110" s="174" customFormat="1" x14ac:dyDescent="0.2">
      <c r="A263" s="190"/>
      <c r="B263" s="172"/>
      <c r="D263" s="169"/>
      <c r="E263" s="169"/>
      <c r="F263" s="169"/>
      <c r="G263" s="244"/>
      <c r="H263" s="169"/>
      <c r="I263" s="295"/>
      <c r="J263" s="295"/>
      <c r="K263" s="169"/>
      <c r="L263" s="169"/>
      <c r="M263" s="169"/>
      <c r="N263" s="169"/>
      <c r="O263" s="169"/>
      <c r="P263" s="169"/>
      <c r="Q263" s="185"/>
      <c r="R263" s="190"/>
      <c r="AS263" s="161"/>
      <c r="BF263" s="162"/>
      <c r="BG263" s="162"/>
      <c r="BH263" s="163"/>
      <c r="BI263" s="163"/>
      <c r="BJ263" s="161"/>
      <c r="BK263" s="288"/>
      <c r="BL263" s="164"/>
      <c r="BM263" s="173"/>
      <c r="BN263" s="252"/>
      <c r="BO263" s="259"/>
      <c r="BP263" s="252"/>
      <c r="BQ263" s="252"/>
      <c r="BR263" s="252"/>
      <c r="BS263" s="259"/>
      <c r="BT263" s="252"/>
      <c r="BU263" s="252"/>
      <c r="BV263" s="252"/>
      <c r="BW263" s="259"/>
      <c r="BX263" s="252"/>
      <c r="BY263" s="252"/>
      <c r="BZ263" s="252"/>
      <c r="CA263" s="259"/>
      <c r="CB263" s="252"/>
      <c r="CC263" s="252"/>
      <c r="CD263" s="252"/>
      <c r="CE263" s="259"/>
      <c r="CF263" s="252"/>
      <c r="CG263" s="252"/>
      <c r="CH263" s="252"/>
      <c r="CI263" s="259"/>
      <c r="CJ263" s="252"/>
      <c r="CK263" s="252"/>
      <c r="CL263" s="252"/>
      <c r="CM263" s="259"/>
      <c r="CN263" s="252"/>
      <c r="CO263" s="252"/>
      <c r="CP263" s="252"/>
      <c r="CQ263" s="259"/>
      <c r="CR263" s="252"/>
      <c r="CS263" s="252"/>
      <c r="CT263" s="255"/>
      <c r="CU263" s="173"/>
      <c r="CV263" s="173"/>
      <c r="CW263" s="173"/>
      <c r="CX263" s="173"/>
      <c r="CY263" s="173"/>
      <c r="CZ263" s="173"/>
      <c r="DA263" s="173"/>
      <c r="DB263" s="173"/>
      <c r="DC263" s="173"/>
      <c r="DD263" s="173"/>
      <c r="DE263" s="173"/>
      <c r="DF263" s="173"/>
    </row>
    <row r="264" spans="1:110" s="174" customFormat="1" x14ac:dyDescent="0.2">
      <c r="A264" s="190"/>
      <c r="B264" s="172"/>
      <c r="D264" s="169"/>
      <c r="E264" s="169"/>
      <c r="F264" s="169"/>
      <c r="G264" s="244"/>
      <c r="H264" s="169"/>
      <c r="I264" s="295"/>
      <c r="J264" s="295"/>
      <c r="K264" s="169"/>
      <c r="L264" s="169"/>
      <c r="M264" s="169"/>
      <c r="N264" s="169"/>
      <c r="O264" s="169"/>
      <c r="P264" s="169"/>
      <c r="Q264" s="185"/>
      <c r="R264" s="190"/>
      <c r="AS264" s="161"/>
      <c r="BF264" s="162"/>
      <c r="BG264" s="162"/>
      <c r="BH264" s="163"/>
      <c r="BI264" s="163"/>
      <c r="BJ264" s="161"/>
      <c r="BK264" s="288"/>
      <c r="BL264" s="164"/>
      <c r="BM264" s="173"/>
      <c r="BN264" s="252"/>
      <c r="BO264" s="259"/>
      <c r="BP264" s="252"/>
      <c r="BQ264" s="252"/>
      <c r="BR264" s="252"/>
      <c r="BS264" s="259"/>
      <c r="BT264" s="252"/>
      <c r="BU264" s="252"/>
      <c r="BV264" s="252"/>
      <c r="BW264" s="259"/>
      <c r="BX264" s="252"/>
      <c r="BY264" s="252"/>
      <c r="BZ264" s="252"/>
      <c r="CA264" s="259"/>
      <c r="CB264" s="252"/>
      <c r="CC264" s="252"/>
      <c r="CD264" s="252"/>
      <c r="CE264" s="259"/>
      <c r="CF264" s="252"/>
      <c r="CG264" s="252"/>
      <c r="CH264" s="252"/>
      <c r="CI264" s="259"/>
      <c r="CJ264" s="252"/>
      <c r="CK264" s="252"/>
      <c r="CL264" s="252"/>
      <c r="CM264" s="259"/>
      <c r="CN264" s="252"/>
      <c r="CO264" s="252"/>
      <c r="CP264" s="252"/>
      <c r="CQ264" s="259"/>
      <c r="CR264" s="252"/>
      <c r="CS264" s="252"/>
      <c r="CT264" s="255"/>
      <c r="CU264" s="173"/>
      <c r="CV264" s="173"/>
      <c r="CW264" s="173"/>
      <c r="CX264" s="173"/>
      <c r="CY264" s="173"/>
      <c r="CZ264" s="173"/>
      <c r="DA264" s="173"/>
      <c r="DB264" s="173"/>
      <c r="DC264" s="173"/>
      <c r="DD264" s="173"/>
      <c r="DE264" s="173"/>
      <c r="DF264" s="173"/>
    </row>
    <row r="265" spans="1:110" s="174" customFormat="1" x14ac:dyDescent="0.2">
      <c r="A265" s="190"/>
      <c r="B265" s="172"/>
      <c r="D265" s="169"/>
      <c r="E265" s="169"/>
      <c r="F265" s="169"/>
      <c r="G265" s="244"/>
      <c r="H265" s="169"/>
      <c r="I265" s="295"/>
      <c r="J265" s="295"/>
      <c r="K265" s="169"/>
      <c r="L265" s="169"/>
      <c r="M265" s="169"/>
      <c r="N265" s="169"/>
      <c r="O265" s="169"/>
      <c r="P265" s="169"/>
      <c r="Q265" s="185"/>
      <c r="R265" s="190"/>
      <c r="AS265" s="161"/>
      <c r="BF265" s="162"/>
      <c r="BG265" s="162"/>
      <c r="BH265" s="163"/>
      <c r="BI265" s="163"/>
      <c r="BJ265" s="161"/>
      <c r="BK265" s="288"/>
      <c r="BL265" s="164"/>
      <c r="BM265" s="173"/>
      <c r="BN265" s="252"/>
      <c r="BO265" s="259"/>
      <c r="BP265" s="252"/>
      <c r="BQ265" s="252"/>
      <c r="BR265" s="252"/>
      <c r="BS265" s="259"/>
      <c r="BT265" s="252"/>
      <c r="BU265" s="252"/>
      <c r="BV265" s="252"/>
      <c r="BW265" s="259"/>
      <c r="BX265" s="252"/>
      <c r="BY265" s="252"/>
      <c r="BZ265" s="252"/>
      <c r="CA265" s="259"/>
      <c r="CB265" s="252"/>
      <c r="CC265" s="252"/>
      <c r="CD265" s="252"/>
      <c r="CE265" s="259"/>
      <c r="CF265" s="252"/>
      <c r="CG265" s="252"/>
      <c r="CH265" s="252"/>
      <c r="CI265" s="259"/>
      <c r="CJ265" s="252"/>
      <c r="CK265" s="252"/>
      <c r="CL265" s="252"/>
      <c r="CM265" s="259"/>
      <c r="CN265" s="252"/>
      <c r="CO265" s="252"/>
      <c r="CP265" s="252"/>
      <c r="CQ265" s="259"/>
      <c r="CR265" s="252"/>
      <c r="CS265" s="252"/>
      <c r="CT265" s="255"/>
      <c r="CU265" s="173"/>
      <c r="CV265" s="173"/>
      <c r="CW265" s="173"/>
      <c r="CX265" s="173"/>
      <c r="CY265" s="173"/>
      <c r="CZ265" s="173"/>
      <c r="DA265" s="173"/>
      <c r="DB265" s="173"/>
      <c r="DC265" s="173"/>
      <c r="DD265" s="173"/>
      <c r="DE265" s="173"/>
      <c r="DF265" s="173"/>
    </row>
    <row r="266" spans="1:110" s="174" customFormat="1" x14ac:dyDescent="0.2">
      <c r="A266" s="190"/>
      <c r="B266" s="172"/>
      <c r="D266" s="169"/>
      <c r="E266" s="169"/>
      <c r="F266" s="169"/>
      <c r="G266" s="244"/>
      <c r="H266" s="169"/>
      <c r="I266" s="295"/>
      <c r="J266" s="295"/>
      <c r="K266" s="169"/>
      <c r="L266" s="169"/>
      <c r="M266" s="169"/>
      <c r="N266" s="169"/>
      <c r="O266" s="169"/>
      <c r="P266" s="169"/>
      <c r="Q266" s="185"/>
      <c r="R266" s="190"/>
      <c r="AS266" s="161"/>
      <c r="BF266" s="162"/>
      <c r="BG266" s="162"/>
      <c r="BH266" s="163"/>
      <c r="BI266" s="163"/>
      <c r="BJ266" s="161"/>
      <c r="BK266" s="288"/>
      <c r="BL266" s="164"/>
      <c r="BM266" s="173"/>
      <c r="BN266" s="252"/>
      <c r="BO266" s="259"/>
      <c r="BP266" s="252"/>
      <c r="BQ266" s="252"/>
      <c r="BR266" s="252"/>
      <c r="BS266" s="259"/>
      <c r="BT266" s="252"/>
      <c r="BU266" s="252"/>
      <c r="BV266" s="252"/>
      <c r="BW266" s="259"/>
      <c r="BX266" s="252"/>
      <c r="BY266" s="252"/>
      <c r="BZ266" s="252"/>
      <c r="CA266" s="259"/>
      <c r="CB266" s="252"/>
      <c r="CC266" s="252"/>
      <c r="CD266" s="252"/>
      <c r="CE266" s="259"/>
      <c r="CF266" s="252"/>
      <c r="CG266" s="252"/>
      <c r="CH266" s="252"/>
      <c r="CI266" s="259"/>
      <c r="CJ266" s="252"/>
      <c r="CK266" s="252"/>
      <c r="CL266" s="252"/>
      <c r="CM266" s="259"/>
      <c r="CN266" s="252"/>
      <c r="CO266" s="252"/>
      <c r="CP266" s="252"/>
      <c r="CQ266" s="259"/>
      <c r="CR266" s="252"/>
      <c r="CS266" s="252"/>
      <c r="CT266" s="255"/>
      <c r="CU266" s="173"/>
      <c r="CV266" s="173"/>
      <c r="CW266" s="173"/>
      <c r="CX266" s="173"/>
      <c r="CY266" s="173"/>
      <c r="CZ266" s="173"/>
      <c r="DA266" s="173"/>
      <c r="DB266" s="173"/>
      <c r="DC266" s="173"/>
      <c r="DD266" s="173"/>
      <c r="DE266" s="173"/>
      <c r="DF266" s="173"/>
    </row>
    <row r="267" spans="1:110" s="174" customFormat="1" x14ac:dyDescent="0.2">
      <c r="A267" s="190"/>
      <c r="B267" s="172"/>
      <c r="D267" s="169"/>
      <c r="E267" s="169"/>
      <c r="F267" s="169"/>
      <c r="G267" s="244"/>
      <c r="H267" s="169"/>
      <c r="I267" s="295"/>
      <c r="J267" s="295"/>
      <c r="K267" s="169"/>
      <c r="L267" s="169"/>
      <c r="M267" s="169"/>
      <c r="N267" s="169"/>
      <c r="O267" s="169"/>
      <c r="P267" s="169"/>
      <c r="Q267" s="185"/>
      <c r="R267" s="190"/>
      <c r="AS267" s="161"/>
      <c r="BF267" s="162"/>
      <c r="BG267" s="162"/>
      <c r="BH267" s="163"/>
      <c r="BI267" s="163"/>
      <c r="BJ267" s="161"/>
      <c r="BK267" s="288"/>
      <c r="BL267" s="164"/>
      <c r="BM267" s="173"/>
      <c r="BN267" s="252"/>
      <c r="BO267" s="259"/>
      <c r="BP267" s="252"/>
      <c r="BQ267" s="252"/>
      <c r="BR267" s="252"/>
      <c r="BS267" s="259"/>
      <c r="BT267" s="252"/>
      <c r="BU267" s="252"/>
      <c r="BV267" s="252"/>
      <c r="BW267" s="259"/>
      <c r="BX267" s="252"/>
      <c r="BY267" s="252"/>
      <c r="BZ267" s="252"/>
      <c r="CA267" s="259"/>
      <c r="CB267" s="252"/>
      <c r="CC267" s="252"/>
      <c r="CD267" s="252"/>
      <c r="CE267" s="259"/>
      <c r="CF267" s="252"/>
      <c r="CG267" s="252"/>
      <c r="CH267" s="252"/>
      <c r="CI267" s="259"/>
      <c r="CJ267" s="252"/>
      <c r="CK267" s="252"/>
      <c r="CL267" s="252"/>
      <c r="CM267" s="259"/>
      <c r="CN267" s="252"/>
      <c r="CO267" s="252"/>
      <c r="CP267" s="252"/>
      <c r="CQ267" s="259"/>
      <c r="CR267" s="252"/>
      <c r="CS267" s="252"/>
      <c r="CT267" s="255"/>
      <c r="CU267" s="173"/>
      <c r="CV267" s="173"/>
      <c r="CW267" s="173"/>
      <c r="CX267" s="173"/>
      <c r="CY267" s="173"/>
      <c r="CZ267" s="173"/>
      <c r="DA267" s="173"/>
      <c r="DB267" s="173"/>
      <c r="DC267" s="173"/>
      <c r="DD267" s="173"/>
      <c r="DE267" s="173"/>
      <c r="DF267" s="173"/>
    </row>
    <row r="268" spans="1:110" s="174" customFormat="1" x14ac:dyDescent="0.2">
      <c r="A268" s="190"/>
      <c r="B268" s="172"/>
      <c r="D268" s="169"/>
      <c r="E268" s="169"/>
      <c r="F268" s="169"/>
      <c r="G268" s="244"/>
      <c r="H268" s="169"/>
      <c r="I268" s="295"/>
      <c r="J268" s="295"/>
      <c r="K268" s="169"/>
      <c r="L268" s="169"/>
      <c r="M268" s="169"/>
      <c r="N268" s="169"/>
      <c r="O268" s="169"/>
      <c r="P268" s="169"/>
      <c r="Q268" s="185"/>
      <c r="R268" s="190"/>
      <c r="AS268" s="161"/>
      <c r="BF268" s="162"/>
      <c r="BG268" s="162"/>
      <c r="BH268" s="163"/>
      <c r="BI268" s="163"/>
      <c r="BJ268" s="161"/>
      <c r="BK268" s="288"/>
      <c r="BL268" s="164"/>
      <c r="BM268" s="173"/>
      <c r="BN268" s="252"/>
      <c r="BO268" s="259"/>
      <c r="BP268" s="252"/>
      <c r="BQ268" s="252"/>
      <c r="BR268" s="252"/>
      <c r="BS268" s="259"/>
      <c r="BT268" s="252"/>
      <c r="BU268" s="252"/>
      <c r="BV268" s="252"/>
      <c r="BW268" s="259"/>
      <c r="BX268" s="252"/>
      <c r="BY268" s="252"/>
      <c r="BZ268" s="252"/>
      <c r="CA268" s="259"/>
      <c r="CB268" s="252"/>
      <c r="CC268" s="252"/>
      <c r="CD268" s="252"/>
      <c r="CE268" s="259"/>
      <c r="CF268" s="252"/>
      <c r="CG268" s="252"/>
      <c r="CH268" s="252"/>
      <c r="CI268" s="259"/>
      <c r="CJ268" s="252"/>
      <c r="CK268" s="252"/>
      <c r="CL268" s="252"/>
      <c r="CM268" s="259"/>
      <c r="CN268" s="252"/>
      <c r="CO268" s="252"/>
      <c r="CP268" s="252"/>
      <c r="CQ268" s="259"/>
      <c r="CR268" s="252"/>
      <c r="CS268" s="252"/>
      <c r="CT268" s="255"/>
      <c r="CU268" s="173"/>
      <c r="CV268" s="173"/>
      <c r="CW268" s="173"/>
      <c r="CX268" s="173"/>
      <c r="CY268" s="173"/>
      <c r="CZ268" s="173"/>
      <c r="DA268" s="173"/>
      <c r="DB268" s="173"/>
      <c r="DC268" s="173"/>
      <c r="DD268" s="173"/>
      <c r="DE268" s="173"/>
      <c r="DF268" s="173"/>
    </row>
    <row r="269" spans="1:110" s="174" customFormat="1" x14ac:dyDescent="0.2">
      <c r="A269" s="190"/>
      <c r="B269" s="172"/>
      <c r="D269" s="169"/>
      <c r="E269" s="169"/>
      <c r="F269" s="169"/>
      <c r="G269" s="244"/>
      <c r="H269" s="169"/>
      <c r="I269" s="295"/>
      <c r="J269" s="295"/>
      <c r="K269" s="169"/>
      <c r="L269" s="169"/>
      <c r="M269" s="169"/>
      <c r="N269" s="169"/>
      <c r="O269" s="169"/>
      <c r="P269" s="169"/>
      <c r="Q269" s="185"/>
      <c r="R269" s="190"/>
      <c r="AS269" s="161"/>
      <c r="BF269" s="162"/>
      <c r="BG269" s="162"/>
      <c r="BH269" s="163"/>
      <c r="BI269" s="163"/>
      <c r="BJ269" s="161"/>
      <c r="BK269" s="288"/>
      <c r="BL269" s="164"/>
      <c r="BM269" s="173"/>
      <c r="BN269" s="252"/>
      <c r="BO269" s="259"/>
      <c r="BP269" s="252"/>
      <c r="BQ269" s="252"/>
      <c r="BR269" s="252"/>
      <c r="BS269" s="259"/>
      <c r="BT269" s="252"/>
      <c r="BU269" s="252"/>
      <c r="BV269" s="252"/>
      <c r="BW269" s="259"/>
      <c r="BX269" s="252"/>
      <c r="BY269" s="252"/>
      <c r="BZ269" s="252"/>
      <c r="CA269" s="259"/>
      <c r="CB269" s="252"/>
      <c r="CC269" s="252"/>
      <c r="CD269" s="252"/>
      <c r="CE269" s="259"/>
      <c r="CF269" s="252"/>
      <c r="CG269" s="252"/>
      <c r="CH269" s="252"/>
      <c r="CI269" s="259"/>
      <c r="CJ269" s="252"/>
      <c r="CK269" s="252"/>
      <c r="CL269" s="252"/>
      <c r="CM269" s="259"/>
      <c r="CN269" s="252"/>
      <c r="CO269" s="252"/>
      <c r="CP269" s="252"/>
      <c r="CQ269" s="259"/>
      <c r="CR269" s="252"/>
      <c r="CS269" s="252"/>
      <c r="CT269" s="255"/>
      <c r="CU269" s="173"/>
      <c r="CV269" s="173"/>
      <c r="CW269" s="173"/>
      <c r="CX269" s="173"/>
      <c r="CY269" s="173"/>
      <c r="CZ269" s="173"/>
      <c r="DA269" s="173"/>
      <c r="DB269" s="173"/>
      <c r="DC269" s="173"/>
      <c r="DD269" s="173"/>
      <c r="DE269" s="173"/>
      <c r="DF269" s="173"/>
    </row>
    <row r="270" spans="1:110" s="174" customFormat="1" x14ac:dyDescent="0.2">
      <c r="A270" s="190"/>
      <c r="B270" s="172"/>
      <c r="D270" s="169"/>
      <c r="E270" s="169"/>
      <c r="F270" s="169"/>
      <c r="G270" s="244"/>
      <c r="H270" s="169"/>
      <c r="I270" s="295"/>
      <c r="J270" s="295"/>
      <c r="K270" s="169"/>
      <c r="L270" s="169"/>
      <c r="M270" s="169"/>
      <c r="N270" s="169"/>
      <c r="O270" s="169"/>
      <c r="P270" s="169"/>
      <c r="Q270" s="185"/>
      <c r="R270" s="190"/>
      <c r="AS270" s="161"/>
      <c r="BF270" s="162"/>
      <c r="BG270" s="162"/>
      <c r="BH270" s="163"/>
      <c r="BI270" s="163"/>
      <c r="BJ270" s="161"/>
      <c r="BK270" s="288"/>
      <c r="BL270" s="164"/>
      <c r="BM270" s="173"/>
      <c r="BN270" s="252"/>
      <c r="BO270" s="259"/>
      <c r="BP270" s="252"/>
      <c r="BQ270" s="252"/>
      <c r="BR270" s="252"/>
      <c r="BS270" s="259"/>
      <c r="BT270" s="252"/>
      <c r="BU270" s="252"/>
      <c r="BV270" s="252"/>
      <c r="BW270" s="259"/>
      <c r="BX270" s="252"/>
      <c r="BY270" s="252"/>
      <c r="BZ270" s="252"/>
      <c r="CA270" s="259"/>
      <c r="CB270" s="252"/>
      <c r="CC270" s="252"/>
      <c r="CD270" s="252"/>
      <c r="CE270" s="259"/>
      <c r="CF270" s="252"/>
      <c r="CG270" s="252"/>
      <c r="CH270" s="252"/>
      <c r="CI270" s="259"/>
      <c r="CJ270" s="252"/>
      <c r="CK270" s="252"/>
      <c r="CL270" s="252"/>
      <c r="CM270" s="259"/>
      <c r="CN270" s="252"/>
      <c r="CO270" s="252"/>
      <c r="CP270" s="252"/>
      <c r="CQ270" s="259"/>
      <c r="CR270" s="252"/>
      <c r="CS270" s="252"/>
      <c r="CT270" s="255"/>
      <c r="CU270" s="173"/>
      <c r="CV270" s="173"/>
      <c r="CW270" s="173"/>
      <c r="CX270" s="173"/>
      <c r="CY270" s="173"/>
      <c r="CZ270" s="173"/>
      <c r="DA270" s="173"/>
      <c r="DB270" s="173"/>
      <c r="DC270" s="173"/>
      <c r="DD270" s="173"/>
      <c r="DE270" s="173"/>
      <c r="DF270" s="173"/>
    </row>
    <row r="271" spans="1:110" s="174" customFormat="1" x14ac:dyDescent="0.2">
      <c r="A271" s="190"/>
      <c r="B271" s="172"/>
      <c r="D271" s="169"/>
      <c r="E271" s="169"/>
      <c r="F271" s="169"/>
      <c r="G271" s="244"/>
      <c r="H271" s="169"/>
      <c r="I271" s="295"/>
      <c r="J271" s="295"/>
      <c r="K271" s="169"/>
      <c r="L271" s="169"/>
      <c r="M271" s="169"/>
      <c r="N271" s="169"/>
      <c r="O271" s="169"/>
      <c r="P271" s="169"/>
      <c r="Q271" s="185"/>
      <c r="R271" s="190"/>
      <c r="AS271" s="161"/>
      <c r="BF271" s="162"/>
      <c r="BG271" s="162"/>
      <c r="BH271" s="163"/>
      <c r="BI271" s="163"/>
      <c r="BJ271" s="161"/>
      <c r="BK271" s="288"/>
      <c r="BL271" s="164"/>
      <c r="BM271" s="173"/>
      <c r="BN271" s="252"/>
      <c r="BO271" s="259"/>
      <c r="BP271" s="252"/>
      <c r="BQ271" s="252"/>
      <c r="BR271" s="252"/>
      <c r="BS271" s="259"/>
      <c r="BT271" s="252"/>
      <c r="BU271" s="252"/>
      <c r="BV271" s="252"/>
      <c r="BW271" s="259"/>
      <c r="BX271" s="252"/>
      <c r="BY271" s="252"/>
      <c r="BZ271" s="252"/>
      <c r="CA271" s="259"/>
      <c r="CB271" s="252"/>
      <c r="CC271" s="252"/>
      <c r="CD271" s="252"/>
      <c r="CE271" s="259"/>
      <c r="CF271" s="252"/>
      <c r="CG271" s="252"/>
      <c r="CH271" s="252"/>
      <c r="CI271" s="259"/>
      <c r="CJ271" s="252"/>
      <c r="CK271" s="252"/>
      <c r="CL271" s="252"/>
      <c r="CM271" s="259"/>
      <c r="CN271" s="252"/>
      <c r="CO271" s="252"/>
      <c r="CP271" s="252"/>
      <c r="CQ271" s="259"/>
      <c r="CR271" s="252"/>
      <c r="CS271" s="252"/>
      <c r="CT271" s="255"/>
      <c r="CU271" s="173"/>
      <c r="CV271" s="173"/>
      <c r="CW271" s="173"/>
      <c r="CX271" s="173"/>
      <c r="CY271" s="173"/>
      <c r="CZ271" s="173"/>
      <c r="DA271" s="173"/>
      <c r="DB271" s="173"/>
      <c r="DC271" s="173"/>
      <c r="DD271" s="173"/>
      <c r="DE271" s="173"/>
      <c r="DF271" s="173"/>
    </row>
    <row r="272" spans="1:110" s="174" customFormat="1" x14ac:dyDescent="0.2">
      <c r="A272" s="190"/>
      <c r="B272" s="172"/>
      <c r="D272" s="169"/>
      <c r="E272" s="169"/>
      <c r="F272" s="169"/>
      <c r="G272" s="244"/>
      <c r="H272" s="169"/>
      <c r="I272" s="295"/>
      <c r="J272" s="295"/>
      <c r="K272" s="169"/>
      <c r="L272" s="169"/>
      <c r="M272" s="169"/>
      <c r="N272" s="169"/>
      <c r="O272" s="169"/>
      <c r="P272" s="169"/>
      <c r="Q272" s="185"/>
      <c r="R272" s="190"/>
      <c r="AS272" s="161"/>
      <c r="BF272" s="162"/>
      <c r="BG272" s="162"/>
      <c r="BH272" s="163"/>
      <c r="BI272" s="163"/>
      <c r="BJ272" s="161"/>
      <c r="BK272" s="288"/>
      <c r="BL272" s="164"/>
      <c r="BM272" s="173"/>
      <c r="BN272" s="252"/>
      <c r="BO272" s="259"/>
      <c r="BP272" s="252"/>
      <c r="BQ272" s="252"/>
      <c r="BR272" s="252"/>
      <c r="BS272" s="259"/>
      <c r="BT272" s="252"/>
      <c r="BU272" s="252"/>
      <c r="BV272" s="252"/>
      <c r="BW272" s="259"/>
      <c r="BX272" s="252"/>
      <c r="BY272" s="252"/>
      <c r="BZ272" s="252"/>
      <c r="CA272" s="259"/>
      <c r="CB272" s="252"/>
      <c r="CC272" s="252"/>
      <c r="CD272" s="252"/>
      <c r="CE272" s="259"/>
      <c r="CF272" s="252"/>
      <c r="CG272" s="252"/>
      <c r="CH272" s="252"/>
      <c r="CI272" s="259"/>
      <c r="CJ272" s="252"/>
      <c r="CK272" s="252"/>
      <c r="CL272" s="252"/>
      <c r="CM272" s="259"/>
      <c r="CN272" s="252"/>
      <c r="CO272" s="252"/>
      <c r="CP272" s="252"/>
      <c r="CQ272" s="259"/>
      <c r="CR272" s="252"/>
      <c r="CS272" s="252"/>
      <c r="CT272" s="255"/>
      <c r="CU272" s="173"/>
      <c r="CV272" s="173"/>
      <c r="CW272" s="173"/>
      <c r="CX272" s="173"/>
      <c r="CY272" s="173"/>
      <c r="CZ272" s="173"/>
      <c r="DA272" s="173"/>
      <c r="DB272" s="173"/>
      <c r="DC272" s="173"/>
      <c r="DD272" s="173"/>
      <c r="DE272" s="173"/>
      <c r="DF272" s="173"/>
    </row>
    <row r="273" spans="1:110" s="174" customFormat="1" x14ac:dyDescent="0.2">
      <c r="A273" s="190"/>
      <c r="B273" s="172"/>
      <c r="D273" s="169"/>
      <c r="E273" s="169"/>
      <c r="F273" s="169"/>
      <c r="G273" s="244"/>
      <c r="H273" s="169"/>
      <c r="I273" s="295"/>
      <c r="J273" s="295"/>
      <c r="K273" s="169"/>
      <c r="L273" s="169"/>
      <c r="M273" s="169"/>
      <c r="N273" s="169"/>
      <c r="O273" s="169"/>
      <c r="P273" s="169"/>
      <c r="Q273" s="185"/>
      <c r="R273" s="190"/>
      <c r="AS273" s="161"/>
      <c r="BF273" s="162"/>
      <c r="BG273" s="162"/>
      <c r="BH273" s="163"/>
      <c r="BI273" s="163"/>
      <c r="BJ273" s="161"/>
      <c r="BK273" s="288"/>
      <c r="BL273" s="164"/>
      <c r="BM273" s="173"/>
      <c r="BN273" s="252"/>
      <c r="BO273" s="259"/>
      <c r="BP273" s="252"/>
      <c r="BQ273" s="252"/>
      <c r="BR273" s="252"/>
      <c r="BS273" s="259"/>
      <c r="BT273" s="252"/>
      <c r="BU273" s="252"/>
      <c r="BV273" s="252"/>
      <c r="BW273" s="259"/>
      <c r="BX273" s="252"/>
      <c r="BY273" s="252"/>
      <c r="BZ273" s="252"/>
      <c r="CA273" s="259"/>
      <c r="CB273" s="252"/>
      <c r="CC273" s="252"/>
      <c r="CD273" s="252"/>
      <c r="CE273" s="259"/>
      <c r="CF273" s="252"/>
      <c r="CG273" s="252"/>
      <c r="CH273" s="252"/>
      <c r="CI273" s="259"/>
      <c r="CJ273" s="252"/>
      <c r="CK273" s="252"/>
      <c r="CL273" s="252"/>
      <c r="CM273" s="259"/>
      <c r="CN273" s="252"/>
      <c r="CO273" s="252"/>
      <c r="CP273" s="252"/>
      <c r="CQ273" s="259"/>
      <c r="CR273" s="252"/>
      <c r="CS273" s="252"/>
      <c r="CT273" s="255"/>
      <c r="CU273" s="173"/>
      <c r="CV273" s="173"/>
      <c r="CW273" s="173"/>
      <c r="CX273" s="173"/>
      <c r="CY273" s="173"/>
      <c r="CZ273" s="173"/>
      <c r="DA273" s="173"/>
      <c r="DB273" s="173"/>
      <c r="DC273" s="173"/>
      <c r="DD273" s="173"/>
      <c r="DE273" s="173"/>
      <c r="DF273" s="173"/>
    </row>
    <row r="274" spans="1:110" s="174" customFormat="1" x14ac:dyDescent="0.2">
      <c r="A274" s="190"/>
      <c r="B274" s="172"/>
      <c r="D274" s="169"/>
      <c r="E274" s="169"/>
      <c r="F274" s="169"/>
      <c r="G274" s="244"/>
      <c r="H274" s="169"/>
      <c r="I274" s="295"/>
      <c r="J274" s="295"/>
      <c r="K274" s="169"/>
      <c r="L274" s="169"/>
      <c r="M274" s="169"/>
      <c r="N274" s="169"/>
      <c r="O274" s="169"/>
      <c r="P274" s="169"/>
      <c r="Q274" s="185"/>
      <c r="R274" s="190"/>
      <c r="AS274" s="161"/>
      <c r="BF274" s="162"/>
      <c r="BG274" s="162"/>
      <c r="BH274" s="163"/>
      <c r="BI274" s="163"/>
      <c r="BJ274" s="161"/>
      <c r="BK274" s="288"/>
      <c r="BL274" s="164"/>
      <c r="BM274" s="173"/>
      <c r="BN274" s="252"/>
      <c r="BO274" s="259"/>
      <c r="BP274" s="252"/>
      <c r="BQ274" s="252"/>
      <c r="BR274" s="252"/>
      <c r="BS274" s="259"/>
      <c r="BT274" s="252"/>
      <c r="BU274" s="252"/>
      <c r="BV274" s="252"/>
      <c r="BW274" s="259"/>
      <c r="BX274" s="252"/>
      <c r="BY274" s="252"/>
      <c r="BZ274" s="252"/>
      <c r="CA274" s="259"/>
      <c r="CB274" s="252"/>
      <c r="CC274" s="252"/>
      <c r="CD274" s="252"/>
      <c r="CE274" s="259"/>
      <c r="CF274" s="252"/>
      <c r="CG274" s="252"/>
      <c r="CH274" s="252"/>
      <c r="CI274" s="259"/>
      <c r="CJ274" s="252"/>
      <c r="CK274" s="252"/>
      <c r="CL274" s="252"/>
      <c r="CM274" s="259"/>
      <c r="CN274" s="252"/>
      <c r="CO274" s="252"/>
      <c r="CP274" s="252"/>
      <c r="CQ274" s="259"/>
      <c r="CR274" s="252"/>
      <c r="CS274" s="252"/>
      <c r="CT274" s="255"/>
      <c r="CU274" s="173"/>
      <c r="CV274" s="173"/>
      <c r="CW274" s="173"/>
      <c r="CX274" s="173"/>
      <c r="CY274" s="173"/>
      <c r="CZ274" s="173"/>
      <c r="DA274" s="173"/>
      <c r="DB274" s="173"/>
      <c r="DC274" s="173"/>
      <c r="DD274" s="173"/>
      <c r="DE274" s="173"/>
      <c r="DF274" s="173"/>
    </row>
    <row r="275" spans="1:110" s="174" customFormat="1" x14ac:dyDescent="0.2">
      <c r="A275" s="190"/>
      <c r="B275" s="172"/>
      <c r="D275" s="169"/>
      <c r="E275" s="169"/>
      <c r="F275" s="169"/>
      <c r="G275" s="244"/>
      <c r="H275" s="169"/>
      <c r="I275" s="295"/>
      <c r="J275" s="295"/>
      <c r="K275" s="169"/>
      <c r="L275" s="169"/>
      <c r="M275" s="169"/>
      <c r="N275" s="169"/>
      <c r="O275" s="169"/>
      <c r="P275" s="169"/>
      <c r="Q275" s="185"/>
      <c r="R275" s="190"/>
      <c r="AS275" s="161"/>
      <c r="BF275" s="162"/>
      <c r="BG275" s="162"/>
      <c r="BH275" s="163"/>
      <c r="BI275" s="163"/>
      <c r="BJ275" s="161"/>
      <c r="BK275" s="288"/>
      <c r="BL275" s="164"/>
      <c r="BM275" s="173"/>
      <c r="BN275" s="252"/>
      <c r="BO275" s="259"/>
      <c r="BP275" s="252"/>
      <c r="BQ275" s="252"/>
      <c r="BR275" s="252"/>
      <c r="BS275" s="259"/>
      <c r="BT275" s="252"/>
      <c r="BU275" s="252"/>
      <c r="BV275" s="252"/>
      <c r="BW275" s="259"/>
      <c r="BX275" s="252"/>
      <c r="BY275" s="252"/>
      <c r="BZ275" s="252"/>
      <c r="CA275" s="259"/>
      <c r="CB275" s="252"/>
      <c r="CC275" s="252"/>
      <c r="CD275" s="252"/>
      <c r="CE275" s="259"/>
      <c r="CF275" s="252"/>
      <c r="CG275" s="252"/>
      <c r="CH275" s="252"/>
      <c r="CI275" s="259"/>
      <c r="CJ275" s="252"/>
      <c r="CK275" s="252"/>
      <c r="CL275" s="252"/>
      <c r="CM275" s="259"/>
      <c r="CN275" s="252"/>
      <c r="CO275" s="252"/>
      <c r="CP275" s="252"/>
      <c r="CQ275" s="259"/>
      <c r="CR275" s="252"/>
      <c r="CS275" s="252"/>
      <c r="CT275" s="255"/>
      <c r="CU275" s="173"/>
      <c r="CV275" s="173"/>
      <c r="CW275" s="173"/>
      <c r="CX275" s="173"/>
      <c r="CY275" s="173"/>
      <c r="CZ275" s="173"/>
      <c r="DA275" s="173"/>
      <c r="DB275" s="173"/>
      <c r="DC275" s="173"/>
      <c r="DD275" s="173"/>
      <c r="DE275" s="173"/>
      <c r="DF275" s="173"/>
    </row>
    <row r="276" spans="1:110" s="174" customFormat="1" x14ac:dyDescent="0.2">
      <c r="A276" s="190"/>
      <c r="B276" s="172"/>
      <c r="D276" s="169"/>
      <c r="E276" s="169"/>
      <c r="F276" s="169"/>
      <c r="G276" s="244"/>
      <c r="H276" s="169"/>
      <c r="I276" s="295"/>
      <c r="J276" s="295"/>
      <c r="K276" s="169"/>
      <c r="L276" s="169"/>
      <c r="M276" s="169"/>
      <c r="N276" s="169"/>
      <c r="O276" s="169"/>
      <c r="P276" s="169"/>
      <c r="Q276" s="185"/>
      <c r="R276" s="190"/>
      <c r="AS276" s="161"/>
      <c r="BF276" s="162"/>
      <c r="BG276" s="162"/>
      <c r="BH276" s="163"/>
      <c r="BI276" s="163"/>
      <c r="BJ276" s="161"/>
      <c r="BK276" s="288"/>
      <c r="BL276" s="164"/>
      <c r="BM276" s="173"/>
      <c r="BN276" s="252"/>
      <c r="BO276" s="259"/>
      <c r="BP276" s="252"/>
      <c r="BQ276" s="252"/>
      <c r="BR276" s="252"/>
      <c r="BS276" s="259"/>
      <c r="BT276" s="252"/>
      <c r="BU276" s="252"/>
      <c r="BV276" s="252"/>
      <c r="BW276" s="259"/>
      <c r="BX276" s="252"/>
      <c r="BY276" s="252"/>
      <c r="BZ276" s="252"/>
      <c r="CA276" s="259"/>
      <c r="CB276" s="252"/>
      <c r="CC276" s="252"/>
      <c r="CD276" s="252"/>
      <c r="CE276" s="259"/>
      <c r="CF276" s="252"/>
      <c r="CG276" s="252"/>
      <c r="CH276" s="252"/>
      <c r="CI276" s="259"/>
      <c r="CJ276" s="252"/>
      <c r="CK276" s="252"/>
      <c r="CL276" s="252"/>
      <c r="CM276" s="259"/>
      <c r="CN276" s="252"/>
      <c r="CO276" s="252"/>
      <c r="CP276" s="252"/>
      <c r="CQ276" s="259"/>
      <c r="CR276" s="252"/>
      <c r="CS276" s="252"/>
      <c r="CT276" s="255"/>
      <c r="CU276" s="173"/>
      <c r="CV276" s="173"/>
      <c r="CW276" s="173"/>
      <c r="CX276" s="173"/>
      <c r="CY276" s="173"/>
      <c r="CZ276" s="173"/>
      <c r="DA276" s="173"/>
      <c r="DB276" s="173"/>
      <c r="DC276" s="173"/>
      <c r="DD276" s="173"/>
      <c r="DE276" s="173"/>
      <c r="DF276" s="173"/>
    </row>
    <row r="277" spans="1:110" s="174" customFormat="1" x14ac:dyDescent="0.2">
      <c r="A277" s="190"/>
      <c r="B277" s="172"/>
      <c r="D277" s="169"/>
      <c r="E277" s="169"/>
      <c r="F277" s="169"/>
      <c r="G277" s="244"/>
      <c r="H277" s="169"/>
      <c r="I277" s="295"/>
      <c r="J277" s="295"/>
      <c r="K277" s="169"/>
      <c r="L277" s="169"/>
      <c r="M277" s="169"/>
      <c r="N277" s="169"/>
      <c r="O277" s="169"/>
      <c r="P277" s="169"/>
      <c r="Q277" s="185"/>
      <c r="R277" s="190"/>
      <c r="AS277" s="161"/>
      <c r="BF277" s="162"/>
      <c r="BG277" s="162"/>
      <c r="BH277" s="163"/>
      <c r="BI277" s="163"/>
      <c r="BJ277" s="161"/>
      <c r="BK277" s="288"/>
      <c r="BL277" s="164"/>
      <c r="BM277" s="173"/>
      <c r="BN277" s="252"/>
      <c r="BO277" s="259"/>
      <c r="BP277" s="252"/>
      <c r="BQ277" s="252"/>
      <c r="BR277" s="252"/>
      <c r="BS277" s="259"/>
      <c r="BT277" s="252"/>
      <c r="BU277" s="252"/>
      <c r="BV277" s="252"/>
      <c r="BW277" s="259"/>
      <c r="BX277" s="252"/>
      <c r="BY277" s="252"/>
      <c r="BZ277" s="252"/>
      <c r="CA277" s="259"/>
      <c r="CB277" s="252"/>
      <c r="CC277" s="252"/>
      <c r="CD277" s="252"/>
      <c r="CE277" s="259"/>
      <c r="CF277" s="252"/>
      <c r="CG277" s="252"/>
      <c r="CH277" s="252"/>
      <c r="CI277" s="259"/>
      <c r="CJ277" s="252"/>
      <c r="CK277" s="252"/>
      <c r="CL277" s="252"/>
      <c r="CM277" s="259"/>
      <c r="CN277" s="252"/>
      <c r="CO277" s="252"/>
      <c r="CP277" s="252"/>
      <c r="CQ277" s="259"/>
      <c r="CR277" s="252"/>
      <c r="CS277" s="252"/>
      <c r="CT277" s="255"/>
      <c r="CU277" s="173"/>
      <c r="CV277" s="173"/>
      <c r="CW277" s="173"/>
      <c r="CX277" s="173"/>
      <c r="CY277" s="173"/>
      <c r="CZ277" s="173"/>
      <c r="DA277" s="173"/>
      <c r="DB277" s="173"/>
      <c r="DC277" s="173"/>
      <c r="DD277" s="173"/>
      <c r="DE277" s="173"/>
      <c r="DF277" s="173"/>
    </row>
    <row r="278" spans="1:110" s="174" customFormat="1" x14ac:dyDescent="0.2">
      <c r="A278" s="190"/>
      <c r="B278" s="172"/>
      <c r="D278" s="169"/>
      <c r="E278" s="169"/>
      <c r="F278" s="169"/>
      <c r="G278" s="244"/>
      <c r="H278" s="169"/>
      <c r="I278" s="295"/>
      <c r="J278" s="295"/>
      <c r="K278" s="169"/>
      <c r="L278" s="169"/>
      <c r="M278" s="169"/>
      <c r="N278" s="169"/>
      <c r="O278" s="169"/>
      <c r="P278" s="169"/>
      <c r="Q278" s="185"/>
      <c r="R278" s="190"/>
      <c r="AS278" s="161"/>
      <c r="BF278" s="162"/>
      <c r="BG278" s="162"/>
      <c r="BH278" s="163"/>
      <c r="BI278" s="163"/>
      <c r="BJ278" s="161"/>
      <c r="BK278" s="288"/>
      <c r="BL278" s="164"/>
      <c r="BM278" s="173"/>
      <c r="BN278" s="252"/>
      <c r="BO278" s="259"/>
      <c r="BP278" s="252"/>
      <c r="BQ278" s="252"/>
      <c r="BR278" s="252"/>
      <c r="BS278" s="259"/>
      <c r="BT278" s="252"/>
      <c r="BU278" s="252"/>
      <c r="BV278" s="252"/>
      <c r="BW278" s="259"/>
      <c r="BX278" s="252"/>
      <c r="BY278" s="252"/>
      <c r="BZ278" s="252"/>
      <c r="CA278" s="259"/>
      <c r="CB278" s="252"/>
      <c r="CC278" s="252"/>
      <c r="CD278" s="252"/>
      <c r="CE278" s="259"/>
      <c r="CF278" s="252"/>
      <c r="CG278" s="252"/>
      <c r="CH278" s="252"/>
      <c r="CI278" s="259"/>
      <c r="CJ278" s="252"/>
      <c r="CK278" s="252"/>
      <c r="CL278" s="252"/>
      <c r="CM278" s="259"/>
      <c r="CN278" s="252"/>
      <c r="CO278" s="252"/>
      <c r="CP278" s="252"/>
      <c r="CQ278" s="259"/>
      <c r="CR278" s="252"/>
      <c r="CS278" s="252"/>
      <c r="CT278" s="255"/>
      <c r="CU278" s="173"/>
      <c r="CV278" s="173"/>
      <c r="CW278" s="173"/>
      <c r="CX278" s="173"/>
      <c r="CY278" s="173"/>
      <c r="CZ278" s="173"/>
      <c r="DA278" s="173"/>
      <c r="DB278" s="173"/>
      <c r="DC278" s="173"/>
      <c r="DD278" s="173"/>
      <c r="DE278" s="173"/>
      <c r="DF278" s="173"/>
    </row>
    <row r="279" spans="1:110" s="174" customFormat="1" x14ac:dyDescent="0.2">
      <c r="A279" s="190"/>
      <c r="B279" s="172"/>
      <c r="D279" s="169"/>
      <c r="E279" s="169"/>
      <c r="F279" s="169"/>
      <c r="G279" s="244"/>
      <c r="H279" s="169"/>
      <c r="I279" s="295"/>
      <c r="J279" s="295"/>
      <c r="K279" s="169"/>
      <c r="L279" s="169"/>
      <c r="M279" s="169"/>
      <c r="N279" s="169"/>
      <c r="O279" s="169"/>
      <c r="P279" s="169"/>
      <c r="Q279" s="185"/>
      <c r="R279" s="190"/>
      <c r="AS279" s="161"/>
      <c r="BF279" s="162"/>
      <c r="BG279" s="162"/>
      <c r="BH279" s="163"/>
      <c r="BI279" s="163"/>
      <c r="BJ279" s="161"/>
      <c r="BK279" s="288"/>
      <c r="BL279" s="164"/>
      <c r="BM279" s="173"/>
      <c r="BN279" s="252"/>
      <c r="BO279" s="259"/>
      <c r="BP279" s="252"/>
      <c r="BQ279" s="252"/>
      <c r="BR279" s="252"/>
      <c r="BS279" s="259"/>
      <c r="BT279" s="252"/>
      <c r="BU279" s="252"/>
      <c r="BV279" s="252"/>
      <c r="BW279" s="259"/>
      <c r="BX279" s="252"/>
      <c r="BY279" s="252"/>
      <c r="BZ279" s="252"/>
      <c r="CA279" s="259"/>
      <c r="CB279" s="252"/>
      <c r="CC279" s="252"/>
      <c r="CD279" s="252"/>
      <c r="CE279" s="259"/>
      <c r="CF279" s="252"/>
      <c r="CG279" s="252"/>
      <c r="CH279" s="252"/>
      <c r="CI279" s="259"/>
      <c r="CJ279" s="252"/>
      <c r="CK279" s="252"/>
      <c r="CL279" s="252"/>
      <c r="CM279" s="259"/>
      <c r="CN279" s="252"/>
      <c r="CO279" s="252"/>
      <c r="CP279" s="252"/>
      <c r="CQ279" s="259"/>
      <c r="CR279" s="252"/>
      <c r="CS279" s="252"/>
      <c r="CT279" s="255"/>
      <c r="CU279" s="173"/>
      <c r="CV279" s="173"/>
      <c r="CW279" s="173"/>
      <c r="CX279" s="173"/>
      <c r="CY279" s="173"/>
      <c r="CZ279" s="173"/>
      <c r="DA279" s="173"/>
      <c r="DB279" s="173"/>
      <c r="DC279" s="173"/>
      <c r="DD279" s="173"/>
      <c r="DE279" s="173"/>
      <c r="DF279" s="173"/>
    </row>
    <row r="280" spans="1:110" s="174" customFormat="1" x14ac:dyDescent="0.2">
      <c r="A280" s="190"/>
      <c r="B280" s="172"/>
      <c r="D280" s="169"/>
      <c r="E280" s="169"/>
      <c r="F280" s="169"/>
      <c r="G280" s="244"/>
      <c r="H280" s="169"/>
      <c r="I280" s="295"/>
      <c r="J280" s="295"/>
      <c r="K280" s="169"/>
      <c r="L280" s="169"/>
      <c r="M280" s="169"/>
      <c r="N280" s="169"/>
      <c r="O280" s="169"/>
      <c r="P280" s="169"/>
      <c r="Q280" s="185"/>
      <c r="R280" s="190"/>
      <c r="AS280" s="161"/>
      <c r="BF280" s="162"/>
      <c r="BG280" s="162"/>
      <c r="BH280" s="163"/>
      <c r="BI280" s="163"/>
      <c r="BJ280" s="161"/>
      <c r="BK280" s="288"/>
      <c r="BL280" s="164"/>
      <c r="BM280" s="173"/>
      <c r="BN280" s="252"/>
      <c r="BO280" s="259"/>
      <c r="BP280" s="252"/>
      <c r="BQ280" s="252"/>
      <c r="BR280" s="252"/>
      <c r="BS280" s="259"/>
      <c r="BT280" s="252"/>
      <c r="BU280" s="252"/>
      <c r="BV280" s="252"/>
      <c r="BW280" s="259"/>
      <c r="BX280" s="252"/>
      <c r="BY280" s="252"/>
      <c r="BZ280" s="252"/>
      <c r="CA280" s="259"/>
      <c r="CB280" s="252"/>
      <c r="CC280" s="252"/>
      <c r="CD280" s="252"/>
      <c r="CE280" s="259"/>
      <c r="CF280" s="252"/>
      <c r="CG280" s="252"/>
      <c r="CH280" s="252"/>
      <c r="CI280" s="259"/>
      <c r="CJ280" s="252"/>
      <c r="CK280" s="252"/>
      <c r="CL280" s="252"/>
      <c r="CM280" s="259"/>
      <c r="CN280" s="252"/>
      <c r="CO280" s="252"/>
      <c r="CP280" s="252"/>
      <c r="CQ280" s="259"/>
      <c r="CR280" s="252"/>
      <c r="CS280" s="252"/>
      <c r="CT280" s="255"/>
      <c r="CU280" s="173"/>
      <c r="CV280" s="173"/>
      <c r="CW280" s="173"/>
      <c r="CX280" s="173"/>
      <c r="CY280" s="173"/>
      <c r="CZ280" s="173"/>
      <c r="DA280" s="173"/>
      <c r="DB280" s="173"/>
      <c r="DC280" s="173"/>
      <c r="DD280" s="173"/>
      <c r="DE280" s="173"/>
      <c r="DF280" s="173"/>
    </row>
    <row r="281" spans="1:110" s="174" customFormat="1" x14ac:dyDescent="0.2">
      <c r="A281" s="190"/>
      <c r="B281" s="172"/>
      <c r="D281" s="169"/>
      <c r="E281" s="169"/>
      <c r="F281" s="169"/>
      <c r="G281" s="244"/>
      <c r="H281" s="169"/>
      <c r="I281" s="295"/>
      <c r="J281" s="295"/>
      <c r="K281" s="169"/>
      <c r="L281" s="169"/>
      <c r="M281" s="169"/>
      <c r="N281" s="169"/>
      <c r="O281" s="169"/>
      <c r="P281" s="169"/>
      <c r="Q281" s="185"/>
      <c r="R281" s="190"/>
      <c r="AS281" s="161"/>
      <c r="BF281" s="162"/>
      <c r="BG281" s="162"/>
      <c r="BH281" s="163"/>
      <c r="BI281" s="163"/>
      <c r="BJ281" s="161"/>
      <c r="BK281" s="288"/>
      <c r="BL281" s="164"/>
      <c r="BM281" s="173"/>
      <c r="BN281" s="252"/>
      <c r="BO281" s="259"/>
      <c r="BP281" s="252"/>
      <c r="BQ281" s="252"/>
      <c r="BR281" s="252"/>
      <c r="BS281" s="259"/>
      <c r="BT281" s="252"/>
      <c r="BU281" s="252"/>
      <c r="BV281" s="252"/>
      <c r="BW281" s="259"/>
      <c r="BX281" s="252"/>
      <c r="BY281" s="252"/>
      <c r="BZ281" s="252"/>
      <c r="CA281" s="259"/>
      <c r="CB281" s="252"/>
      <c r="CC281" s="252"/>
      <c r="CD281" s="252"/>
      <c r="CE281" s="259"/>
      <c r="CF281" s="252"/>
      <c r="CG281" s="252"/>
      <c r="CH281" s="252"/>
      <c r="CI281" s="259"/>
      <c r="CJ281" s="252"/>
      <c r="CK281" s="252"/>
      <c r="CL281" s="252"/>
      <c r="CM281" s="259"/>
      <c r="CN281" s="252"/>
      <c r="CO281" s="252"/>
      <c r="CP281" s="252"/>
      <c r="CQ281" s="259"/>
      <c r="CR281" s="252"/>
      <c r="CS281" s="252"/>
      <c r="CT281" s="255"/>
      <c r="CU281" s="173"/>
      <c r="CV281" s="173"/>
      <c r="CW281" s="173"/>
      <c r="CX281" s="173"/>
      <c r="CY281" s="173"/>
      <c r="CZ281" s="173"/>
      <c r="DA281" s="173"/>
      <c r="DB281" s="173"/>
      <c r="DC281" s="173"/>
      <c r="DD281" s="173"/>
      <c r="DE281" s="173"/>
      <c r="DF281" s="173"/>
    </row>
    <row r="282" spans="1:110" s="174" customFormat="1" x14ac:dyDescent="0.2">
      <c r="A282" s="190"/>
      <c r="B282" s="172"/>
      <c r="D282" s="169"/>
      <c r="E282" s="169"/>
      <c r="F282" s="169"/>
      <c r="G282" s="244"/>
      <c r="H282" s="169"/>
      <c r="I282" s="295"/>
      <c r="J282" s="295"/>
      <c r="K282" s="169"/>
      <c r="L282" s="169"/>
      <c r="M282" s="169"/>
      <c r="N282" s="169"/>
      <c r="O282" s="169"/>
      <c r="P282" s="169"/>
      <c r="Q282" s="185"/>
      <c r="R282" s="190"/>
      <c r="AS282" s="161"/>
      <c r="BF282" s="162"/>
      <c r="BG282" s="162"/>
      <c r="BH282" s="163"/>
      <c r="BI282" s="163"/>
      <c r="BJ282" s="161"/>
      <c r="BK282" s="288"/>
      <c r="BL282" s="164"/>
      <c r="BM282" s="173"/>
      <c r="BN282" s="252"/>
      <c r="BO282" s="259"/>
      <c r="BP282" s="252"/>
      <c r="BQ282" s="252"/>
      <c r="BR282" s="252"/>
      <c r="BS282" s="259"/>
      <c r="BT282" s="252"/>
      <c r="BU282" s="252"/>
      <c r="BV282" s="252"/>
      <c r="BW282" s="259"/>
      <c r="BX282" s="252"/>
      <c r="BY282" s="252"/>
      <c r="BZ282" s="252"/>
      <c r="CA282" s="259"/>
      <c r="CB282" s="252"/>
      <c r="CC282" s="252"/>
      <c r="CD282" s="252"/>
      <c r="CE282" s="259"/>
      <c r="CF282" s="252"/>
      <c r="CG282" s="252"/>
      <c r="CH282" s="252"/>
      <c r="CI282" s="259"/>
      <c r="CJ282" s="252"/>
      <c r="CK282" s="252"/>
      <c r="CL282" s="252"/>
      <c r="CM282" s="259"/>
      <c r="CN282" s="252"/>
      <c r="CO282" s="252"/>
      <c r="CP282" s="252"/>
      <c r="CQ282" s="259"/>
      <c r="CR282" s="252"/>
      <c r="CS282" s="252"/>
      <c r="CT282" s="255"/>
      <c r="CU282" s="173"/>
      <c r="CV282" s="173"/>
      <c r="CW282" s="173"/>
      <c r="CX282" s="173"/>
      <c r="CY282" s="173"/>
      <c r="CZ282" s="173"/>
      <c r="DA282" s="173"/>
      <c r="DB282" s="173"/>
      <c r="DC282" s="173"/>
      <c r="DD282" s="173"/>
      <c r="DE282" s="173"/>
      <c r="DF282" s="173"/>
    </row>
    <row r="283" spans="1:110" s="174" customFormat="1" x14ac:dyDescent="0.2">
      <c r="A283" s="190"/>
      <c r="B283" s="172"/>
      <c r="D283" s="169"/>
      <c r="E283" s="169"/>
      <c r="F283" s="169"/>
      <c r="G283" s="244"/>
      <c r="H283" s="169"/>
      <c r="I283" s="295"/>
      <c r="J283" s="295"/>
      <c r="K283" s="169"/>
      <c r="L283" s="169"/>
      <c r="M283" s="169"/>
      <c r="N283" s="169"/>
      <c r="O283" s="169"/>
      <c r="P283" s="169"/>
      <c r="Q283" s="185"/>
      <c r="R283" s="190"/>
      <c r="AS283" s="161"/>
      <c r="BF283" s="162"/>
      <c r="BG283" s="162"/>
      <c r="BH283" s="163"/>
      <c r="BI283" s="163"/>
      <c r="BJ283" s="161"/>
      <c r="BK283" s="288"/>
      <c r="BL283" s="164"/>
      <c r="BM283" s="173"/>
      <c r="BN283" s="252"/>
      <c r="BO283" s="259"/>
      <c r="BP283" s="252"/>
      <c r="BQ283" s="252"/>
      <c r="BR283" s="252"/>
      <c r="BS283" s="259"/>
      <c r="BT283" s="252"/>
      <c r="BU283" s="252"/>
      <c r="BV283" s="252"/>
      <c r="BW283" s="259"/>
      <c r="BX283" s="252"/>
      <c r="BY283" s="252"/>
      <c r="BZ283" s="252"/>
      <c r="CA283" s="259"/>
      <c r="CB283" s="252"/>
      <c r="CC283" s="252"/>
      <c r="CD283" s="252"/>
      <c r="CE283" s="259"/>
      <c r="CF283" s="252"/>
      <c r="CG283" s="252"/>
      <c r="CH283" s="252"/>
      <c r="CI283" s="259"/>
      <c r="CJ283" s="252"/>
      <c r="CK283" s="252"/>
      <c r="CL283" s="252"/>
      <c r="CM283" s="259"/>
      <c r="CN283" s="252"/>
      <c r="CO283" s="252"/>
      <c r="CP283" s="252"/>
      <c r="CQ283" s="259"/>
      <c r="CR283" s="252"/>
      <c r="CS283" s="252"/>
      <c r="CT283" s="255"/>
      <c r="CU283" s="173"/>
      <c r="CV283" s="173"/>
      <c r="CW283" s="173"/>
      <c r="CX283" s="173"/>
      <c r="CY283" s="173"/>
      <c r="CZ283" s="173"/>
      <c r="DA283" s="173"/>
      <c r="DB283" s="173"/>
      <c r="DC283" s="173"/>
      <c r="DD283" s="173"/>
      <c r="DE283" s="173"/>
      <c r="DF283" s="173"/>
    </row>
    <row r="284" spans="1:110" s="174" customFormat="1" x14ac:dyDescent="0.2">
      <c r="A284" s="190"/>
      <c r="B284" s="172"/>
      <c r="D284" s="169"/>
      <c r="E284" s="169"/>
      <c r="F284" s="169"/>
      <c r="G284" s="244"/>
      <c r="H284" s="169"/>
      <c r="I284" s="295"/>
      <c r="J284" s="295"/>
      <c r="K284" s="169"/>
      <c r="L284" s="169"/>
      <c r="M284" s="169"/>
      <c r="N284" s="169"/>
      <c r="O284" s="169"/>
      <c r="P284" s="169"/>
      <c r="Q284" s="185"/>
      <c r="R284" s="190"/>
      <c r="AS284" s="161"/>
      <c r="BF284" s="162"/>
      <c r="BG284" s="162"/>
      <c r="BH284" s="163"/>
      <c r="BI284" s="163"/>
      <c r="BJ284" s="161"/>
      <c r="BK284" s="288"/>
      <c r="BL284" s="164"/>
      <c r="BM284" s="173"/>
      <c r="BN284" s="252"/>
      <c r="BO284" s="259"/>
      <c r="BP284" s="252"/>
      <c r="BQ284" s="252"/>
      <c r="BR284" s="252"/>
      <c r="BS284" s="259"/>
      <c r="BT284" s="252"/>
      <c r="BU284" s="252"/>
      <c r="BV284" s="252"/>
      <c r="BW284" s="259"/>
      <c r="BX284" s="252"/>
      <c r="BY284" s="252"/>
      <c r="BZ284" s="252"/>
      <c r="CA284" s="259"/>
      <c r="CB284" s="252"/>
      <c r="CC284" s="252"/>
      <c r="CD284" s="252"/>
      <c r="CE284" s="259"/>
      <c r="CF284" s="252"/>
      <c r="CG284" s="252"/>
      <c r="CH284" s="252"/>
      <c r="CI284" s="259"/>
      <c r="CJ284" s="252"/>
      <c r="CK284" s="252"/>
      <c r="CL284" s="252"/>
      <c r="CM284" s="259"/>
      <c r="CN284" s="252"/>
      <c r="CO284" s="252"/>
      <c r="CP284" s="252"/>
      <c r="CQ284" s="259"/>
      <c r="CR284" s="252"/>
      <c r="CS284" s="252"/>
      <c r="CT284" s="255"/>
      <c r="CU284" s="173"/>
      <c r="CV284" s="173"/>
      <c r="CW284" s="173"/>
      <c r="CX284" s="173"/>
      <c r="CY284" s="173"/>
      <c r="CZ284" s="173"/>
      <c r="DA284" s="173"/>
      <c r="DB284" s="173"/>
      <c r="DC284" s="173"/>
      <c r="DD284" s="173"/>
      <c r="DE284" s="173"/>
      <c r="DF284" s="173"/>
    </row>
    <row r="285" spans="1:110" s="174" customFormat="1" x14ac:dyDescent="0.2">
      <c r="A285" s="190"/>
      <c r="B285" s="172"/>
      <c r="D285" s="169"/>
      <c r="E285" s="169"/>
      <c r="F285" s="169"/>
      <c r="G285" s="244"/>
      <c r="H285" s="169"/>
      <c r="I285" s="295"/>
      <c r="J285" s="295"/>
      <c r="K285" s="169"/>
      <c r="L285" s="169"/>
      <c r="M285" s="169"/>
      <c r="N285" s="169"/>
      <c r="O285" s="169"/>
      <c r="P285" s="169"/>
      <c r="Q285" s="185"/>
      <c r="R285" s="190"/>
      <c r="AS285" s="161"/>
      <c r="BF285" s="162"/>
      <c r="BG285" s="162"/>
      <c r="BH285" s="163"/>
      <c r="BI285" s="163"/>
      <c r="BJ285" s="161"/>
      <c r="BK285" s="288"/>
      <c r="BL285" s="164"/>
      <c r="BM285" s="173"/>
      <c r="BN285" s="252"/>
      <c r="BO285" s="259"/>
      <c r="BP285" s="252"/>
      <c r="BQ285" s="252"/>
      <c r="BR285" s="252"/>
      <c r="BS285" s="259"/>
      <c r="BT285" s="252"/>
      <c r="BU285" s="252"/>
      <c r="BV285" s="252"/>
      <c r="BW285" s="259"/>
      <c r="BX285" s="252"/>
      <c r="BY285" s="252"/>
      <c r="BZ285" s="252"/>
      <c r="CA285" s="259"/>
      <c r="CB285" s="252"/>
      <c r="CC285" s="252"/>
      <c r="CD285" s="252"/>
      <c r="CE285" s="259"/>
      <c r="CF285" s="252"/>
      <c r="CG285" s="252"/>
      <c r="CH285" s="252"/>
      <c r="CI285" s="259"/>
      <c r="CJ285" s="252"/>
      <c r="CK285" s="252"/>
      <c r="CL285" s="252"/>
      <c r="CM285" s="259"/>
      <c r="CN285" s="252"/>
      <c r="CO285" s="252"/>
      <c r="CP285" s="252"/>
      <c r="CQ285" s="259"/>
      <c r="CR285" s="252"/>
      <c r="CS285" s="252"/>
      <c r="CT285" s="255"/>
      <c r="CU285" s="173"/>
      <c r="CV285" s="173"/>
      <c r="CW285" s="173"/>
      <c r="CX285" s="173"/>
      <c r="CY285" s="173"/>
      <c r="CZ285" s="173"/>
      <c r="DA285" s="173"/>
      <c r="DB285" s="173"/>
      <c r="DC285" s="173"/>
      <c r="DD285" s="173"/>
      <c r="DE285" s="173"/>
      <c r="DF285" s="173"/>
    </row>
    <row r="286" spans="1:110" s="174" customFormat="1" x14ac:dyDescent="0.2">
      <c r="A286" s="190"/>
      <c r="B286" s="172"/>
      <c r="D286" s="169"/>
      <c r="E286" s="169"/>
      <c r="F286" s="169"/>
      <c r="G286" s="244"/>
      <c r="H286" s="169"/>
      <c r="I286" s="295"/>
      <c r="J286" s="295"/>
      <c r="K286" s="169"/>
      <c r="L286" s="169"/>
      <c r="M286" s="169"/>
      <c r="N286" s="169"/>
      <c r="O286" s="169"/>
      <c r="P286" s="169"/>
      <c r="Q286" s="185"/>
      <c r="R286" s="190"/>
      <c r="AS286" s="161"/>
      <c r="BF286" s="162"/>
      <c r="BG286" s="162"/>
      <c r="BH286" s="163"/>
      <c r="BI286" s="163"/>
      <c r="BJ286" s="161"/>
      <c r="BK286" s="288"/>
      <c r="BL286" s="164"/>
      <c r="BM286" s="173"/>
      <c r="BN286" s="252"/>
      <c r="BO286" s="259"/>
      <c r="BP286" s="252"/>
      <c r="BQ286" s="252"/>
      <c r="BR286" s="252"/>
      <c r="BS286" s="259"/>
      <c r="BT286" s="252"/>
      <c r="BU286" s="252"/>
      <c r="BV286" s="252"/>
      <c r="BW286" s="259"/>
      <c r="BX286" s="252"/>
      <c r="BY286" s="252"/>
      <c r="BZ286" s="252"/>
      <c r="CA286" s="259"/>
      <c r="CB286" s="252"/>
      <c r="CC286" s="252"/>
      <c r="CD286" s="252"/>
      <c r="CE286" s="259"/>
      <c r="CF286" s="252"/>
      <c r="CG286" s="252"/>
      <c r="CH286" s="252"/>
      <c r="CI286" s="259"/>
      <c r="CJ286" s="252"/>
      <c r="CK286" s="252"/>
      <c r="CL286" s="252"/>
      <c r="CM286" s="259"/>
      <c r="CN286" s="252"/>
      <c r="CO286" s="252"/>
      <c r="CP286" s="252"/>
      <c r="CQ286" s="259"/>
      <c r="CR286" s="252"/>
      <c r="CS286" s="252"/>
      <c r="CT286" s="255"/>
      <c r="CU286" s="173"/>
      <c r="CV286" s="173"/>
      <c r="CW286" s="173"/>
      <c r="CX286" s="173"/>
      <c r="CY286" s="173"/>
      <c r="CZ286" s="173"/>
      <c r="DA286" s="173"/>
      <c r="DB286" s="173"/>
      <c r="DC286" s="173"/>
      <c r="DD286" s="173"/>
      <c r="DE286" s="173"/>
      <c r="DF286" s="173"/>
    </row>
    <row r="287" spans="1:110" s="174" customFormat="1" x14ac:dyDescent="0.2">
      <c r="A287" s="190"/>
      <c r="B287" s="172"/>
      <c r="D287" s="169"/>
      <c r="E287" s="169"/>
      <c r="F287" s="169"/>
      <c r="G287" s="244"/>
      <c r="H287" s="169"/>
      <c r="I287" s="295"/>
      <c r="J287" s="295"/>
      <c r="K287" s="169"/>
      <c r="L287" s="169"/>
      <c r="M287" s="169"/>
      <c r="N287" s="169"/>
      <c r="O287" s="169"/>
      <c r="P287" s="169"/>
      <c r="Q287" s="185"/>
      <c r="R287" s="190"/>
      <c r="AS287" s="161"/>
      <c r="BF287" s="162"/>
      <c r="BG287" s="162"/>
      <c r="BH287" s="163"/>
      <c r="BI287" s="163"/>
      <c r="BJ287" s="161"/>
      <c r="BK287" s="288"/>
      <c r="BL287" s="164"/>
      <c r="BM287" s="173"/>
      <c r="BN287" s="252"/>
      <c r="BO287" s="259"/>
      <c r="BP287" s="252"/>
      <c r="BQ287" s="252"/>
      <c r="BR287" s="252"/>
      <c r="BS287" s="259"/>
      <c r="BT287" s="252"/>
      <c r="BU287" s="252"/>
      <c r="BV287" s="252"/>
      <c r="BW287" s="259"/>
      <c r="BX287" s="252"/>
      <c r="BY287" s="252"/>
      <c r="BZ287" s="252"/>
      <c r="CA287" s="259"/>
      <c r="CB287" s="252"/>
      <c r="CC287" s="252"/>
      <c r="CD287" s="252"/>
      <c r="CE287" s="259"/>
      <c r="CF287" s="252"/>
      <c r="CG287" s="252"/>
      <c r="CH287" s="252"/>
      <c r="CI287" s="259"/>
      <c r="CJ287" s="252"/>
      <c r="CK287" s="252"/>
      <c r="CL287" s="252"/>
      <c r="CM287" s="259"/>
      <c r="CN287" s="252"/>
      <c r="CO287" s="252"/>
      <c r="CP287" s="252"/>
      <c r="CQ287" s="259"/>
      <c r="CR287" s="252"/>
      <c r="CS287" s="252"/>
      <c r="CT287" s="255"/>
      <c r="CU287" s="173"/>
      <c r="CV287" s="173"/>
      <c r="CW287" s="173"/>
      <c r="CX287" s="173"/>
      <c r="CY287" s="173"/>
      <c r="CZ287" s="173"/>
      <c r="DA287" s="173"/>
      <c r="DB287" s="173"/>
      <c r="DC287" s="173"/>
      <c r="DD287" s="173"/>
      <c r="DE287" s="173"/>
      <c r="DF287" s="173"/>
    </row>
    <row r="288" spans="1:110" s="174" customFormat="1" x14ac:dyDescent="0.2">
      <c r="A288" s="190"/>
      <c r="B288" s="172"/>
      <c r="D288" s="169"/>
      <c r="E288" s="169"/>
      <c r="F288" s="169"/>
      <c r="G288" s="244"/>
      <c r="H288" s="169"/>
      <c r="I288" s="295"/>
      <c r="J288" s="295"/>
      <c r="K288" s="169"/>
      <c r="L288" s="169"/>
      <c r="M288" s="169"/>
      <c r="N288" s="169"/>
      <c r="O288" s="169"/>
      <c r="P288" s="169"/>
      <c r="Q288" s="185"/>
      <c r="R288" s="190"/>
      <c r="AS288" s="161"/>
      <c r="BF288" s="162"/>
      <c r="BG288" s="162"/>
      <c r="BH288" s="163"/>
      <c r="BI288" s="163"/>
      <c r="BJ288" s="161"/>
      <c r="BK288" s="288"/>
      <c r="BL288" s="164"/>
      <c r="BM288" s="173"/>
      <c r="BN288" s="252"/>
      <c r="BO288" s="259"/>
      <c r="BP288" s="252"/>
      <c r="BQ288" s="252"/>
      <c r="BR288" s="252"/>
      <c r="BS288" s="259"/>
      <c r="BT288" s="252"/>
      <c r="BU288" s="252"/>
      <c r="BV288" s="252"/>
      <c r="BW288" s="259"/>
      <c r="BX288" s="252"/>
      <c r="BY288" s="252"/>
      <c r="BZ288" s="252"/>
      <c r="CA288" s="259"/>
      <c r="CB288" s="252"/>
      <c r="CC288" s="252"/>
      <c r="CD288" s="252"/>
      <c r="CE288" s="259"/>
      <c r="CF288" s="252"/>
      <c r="CG288" s="252"/>
      <c r="CH288" s="252"/>
      <c r="CI288" s="259"/>
      <c r="CJ288" s="252"/>
      <c r="CK288" s="252"/>
      <c r="CL288" s="252"/>
      <c r="CM288" s="259"/>
      <c r="CN288" s="252"/>
      <c r="CO288" s="252"/>
      <c r="CP288" s="252"/>
      <c r="CQ288" s="259"/>
      <c r="CR288" s="252"/>
      <c r="CS288" s="252"/>
      <c r="CT288" s="255"/>
      <c r="CU288" s="173"/>
      <c r="CV288" s="173"/>
      <c r="CW288" s="173"/>
      <c r="CX288" s="173"/>
      <c r="CY288" s="173"/>
      <c r="CZ288" s="173"/>
      <c r="DA288" s="173"/>
      <c r="DB288" s="173"/>
      <c r="DC288" s="173"/>
      <c r="DD288" s="173"/>
      <c r="DE288" s="173"/>
      <c r="DF288" s="173"/>
    </row>
    <row r="289" spans="1:110" s="174" customFormat="1" x14ac:dyDescent="0.2">
      <c r="A289" s="190"/>
      <c r="B289" s="172"/>
      <c r="D289" s="169"/>
      <c r="E289" s="169"/>
      <c r="F289" s="169"/>
      <c r="G289" s="244"/>
      <c r="H289" s="169"/>
      <c r="I289" s="295"/>
      <c r="J289" s="295"/>
      <c r="K289" s="169"/>
      <c r="L289" s="169"/>
      <c r="M289" s="169"/>
      <c r="N289" s="169"/>
      <c r="O289" s="169"/>
      <c r="P289" s="169"/>
      <c r="Q289" s="185"/>
      <c r="R289" s="190"/>
      <c r="AS289" s="161"/>
      <c r="BF289" s="162"/>
      <c r="BG289" s="162"/>
      <c r="BH289" s="163"/>
      <c r="BI289" s="163"/>
      <c r="BJ289" s="161"/>
      <c r="BK289" s="288"/>
      <c r="BL289" s="164"/>
      <c r="BM289" s="173"/>
      <c r="BN289" s="252"/>
      <c r="BO289" s="259"/>
      <c r="BP289" s="252"/>
      <c r="BQ289" s="252"/>
      <c r="BR289" s="252"/>
      <c r="BS289" s="259"/>
      <c r="BT289" s="252"/>
      <c r="BU289" s="252"/>
      <c r="BV289" s="252"/>
      <c r="BW289" s="259"/>
      <c r="BX289" s="252"/>
      <c r="BY289" s="252"/>
      <c r="BZ289" s="252"/>
      <c r="CA289" s="259"/>
      <c r="CB289" s="252"/>
      <c r="CC289" s="252"/>
      <c r="CD289" s="252"/>
      <c r="CE289" s="259"/>
      <c r="CF289" s="252"/>
      <c r="CG289" s="252"/>
      <c r="CH289" s="252"/>
      <c r="CI289" s="259"/>
      <c r="CJ289" s="252"/>
      <c r="CK289" s="252"/>
      <c r="CL289" s="252"/>
      <c r="CM289" s="259"/>
      <c r="CN289" s="252"/>
      <c r="CO289" s="252"/>
      <c r="CP289" s="252"/>
      <c r="CQ289" s="259"/>
      <c r="CR289" s="252"/>
      <c r="CS289" s="252"/>
      <c r="CT289" s="255"/>
      <c r="CU289" s="173"/>
      <c r="CV289" s="173"/>
      <c r="CW289" s="173"/>
      <c r="CX289" s="173"/>
      <c r="CY289" s="173"/>
      <c r="CZ289" s="173"/>
      <c r="DA289" s="173"/>
      <c r="DB289" s="173"/>
      <c r="DC289" s="173"/>
      <c r="DD289" s="173"/>
      <c r="DE289" s="173"/>
      <c r="DF289" s="173"/>
    </row>
    <row r="290" spans="1:110" s="174" customFormat="1" x14ac:dyDescent="0.2">
      <c r="A290" s="190"/>
      <c r="B290" s="172"/>
      <c r="D290" s="169"/>
      <c r="E290" s="169"/>
      <c r="F290" s="169"/>
      <c r="G290" s="244"/>
      <c r="H290" s="169"/>
      <c r="I290" s="295"/>
      <c r="J290" s="295"/>
      <c r="K290" s="169"/>
      <c r="L290" s="169"/>
      <c r="M290" s="169"/>
      <c r="N290" s="169"/>
      <c r="O290" s="169"/>
      <c r="P290" s="169"/>
      <c r="Q290" s="185"/>
      <c r="R290" s="190"/>
      <c r="AS290" s="161"/>
      <c r="BF290" s="162"/>
      <c r="BG290" s="162"/>
      <c r="BH290" s="163"/>
      <c r="BI290" s="163"/>
      <c r="BJ290" s="161"/>
      <c r="BK290" s="288"/>
      <c r="BL290" s="164"/>
      <c r="BM290" s="173"/>
      <c r="BN290" s="252"/>
      <c r="BO290" s="259"/>
      <c r="BP290" s="252"/>
      <c r="BQ290" s="252"/>
      <c r="BR290" s="252"/>
      <c r="BS290" s="259"/>
      <c r="BT290" s="252"/>
      <c r="BU290" s="252"/>
      <c r="BV290" s="252"/>
      <c r="BW290" s="259"/>
      <c r="BX290" s="252"/>
      <c r="BY290" s="252"/>
      <c r="BZ290" s="252"/>
      <c r="CA290" s="259"/>
      <c r="CB290" s="252"/>
      <c r="CC290" s="252"/>
      <c r="CD290" s="252"/>
      <c r="CE290" s="259"/>
      <c r="CF290" s="252"/>
      <c r="CG290" s="252"/>
      <c r="CH290" s="252"/>
      <c r="CI290" s="259"/>
      <c r="CJ290" s="252"/>
      <c r="CK290" s="252"/>
      <c r="CL290" s="252"/>
      <c r="CM290" s="259"/>
      <c r="CN290" s="252"/>
      <c r="CO290" s="252"/>
      <c r="CP290" s="252"/>
      <c r="CQ290" s="259"/>
      <c r="CR290" s="252"/>
      <c r="CS290" s="252"/>
      <c r="CT290" s="255"/>
      <c r="CU290" s="173"/>
      <c r="CV290" s="173"/>
      <c r="CW290" s="173"/>
      <c r="CX290" s="173"/>
      <c r="CY290" s="173"/>
      <c r="CZ290" s="173"/>
      <c r="DA290" s="173"/>
      <c r="DB290" s="173"/>
      <c r="DC290" s="173"/>
      <c r="DD290" s="173"/>
      <c r="DE290" s="173"/>
      <c r="DF290" s="173"/>
    </row>
    <row r="291" spans="1:110" s="174" customFormat="1" x14ac:dyDescent="0.2">
      <c r="A291" s="190"/>
      <c r="B291" s="172"/>
      <c r="D291" s="169"/>
      <c r="E291" s="169"/>
      <c r="F291" s="169"/>
      <c r="G291" s="244"/>
      <c r="H291" s="169"/>
      <c r="I291" s="295"/>
      <c r="J291" s="295"/>
      <c r="K291" s="169"/>
      <c r="L291" s="169"/>
      <c r="M291" s="169"/>
      <c r="N291" s="169"/>
      <c r="O291" s="169"/>
      <c r="P291" s="169"/>
      <c r="Q291" s="185"/>
      <c r="R291" s="190"/>
      <c r="AS291" s="161"/>
      <c r="BF291" s="162"/>
      <c r="BG291" s="162"/>
      <c r="BH291" s="163"/>
      <c r="BI291" s="163"/>
      <c r="BJ291" s="161"/>
      <c r="BK291" s="288"/>
      <c r="BL291" s="164"/>
      <c r="BM291" s="173"/>
      <c r="BN291" s="252"/>
      <c r="BO291" s="259"/>
      <c r="BP291" s="252"/>
      <c r="BQ291" s="252"/>
      <c r="BR291" s="252"/>
      <c r="BS291" s="259"/>
      <c r="BT291" s="252"/>
      <c r="BU291" s="252"/>
      <c r="BV291" s="252"/>
      <c r="BW291" s="259"/>
      <c r="BX291" s="252"/>
      <c r="BY291" s="252"/>
      <c r="BZ291" s="252"/>
      <c r="CA291" s="259"/>
      <c r="CB291" s="252"/>
      <c r="CC291" s="252"/>
      <c r="CD291" s="252"/>
      <c r="CE291" s="259"/>
      <c r="CF291" s="252"/>
      <c r="CG291" s="252"/>
      <c r="CH291" s="252"/>
      <c r="CI291" s="259"/>
      <c r="CJ291" s="252"/>
      <c r="CK291" s="252"/>
      <c r="CL291" s="252"/>
      <c r="CM291" s="259"/>
      <c r="CN291" s="252"/>
      <c r="CO291" s="252"/>
      <c r="CP291" s="252"/>
      <c r="CQ291" s="259"/>
      <c r="CR291" s="252"/>
      <c r="CS291" s="252"/>
      <c r="CT291" s="255"/>
      <c r="CU291" s="173"/>
      <c r="CV291" s="173"/>
      <c r="CW291" s="173"/>
      <c r="CX291" s="173"/>
      <c r="CY291" s="173"/>
      <c r="CZ291" s="173"/>
      <c r="DA291" s="173"/>
      <c r="DB291" s="173"/>
      <c r="DC291" s="173"/>
      <c r="DD291" s="173"/>
      <c r="DE291" s="173"/>
      <c r="DF291" s="173"/>
    </row>
    <row r="292" spans="1:110" s="174" customFormat="1" x14ac:dyDescent="0.2">
      <c r="A292" s="190"/>
      <c r="B292" s="172"/>
      <c r="D292" s="169"/>
      <c r="E292" s="169"/>
      <c r="F292" s="169"/>
      <c r="G292" s="244"/>
      <c r="H292" s="169"/>
      <c r="I292" s="295"/>
      <c r="J292" s="295"/>
      <c r="K292" s="169"/>
      <c r="L292" s="169"/>
      <c r="M292" s="169"/>
      <c r="N292" s="169"/>
      <c r="O292" s="169"/>
      <c r="P292" s="169"/>
      <c r="Q292" s="185"/>
      <c r="R292" s="190"/>
      <c r="AS292" s="161"/>
      <c r="BF292" s="162"/>
      <c r="BG292" s="162"/>
      <c r="BH292" s="163"/>
      <c r="BI292" s="163"/>
      <c r="BJ292" s="161"/>
      <c r="BK292" s="288"/>
      <c r="BL292" s="164"/>
      <c r="BM292" s="173"/>
      <c r="BN292" s="252"/>
      <c r="BO292" s="259"/>
      <c r="BP292" s="252"/>
      <c r="BQ292" s="252"/>
      <c r="BR292" s="252"/>
      <c r="BS292" s="259"/>
      <c r="BT292" s="252"/>
      <c r="BU292" s="252"/>
      <c r="BV292" s="252"/>
      <c r="BW292" s="259"/>
      <c r="BX292" s="252"/>
      <c r="BY292" s="252"/>
      <c r="BZ292" s="252"/>
      <c r="CA292" s="259"/>
      <c r="CB292" s="252"/>
      <c r="CC292" s="252"/>
      <c r="CD292" s="252"/>
      <c r="CE292" s="259"/>
      <c r="CF292" s="252"/>
      <c r="CG292" s="252"/>
      <c r="CH292" s="252"/>
      <c r="CI292" s="259"/>
      <c r="CJ292" s="252"/>
      <c r="CK292" s="252"/>
      <c r="CL292" s="252"/>
      <c r="CM292" s="259"/>
      <c r="CN292" s="252"/>
      <c r="CO292" s="252"/>
      <c r="CP292" s="252"/>
      <c r="CQ292" s="259"/>
      <c r="CR292" s="252"/>
      <c r="CS292" s="252"/>
      <c r="CT292" s="255"/>
      <c r="CU292" s="173"/>
      <c r="CV292" s="173"/>
      <c r="CW292" s="173"/>
      <c r="CX292" s="173"/>
      <c r="CY292" s="173"/>
      <c r="CZ292" s="173"/>
      <c r="DA292" s="173"/>
      <c r="DB292" s="173"/>
      <c r="DC292" s="173"/>
      <c r="DD292" s="173"/>
      <c r="DE292" s="173"/>
      <c r="DF292" s="173"/>
    </row>
    <row r="293" spans="1:110" s="174" customFormat="1" x14ac:dyDescent="0.2">
      <c r="A293" s="190"/>
      <c r="B293" s="172"/>
      <c r="D293" s="169"/>
      <c r="E293" s="169"/>
      <c r="F293" s="169"/>
      <c r="G293" s="244"/>
      <c r="H293" s="169"/>
      <c r="I293" s="295"/>
      <c r="J293" s="295"/>
      <c r="K293" s="169"/>
      <c r="L293" s="169"/>
      <c r="M293" s="169"/>
      <c r="N293" s="169"/>
      <c r="O293" s="169"/>
      <c r="P293" s="169"/>
      <c r="Q293" s="185"/>
      <c r="R293" s="190"/>
      <c r="AS293" s="161"/>
      <c r="BF293" s="162"/>
      <c r="BG293" s="162"/>
      <c r="BH293" s="163"/>
      <c r="BI293" s="163"/>
      <c r="BJ293" s="161"/>
      <c r="BK293" s="288"/>
      <c r="BL293" s="164"/>
      <c r="BM293" s="173"/>
      <c r="BN293" s="252"/>
      <c r="BO293" s="259"/>
      <c r="BP293" s="252"/>
      <c r="BQ293" s="252"/>
      <c r="BR293" s="252"/>
      <c r="BS293" s="259"/>
      <c r="BT293" s="252"/>
      <c r="BU293" s="252"/>
      <c r="BV293" s="252"/>
      <c r="BW293" s="259"/>
      <c r="BX293" s="252"/>
      <c r="BY293" s="252"/>
      <c r="BZ293" s="252"/>
      <c r="CA293" s="259"/>
      <c r="CB293" s="252"/>
      <c r="CC293" s="252"/>
      <c r="CD293" s="252"/>
      <c r="CE293" s="259"/>
      <c r="CF293" s="252"/>
      <c r="CG293" s="252"/>
      <c r="CH293" s="252"/>
      <c r="CI293" s="259"/>
      <c r="CJ293" s="252"/>
      <c r="CK293" s="252"/>
      <c r="CL293" s="252"/>
      <c r="CM293" s="259"/>
      <c r="CN293" s="252"/>
      <c r="CO293" s="252"/>
      <c r="CP293" s="252"/>
      <c r="CQ293" s="259"/>
      <c r="CR293" s="252"/>
      <c r="CS293" s="252"/>
      <c r="CT293" s="255"/>
      <c r="CU293" s="173"/>
      <c r="CV293" s="173"/>
      <c r="CW293" s="173"/>
      <c r="CX293" s="173"/>
      <c r="CY293" s="173"/>
      <c r="CZ293" s="173"/>
      <c r="DA293" s="173"/>
      <c r="DB293" s="173"/>
      <c r="DC293" s="173"/>
      <c r="DD293" s="173"/>
      <c r="DE293" s="173"/>
      <c r="DF293" s="173"/>
    </row>
    <row r="294" spans="1:110" s="174" customFormat="1" x14ac:dyDescent="0.2">
      <c r="A294" s="190"/>
      <c r="B294" s="172"/>
      <c r="D294" s="169"/>
      <c r="E294" s="169"/>
      <c r="F294" s="169"/>
      <c r="G294" s="244"/>
      <c r="H294" s="169"/>
      <c r="I294" s="295"/>
      <c r="J294" s="295"/>
      <c r="K294" s="169"/>
      <c r="L294" s="169"/>
      <c r="M294" s="169"/>
      <c r="N294" s="169"/>
      <c r="O294" s="169"/>
      <c r="P294" s="169"/>
      <c r="Q294" s="185"/>
      <c r="R294" s="190"/>
      <c r="AS294" s="161"/>
      <c r="BF294" s="162"/>
      <c r="BG294" s="162"/>
      <c r="BH294" s="163"/>
      <c r="BI294" s="163"/>
      <c r="BJ294" s="161"/>
      <c r="BK294" s="288"/>
      <c r="BL294" s="164"/>
      <c r="BM294" s="173"/>
      <c r="BN294" s="252"/>
      <c r="BO294" s="259"/>
      <c r="BP294" s="252"/>
      <c r="BQ294" s="252"/>
      <c r="BR294" s="252"/>
      <c r="BS294" s="259"/>
      <c r="BT294" s="252"/>
      <c r="BU294" s="252"/>
      <c r="BV294" s="252"/>
      <c r="BW294" s="259"/>
      <c r="BX294" s="252"/>
      <c r="BY294" s="252"/>
      <c r="BZ294" s="252"/>
      <c r="CA294" s="259"/>
      <c r="CB294" s="252"/>
      <c r="CC294" s="252"/>
      <c r="CD294" s="252"/>
      <c r="CE294" s="259"/>
      <c r="CF294" s="252"/>
      <c r="CG294" s="252"/>
      <c r="CH294" s="252"/>
      <c r="CI294" s="259"/>
      <c r="CJ294" s="252"/>
      <c r="CK294" s="252"/>
      <c r="CL294" s="252"/>
      <c r="CM294" s="259"/>
      <c r="CN294" s="252"/>
      <c r="CO294" s="252"/>
      <c r="CP294" s="252"/>
      <c r="CQ294" s="259"/>
      <c r="CR294" s="252"/>
      <c r="CS294" s="252"/>
      <c r="CT294" s="255"/>
      <c r="CU294" s="173"/>
      <c r="CV294" s="173"/>
      <c r="CW294" s="173"/>
      <c r="CX294" s="173"/>
      <c r="CY294" s="173"/>
      <c r="CZ294" s="173"/>
      <c r="DA294" s="173"/>
      <c r="DB294" s="173"/>
      <c r="DC294" s="173"/>
      <c r="DD294" s="173"/>
      <c r="DE294" s="173"/>
      <c r="DF294" s="173"/>
    </row>
    <row r="295" spans="1:110" s="174" customFormat="1" x14ac:dyDescent="0.2">
      <c r="A295" s="190"/>
      <c r="B295" s="172"/>
      <c r="D295" s="169"/>
      <c r="E295" s="169"/>
      <c r="F295" s="169"/>
      <c r="G295" s="244"/>
      <c r="H295" s="169"/>
      <c r="I295" s="295"/>
      <c r="J295" s="295"/>
      <c r="K295" s="169"/>
      <c r="L295" s="169"/>
      <c r="M295" s="169"/>
      <c r="N295" s="169"/>
      <c r="O295" s="169"/>
      <c r="P295" s="169"/>
      <c r="Q295" s="185"/>
      <c r="R295" s="190"/>
      <c r="AS295" s="161"/>
      <c r="BF295" s="162"/>
      <c r="BG295" s="162"/>
      <c r="BH295" s="163"/>
      <c r="BI295" s="163"/>
      <c r="BJ295" s="161"/>
      <c r="BK295" s="288"/>
      <c r="BL295" s="164"/>
      <c r="BM295" s="173"/>
      <c r="BN295" s="252"/>
      <c r="BO295" s="259"/>
      <c r="BP295" s="252"/>
      <c r="BQ295" s="252"/>
      <c r="BR295" s="252"/>
      <c r="BS295" s="259"/>
      <c r="BT295" s="252"/>
      <c r="BU295" s="252"/>
      <c r="BV295" s="252"/>
      <c r="BW295" s="259"/>
      <c r="BX295" s="252"/>
      <c r="BY295" s="252"/>
      <c r="BZ295" s="252"/>
      <c r="CA295" s="259"/>
      <c r="CB295" s="252"/>
      <c r="CC295" s="252"/>
      <c r="CD295" s="252"/>
      <c r="CE295" s="259"/>
      <c r="CF295" s="252"/>
      <c r="CG295" s="252"/>
      <c r="CH295" s="252"/>
      <c r="CI295" s="259"/>
      <c r="CJ295" s="252"/>
      <c r="CK295" s="252"/>
      <c r="CL295" s="252"/>
      <c r="CM295" s="259"/>
      <c r="CN295" s="252"/>
      <c r="CO295" s="252"/>
      <c r="CP295" s="252"/>
      <c r="CQ295" s="259"/>
      <c r="CR295" s="252"/>
      <c r="CS295" s="252"/>
      <c r="CT295" s="255"/>
      <c r="CU295" s="173"/>
      <c r="CV295" s="173"/>
      <c r="CW295" s="173"/>
      <c r="CX295" s="173"/>
      <c r="CY295" s="173"/>
      <c r="CZ295" s="173"/>
      <c r="DA295" s="173"/>
      <c r="DB295" s="173"/>
      <c r="DC295" s="173"/>
      <c r="DD295" s="173"/>
      <c r="DE295" s="173"/>
      <c r="DF295" s="173"/>
    </row>
    <row r="296" spans="1:110" s="174" customFormat="1" x14ac:dyDescent="0.2">
      <c r="A296" s="190"/>
      <c r="B296" s="172"/>
      <c r="D296" s="169"/>
      <c r="E296" s="169"/>
      <c r="F296" s="169"/>
      <c r="G296" s="244"/>
      <c r="H296" s="169"/>
      <c r="I296" s="295"/>
      <c r="J296" s="295"/>
      <c r="K296" s="169"/>
      <c r="L296" s="169"/>
      <c r="M296" s="169"/>
      <c r="N296" s="169"/>
      <c r="O296" s="169"/>
      <c r="P296" s="169"/>
      <c r="Q296" s="185"/>
      <c r="R296" s="190"/>
      <c r="AS296" s="161"/>
      <c r="BF296" s="162"/>
      <c r="BG296" s="162"/>
      <c r="BH296" s="163"/>
      <c r="BI296" s="163"/>
      <c r="BJ296" s="161"/>
      <c r="BK296" s="288"/>
      <c r="BL296" s="164"/>
      <c r="BM296" s="173"/>
      <c r="BN296" s="252"/>
      <c r="BO296" s="259"/>
      <c r="BP296" s="252"/>
      <c r="BQ296" s="252"/>
      <c r="BR296" s="252"/>
      <c r="BS296" s="259"/>
      <c r="BT296" s="252"/>
      <c r="BU296" s="252"/>
      <c r="BV296" s="252"/>
      <c r="BW296" s="259"/>
      <c r="BX296" s="252"/>
      <c r="BY296" s="252"/>
      <c r="BZ296" s="252"/>
      <c r="CA296" s="259"/>
      <c r="CB296" s="252"/>
      <c r="CC296" s="252"/>
      <c r="CD296" s="252"/>
      <c r="CE296" s="259"/>
      <c r="CF296" s="252"/>
      <c r="CG296" s="252"/>
      <c r="CH296" s="252"/>
      <c r="CI296" s="259"/>
      <c r="CJ296" s="252"/>
      <c r="CK296" s="252"/>
      <c r="CL296" s="252"/>
      <c r="CM296" s="259"/>
      <c r="CN296" s="252"/>
      <c r="CO296" s="252"/>
      <c r="CP296" s="252"/>
      <c r="CQ296" s="259"/>
      <c r="CR296" s="252"/>
      <c r="CS296" s="252"/>
      <c r="CT296" s="255"/>
      <c r="CU296" s="173"/>
      <c r="CV296" s="173"/>
      <c r="CW296" s="173"/>
      <c r="CX296" s="173"/>
      <c r="CY296" s="173"/>
      <c r="CZ296" s="173"/>
      <c r="DA296" s="173"/>
      <c r="DB296" s="173"/>
      <c r="DC296" s="173"/>
      <c r="DD296" s="173"/>
      <c r="DE296" s="173"/>
      <c r="DF296" s="173"/>
    </row>
    <row r="297" spans="1:110" s="174" customFormat="1" x14ac:dyDescent="0.2">
      <c r="A297" s="190"/>
      <c r="B297" s="172"/>
      <c r="D297" s="169"/>
      <c r="E297" s="169"/>
      <c r="F297" s="169"/>
      <c r="G297" s="244"/>
      <c r="H297" s="169"/>
      <c r="I297" s="295"/>
      <c r="J297" s="295"/>
      <c r="K297" s="169"/>
      <c r="L297" s="169"/>
      <c r="M297" s="169"/>
      <c r="N297" s="169"/>
      <c r="O297" s="169"/>
      <c r="P297" s="169"/>
      <c r="Q297" s="185"/>
      <c r="R297" s="190"/>
      <c r="AS297" s="161"/>
      <c r="BF297" s="162"/>
      <c r="BG297" s="162"/>
      <c r="BH297" s="163"/>
      <c r="BI297" s="163"/>
      <c r="BJ297" s="161"/>
      <c r="BK297" s="288"/>
      <c r="BL297" s="164"/>
      <c r="BM297" s="173"/>
      <c r="BN297" s="252"/>
      <c r="BO297" s="259"/>
      <c r="BP297" s="252"/>
      <c r="BQ297" s="252"/>
      <c r="BR297" s="252"/>
      <c r="BS297" s="259"/>
      <c r="BT297" s="252"/>
      <c r="BU297" s="252"/>
      <c r="BV297" s="252"/>
      <c r="BW297" s="259"/>
      <c r="BX297" s="252"/>
      <c r="BY297" s="252"/>
      <c r="BZ297" s="252"/>
      <c r="CA297" s="259"/>
      <c r="CB297" s="252"/>
      <c r="CC297" s="252"/>
      <c r="CD297" s="252"/>
      <c r="CE297" s="259"/>
      <c r="CF297" s="252"/>
      <c r="CG297" s="252"/>
      <c r="CH297" s="252"/>
      <c r="CI297" s="259"/>
      <c r="CJ297" s="252"/>
      <c r="CK297" s="252"/>
      <c r="CL297" s="252"/>
      <c r="CM297" s="259"/>
      <c r="CN297" s="252"/>
      <c r="CO297" s="252"/>
      <c r="CP297" s="252"/>
      <c r="CQ297" s="259"/>
      <c r="CR297" s="252"/>
      <c r="CS297" s="252"/>
      <c r="CT297" s="255"/>
      <c r="CU297" s="173"/>
      <c r="CV297" s="173"/>
      <c r="CW297" s="173"/>
      <c r="CX297" s="173"/>
      <c r="CY297" s="173"/>
      <c r="CZ297" s="173"/>
      <c r="DA297" s="173"/>
      <c r="DB297" s="173"/>
      <c r="DC297" s="173"/>
      <c r="DD297" s="173"/>
      <c r="DE297" s="173"/>
      <c r="DF297" s="173"/>
    </row>
    <row r="298" spans="1:110" s="174" customFormat="1" x14ac:dyDescent="0.2">
      <c r="A298" s="190"/>
      <c r="B298" s="172"/>
      <c r="D298" s="169"/>
      <c r="E298" s="169"/>
      <c r="F298" s="169"/>
      <c r="G298" s="244"/>
      <c r="H298" s="169"/>
      <c r="I298" s="295"/>
      <c r="J298" s="295"/>
      <c r="K298" s="169"/>
      <c r="L298" s="169"/>
      <c r="M298" s="169"/>
      <c r="N298" s="169"/>
      <c r="O298" s="169"/>
      <c r="P298" s="169"/>
      <c r="Q298" s="185"/>
      <c r="R298" s="190"/>
      <c r="AS298" s="161"/>
      <c r="BF298" s="162"/>
      <c r="BG298" s="162"/>
      <c r="BH298" s="163"/>
      <c r="BI298" s="163"/>
      <c r="BJ298" s="161"/>
      <c r="BK298" s="288"/>
      <c r="BL298" s="164"/>
      <c r="BM298" s="173"/>
      <c r="BN298" s="252"/>
      <c r="BO298" s="259"/>
      <c r="BP298" s="252"/>
      <c r="BQ298" s="252"/>
      <c r="BR298" s="252"/>
      <c r="BS298" s="259"/>
      <c r="BT298" s="252"/>
      <c r="BU298" s="252"/>
      <c r="BV298" s="252"/>
      <c r="BW298" s="259"/>
      <c r="BX298" s="252"/>
      <c r="BY298" s="252"/>
      <c r="BZ298" s="252"/>
      <c r="CA298" s="259"/>
      <c r="CB298" s="252"/>
      <c r="CC298" s="252"/>
      <c r="CD298" s="252"/>
      <c r="CE298" s="259"/>
      <c r="CF298" s="252"/>
      <c r="CG298" s="252"/>
      <c r="CH298" s="252"/>
      <c r="CI298" s="259"/>
      <c r="CJ298" s="252"/>
      <c r="CK298" s="252"/>
      <c r="CL298" s="252"/>
      <c r="CM298" s="259"/>
      <c r="CN298" s="252"/>
      <c r="CO298" s="252"/>
      <c r="CP298" s="252"/>
      <c r="CQ298" s="259"/>
      <c r="CR298" s="252"/>
      <c r="CS298" s="252"/>
      <c r="CT298" s="255"/>
      <c r="CU298" s="173"/>
      <c r="CV298" s="173"/>
      <c r="CW298" s="173"/>
      <c r="CX298" s="173"/>
      <c r="CY298" s="173"/>
      <c r="CZ298" s="173"/>
      <c r="DA298" s="173"/>
      <c r="DB298" s="173"/>
      <c r="DC298" s="173"/>
      <c r="DD298" s="173"/>
      <c r="DE298" s="173"/>
      <c r="DF298" s="173"/>
    </row>
    <row r="299" spans="1:110" s="174" customFormat="1" x14ac:dyDescent="0.2">
      <c r="A299" s="190"/>
      <c r="B299" s="172"/>
      <c r="D299" s="169"/>
      <c r="E299" s="169"/>
      <c r="F299" s="169"/>
      <c r="G299" s="244"/>
      <c r="H299" s="169"/>
      <c r="I299" s="295"/>
      <c r="J299" s="295"/>
      <c r="K299" s="169"/>
      <c r="L299" s="169"/>
      <c r="M299" s="169"/>
      <c r="N299" s="169"/>
      <c r="O299" s="169"/>
      <c r="P299" s="169"/>
      <c r="Q299" s="185"/>
      <c r="R299" s="190"/>
      <c r="AS299" s="161"/>
      <c r="BF299" s="162"/>
      <c r="BG299" s="162"/>
      <c r="BH299" s="163"/>
      <c r="BI299" s="163"/>
      <c r="BJ299" s="161"/>
      <c r="BK299" s="288"/>
      <c r="BL299" s="164"/>
      <c r="BM299" s="173"/>
      <c r="BN299" s="252"/>
      <c r="BO299" s="259"/>
      <c r="BP299" s="252"/>
      <c r="BQ299" s="252"/>
      <c r="BR299" s="252"/>
      <c r="BS299" s="259"/>
      <c r="BT299" s="252"/>
      <c r="BU299" s="252"/>
      <c r="BV299" s="252"/>
      <c r="BW299" s="259"/>
      <c r="BX299" s="252"/>
      <c r="BY299" s="252"/>
      <c r="BZ299" s="252"/>
      <c r="CA299" s="259"/>
      <c r="CB299" s="252"/>
      <c r="CC299" s="252"/>
      <c r="CD299" s="252"/>
      <c r="CE299" s="259"/>
      <c r="CF299" s="252"/>
      <c r="CG299" s="252"/>
      <c r="CH299" s="252"/>
      <c r="CI299" s="259"/>
      <c r="CJ299" s="252"/>
      <c r="CK299" s="252"/>
      <c r="CL299" s="252"/>
      <c r="CM299" s="259"/>
      <c r="CN299" s="252"/>
      <c r="CO299" s="252"/>
      <c r="CP299" s="252"/>
      <c r="CQ299" s="259"/>
      <c r="CR299" s="252"/>
      <c r="CS299" s="252"/>
      <c r="CT299" s="255"/>
      <c r="CU299" s="173"/>
      <c r="CV299" s="173"/>
      <c r="CW299" s="173"/>
      <c r="CX299" s="173"/>
      <c r="CY299" s="173"/>
      <c r="CZ299" s="173"/>
      <c r="DA299" s="173"/>
      <c r="DB299" s="173"/>
      <c r="DC299" s="173"/>
      <c r="DD299" s="173"/>
      <c r="DE299" s="173"/>
      <c r="DF299" s="173"/>
    </row>
    <row r="300" spans="1:110" s="174" customFormat="1" x14ac:dyDescent="0.2">
      <c r="A300" s="190"/>
      <c r="B300" s="172"/>
      <c r="D300" s="169"/>
      <c r="E300" s="169"/>
      <c r="F300" s="169"/>
      <c r="G300" s="244"/>
      <c r="H300" s="169"/>
      <c r="I300" s="295"/>
      <c r="J300" s="295"/>
      <c r="K300" s="169"/>
      <c r="L300" s="169"/>
      <c r="M300" s="169"/>
      <c r="N300" s="169"/>
      <c r="O300" s="169"/>
      <c r="P300" s="169"/>
      <c r="Q300" s="185"/>
      <c r="R300" s="190"/>
      <c r="AS300" s="161"/>
      <c r="BF300" s="162"/>
      <c r="BG300" s="162"/>
      <c r="BH300" s="163"/>
      <c r="BI300" s="163"/>
      <c r="BJ300" s="161"/>
      <c r="BK300" s="288"/>
      <c r="BL300" s="164"/>
      <c r="BM300" s="173"/>
      <c r="BN300" s="252"/>
      <c r="BO300" s="259"/>
      <c r="BP300" s="252"/>
      <c r="BQ300" s="252"/>
      <c r="BR300" s="252"/>
      <c r="BS300" s="259"/>
      <c r="BT300" s="252"/>
      <c r="BU300" s="252"/>
      <c r="BV300" s="252"/>
      <c r="BW300" s="259"/>
      <c r="BX300" s="252"/>
      <c r="BY300" s="252"/>
      <c r="BZ300" s="252"/>
      <c r="CA300" s="259"/>
      <c r="CB300" s="252"/>
      <c r="CC300" s="252"/>
      <c r="CD300" s="252"/>
      <c r="CE300" s="259"/>
      <c r="CF300" s="252"/>
      <c r="CG300" s="252"/>
      <c r="CH300" s="252"/>
      <c r="CI300" s="259"/>
      <c r="CJ300" s="252"/>
      <c r="CK300" s="252"/>
      <c r="CL300" s="252"/>
      <c r="CM300" s="259"/>
      <c r="CN300" s="252"/>
      <c r="CO300" s="252"/>
      <c r="CP300" s="252"/>
      <c r="CQ300" s="259"/>
      <c r="CR300" s="252"/>
      <c r="CS300" s="252"/>
      <c r="CT300" s="255"/>
      <c r="CU300" s="173"/>
      <c r="CV300" s="173"/>
      <c r="CW300" s="173"/>
      <c r="CX300" s="173"/>
      <c r="CY300" s="173"/>
      <c r="CZ300" s="173"/>
      <c r="DA300" s="173"/>
      <c r="DB300" s="173"/>
      <c r="DC300" s="173"/>
      <c r="DD300" s="173"/>
      <c r="DE300" s="173"/>
      <c r="DF300" s="173"/>
    </row>
    <row r="301" spans="1:110" s="174" customFormat="1" x14ac:dyDescent="0.2">
      <c r="A301" s="190"/>
      <c r="B301" s="172"/>
      <c r="D301" s="169"/>
      <c r="E301" s="169"/>
      <c r="F301" s="169"/>
      <c r="G301" s="244"/>
      <c r="H301" s="169"/>
      <c r="I301" s="295"/>
      <c r="J301" s="295"/>
      <c r="K301" s="169"/>
      <c r="L301" s="169"/>
      <c r="M301" s="169"/>
      <c r="N301" s="169"/>
      <c r="O301" s="169"/>
      <c r="P301" s="169"/>
      <c r="Q301" s="185"/>
      <c r="R301" s="190"/>
      <c r="AS301" s="161"/>
      <c r="BF301" s="162"/>
      <c r="BG301" s="162"/>
      <c r="BH301" s="163"/>
      <c r="BI301" s="163"/>
      <c r="BJ301" s="161"/>
      <c r="BK301" s="288"/>
      <c r="BL301" s="164"/>
      <c r="BM301" s="173"/>
      <c r="BN301" s="252"/>
      <c r="BO301" s="259"/>
      <c r="BP301" s="252"/>
      <c r="BQ301" s="252"/>
      <c r="BR301" s="252"/>
      <c r="BS301" s="259"/>
      <c r="BT301" s="252"/>
      <c r="BU301" s="252"/>
      <c r="BV301" s="252"/>
      <c r="BW301" s="259"/>
      <c r="BX301" s="252"/>
      <c r="BY301" s="252"/>
      <c r="BZ301" s="252"/>
      <c r="CA301" s="259"/>
      <c r="CB301" s="252"/>
      <c r="CC301" s="252"/>
      <c r="CD301" s="252"/>
      <c r="CE301" s="259"/>
      <c r="CF301" s="252"/>
      <c r="CG301" s="252"/>
      <c r="CH301" s="252"/>
      <c r="CI301" s="259"/>
      <c r="CJ301" s="252"/>
      <c r="CK301" s="252"/>
      <c r="CL301" s="252"/>
      <c r="CM301" s="259"/>
      <c r="CN301" s="252"/>
      <c r="CO301" s="252"/>
      <c r="CP301" s="252"/>
      <c r="CQ301" s="259"/>
      <c r="CR301" s="252"/>
      <c r="CS301" s="252"/>
      <c r="CT301" s="255"/>
      <c r="CU301" s="173"/>
      <c r="CV301" s="173"/>
      <c r="CW301" s="173"/>
      <c r="CX301" s="173"/>
      <c r="CY301" s="173"/>
      <c r="CZ301" s="173"/>
      <c r="DA301" s="173"/>
      <c r="DB301" s="173"/>
      <c r="DC301" s="173"/>
      <c r="DD301" s="173"/>
      <c r="DE301" s="173"/>
      <c r="DF301" s="173"/>
    </row>
    <row r="302" spans="1:110" s="174" customFormat="1" x14ac:dyDescent="0.2">
      <c r="A302" s="190"/>
      <c r="B302" s="172"/>
      <c r="D302" s="169"/>
      <c r="E302" s="169"/>
      <c r="F302" s="169"/>
      <c r="G302" s="244"/>
      <c r="H302" s="169"/>
      <c r="I302" s="295"/>
      <c r="J302" s="295"/>
      <c r="K302" s="169"/>
      <c r="L302" s="169"/>
      <c r="M302" s="169"/>
      <c r="N302" s="169"/>
      <c r="O302" s="169"/>
      <c r="P302" s="169"/>
      <c r="Q302" s="185"/>
      <c r="R302" s="190"/>
      <c r="AS302" s="161"/>
      <c r="BF302" s="162"/>
      <c r="BG302" s="162"/>
      <c r="BH302" s="163"/>
      <c r="BI302" s="163"/>
      <c r="BJ302" s="161"/>
      <c r="BK302" s="288"/>
      <c r="BL302" s="164"/>
      <c r="BM302" s="173"/>
      <c r="BN302" s="252"/>
      <c r="BO302" s="259"/>
      <c r="BP302" s="252"/>
      <c r="BQ302" s="252"/>
      <c r="BR302" s="252"/>
      <c r="BS302" s="259"/>
      <c r="BT302" s="252"/>
      <c r="BU302" s="252"/>
      <c r="BV302" s="252"/>
      <c r="BW302" s="259"/>
      <c r="BX302" s="252"/>
      <c r="BY302" s="252"/>
      <c r="BZ302" s="252"/>
      <c r="CA302" s="259"/>
      <c r="CB302" s="252"/>
      <c r="CC302" s="252"/>
      <c r="CD302" s="252"/>
      <c r="CE302" s="259"/>
      <c r="CF302" s="252"/>
      <c r="CG302" s="252"/>
      <c r="CH302" s="252"/>
      <c r="CI302" s="259"/>
      <c r="CJ302" s="252"/>
      <c r="CK302" s="252"/>
      <c r="CL302" s="252"/>
      <c r="CM302" s="259"/>
      <c r="CN302" s="252"/>
      <c r="CO302" s="252"/>
      <c r="CP302" s="252"/>
      <c r="CQ302" s="259"/>
      <c r="CR302" s="252"/>
      <c r="CS302" s="252"/>
      <c r="CT302" s="255"/>
      <c r="CU302" s="173"/>
      <c r="CV302" s="173"/>
      <c r="CW302" s="173"/>
      <c r="CX302" s="173"/>
      <c r="CY302" s="173"/>
      <c r="CZ302" s="173"/>
      <c r="DA302" s="173"/>
      <c r="DB302" s="173"/>
      <c r="DC302" s="173"/>
      <c r="DD302" s="173"/>
      <c r="DE302" s="173"/>
      <c r="DF302" s="173"/>
    </row>
    <row r="303" spans="1:110" s="174" customFormat="1" x14ac:dyDescent="0.2">
      <c r="A303" s="190"/>
      <c r="B303" s="172"/>
      <c r="D303" s="169"/>
      <c r="E303" s="169"/>
      <c r="F303" s="169"/>
      <c r="G303" s="244"/>
      <c r="H303" s="169"/>
      <c r="I303" s="295"/>
      <c r="J303" s="295"/>
      <c r="K303" s="169"/>
      <c r="L303" s="169"/>
      <c r="M303" s="169"/>
      <c r="N303" s="169"/>
      <c r="O303" s="169"/>
      <c r="P303" s="169"/>
      <c r="Q303" s="185"/>
      <c r="R303" s="190"/>
      <c r="AS303" s="161"/>
      <c r="BF303" s="162"/>
      <c r="BG303" s="162"/>
      <c r="BH303" s="163"/>
      <c r="BI303" s="163"/>
      <c r="BJ303" s="161"/>
      <c r="BK303" s="288"/>
      <c r="BL303" s="164"/>
      <c r="BM303" s="173"/>
      <c r="BN303" s="252"/>
      <c r="BO303" s="259"/>
      <c r="BP303" s="252"/>
      <c r="BQ303" s="252"/>
      <c r="BR303" s="252"/>
      <c r="BS303" s="259"/>
      <c r="BT303" s="252"/>
      <c r="BU303" s="252"/>
      <c r="BV303" s="252"/>
      <c r="BW303" s="259"/>
      <c r="BX303" s="252"/>
      <c r="BY303" s="252"/>
      <c r="BZ303" s="252"/>
      <c r="CA303" s="259"/>
      <c r="CB303" s="252"/>
      <c r="CC303" s="252"/>
      <c r="CD303" s="252"/>
      <c r="CE303" s="259"/>
      <c r="CF303" s="252"/>
      <c r="CG303" s="252"/>
      <c r="CH303" s="252"/>
      <c r="CI303" s="259"/>
      <c r="CJ303" s="252"/>
      <c r="CK303" s="252"/>
      <c r="CL303" s="252"/>
      <c r="CM303" s="259"/>
      <c r="CN303" s="252"/>
      <c r="CO303" s="252"/>
      <c r="CP303" s="252"/>
      <c r="CQ303" s="259"/>
      <c r="CR303" s="252"/>
      <c r="CS303" s="252"/>
      <c r="CT303" s="255"/>
      <c r="CU303" s="173"/>
      <c r="CV303" s="173"/>
      <c r="CW303" s="173"/>
      <c r="CX303" s="173"/>
      <c r="CY303" s="173"/>
      <c r="CZ303" s="173"/>
      <c r="DA303" s="173"/>
      <c r="DB303" s="173"/>
      <c r="DC303" s="173"/>
      <c r="DD303" s="173"/>
      <c r="DE303" s="173"/>
      <c r="DF303" s="173"/>
    </row>
    <row r="304" spans="1:110" s="174" customFormat="1" x14ac:dyDescent="0.2">
      <c r="A304" s="190"/>
      <c r="B304" s="172"/>
      <c r="D304" s="169"/>
      <c r="E304" s="169"/>
      <c r="F304" s="169"/>
      <c r="G304" s="244"/>
      <c r="H304" s="169"/>
      <c r="I304" s="295"/>
      <c r="J304" s="295"/>
      <c r="K304" s="169"/>
      <c r="L304" s="169"/>
      <c r="M304" s="169"/>
      <c r="N304" s="169"/>
      <c r="O304" s="169"/>
      <c r="P304" s="169"/>
      <c r="Q304" s="185"/>
      <c r="R304" s="190"/>
      <c r="AS304" s="161"/>
      <c r="BF304" s="162"/>
      <c r="BG304" s="162"/>
      <c r="BH304" s="163"/>
      <c r="BI304" s="163"/>
      <c r="BJ304" s="161"/>
      <c r="BK304" s="288"/>
      <c r="BL304" s="164"/>
      <c r="BM304" s="173"/>
      <c r="BN304" s="252"/>
      <c r="BO304" s="259"/>
      <c r="BP304" s="252"/>
      <c r="BQ304" s="252"/>
      <c r="BR304" s="252"/>
      <c r="BS304" s="259"/>
      <c r="BT304" s="252"/>
      <c r="BU304" s="252"/>
      <c r="BV304" s="252"/>
      <c r="BW304" s="259"/>
      <c r="BX304" s="252"/>
      <c r="BY304" s="252"/>
      <c r="BZ304" s="252"/>
      <c r="CA304" s="259"/>
      <c r="CB304" s="252"/>
      <c r="CC304" s="252"/>
      <c r="CD304" s="252"/>
      <c r="CE304" s="259"/>
      <c r="CF304" s="252"/>
      <c r="CG304" s="252"/>
      <c r="CH304" s="252"/>
      <c r="CI304" s="259"/>
      <c r="CJ304" s="252"/>
      <c r="CK304" s="252"/>
      <c r="CL304" s="252"/>
      <c r="CM304" s="259"/>
      <c r="CN304" s="252"/>
      <c r="CO304" s="252"/>
      <c r="CP304" s="252"/>
      <c r="CQ304" s="259"/>
      <c r="CR304" s="252"/>
      <c r="CS304" s="252"/>
      <c r="CT304" s="255"/>
      <c r="CU304" s="173"/>
      <c r="CV304" s="173"/>
      <c r="CW304" s="173"/>
      <c r="CX304" s="173"/>
      <c r="CY304" s="173"/>
      <c r="CZ304" s="173"/>
      <c r="DA304" s="173"/>
      <c r="DB304" s="173"/>
      <c r="DC304" s="173"/>
      <c r="DD304" s="173"/>
      <c r="DE304" s="173"/>
      <c r="DF304" s="173"/>
    </row>
    <row r="305" spans="1:110" s="174" customFormat="1" x14ac:dyDescent="0.2">
      <c r="A305" s="190"/>
      <c r="B305" s="172"/>
      <c r="D305" s="169"/>
      <c r="E305" s="169"/>
      <c r="F305" s="169"/>
      <c r="G305" s="244"/>
      <c r="H305" s="169"/>
      <c r="I305" s="295"/>
      <c r="J305" s="295"/>
      <c r="K305" s="169"/>
      <c r="L305" s="169"/>
      <c r="M305" s="169"/>
      <c r="N305" s="169"/>
      <c r="O305" s="169"/>
      <c r="P305" s="169"/>
      <c r="Q305" s="185"/>
      <c r="R305" s="190"/>
      <c r="AS305" s="161"/>
      <c r="BF305" s="162"/>
      <c r="BG305" s="162"/>
      <c r="BH305" s="163"/>
      <c r="BI305" s="163"/>
      <c r="BJ305" s="161"/>
      <c r="BK305" s="288"/>
      <c r="BL305" s="164"/>
      <c r="BM305" s="173"/>
      <c r="BN305" s="252"/>
      <c r="BO305" s="259"/>
      <c r="BP305" s="252"/>
      <c r="BQ305" s="252"/>
      <c r="BR305" s="252"/>
      <c r="BS305" s="259"/>
      <c r="BT305" s="252"/>
      <c r="BU305" s="252"/>
      <c r="BV305" s="252"/>
      <c r="BW305" s="259"/>
      <c r="BX305" s="252"/>
      <c r="BY305" s="252"/>
      <c r="BZ305" s="252"/>
      <c r="CA305" s="259"/>
      <c r="CB305" s="252"/>
      <c r="CC305" s="252"/>
      <c r="CD305" s="252"/>
      <c r="CE305" s="259"/>
      <c r="CF305" s="252"/>
      <c r="CG305" s="252"/>
      <c r="CH305" s="252"/>
      <c r="CI305" s="259"/>
      <c r="CJ305" s="252"/>
      <c r="CK305" s="252"/>
      <c r="CL305" s="252"/>
      <c r="CM305" s="259"/>
      <c r="CN305" s="252"/>
      <c r="CO305" s="252"/>
      <c r="CP305" s="252"/>
      <c r="CQ305" s="259"/>
      <c r="CR305" s="252"/>
      <c r="CS305" s="252"/>
      <c r="CT305" s="255"/>
      <c r="CU305" s="173"/>
      <c r="CV305" s="173"/>
      <c r="CW305" s="173"/>
      <c r="CX305" s="173"/>
      <c r="CY305" s="173"/>
      <c r="CZ305" s="173"/>
      <c r="DA305" s="173"/>
      <c r="DB305" s="173"/>
      <c r="DC305" s="173"/>
      <c r="DD305" s="173"/>
      <c r="DE305" s="173"/>
      <c r="DF305" s="173"/>
    </row>
    <row r="306" spans="1:110" s="174" customFormat="1" x14ac:dyDescent="0.2">
      <c r="A306" s="190"/>
      <c r="B306" s="172"/>
      <c r="D306" s="169"/>
      <c r="E306" s="169"/>
      <c r="F306" s="169"/>
      <c r="G306" s="244"/>
      <c r="H306" s="169"/>
      <c r="I306" s="295"/>
      <c r="J306" s="295"/>
      <c r="K306" s="169"/>
      <c r="L306" s="169"/>
      <c r="M306" s="169"/>
      <c r="N306" s="169"/>
      <c r="O306" s="169"/>
      <c r="P306" s="169"/>
      <c r="Q306" s="185"/>
      <c r="R306" s="190"/>
      <c r="AS306" s="161"/>
      <c r="BF306" s="162"/>
      <c r="BG306" s="162"/>
      <c r="BH306" s="163"/>
      <c r="BI306" s="163"/>
      <c r="BJ306" s="161"/>
      <c r="BK306" s="288"/>
      <c r="BL306" s="164"/>
      <c r="BM306" s="173"/>
      <c r="BN306" s="252"/>
      <c r="BO306" s="259"/>
      <c r="BP306" s="252"/>
      <c r="BQ306" s="252"/>
      <c r="BR306" s="252"/>
      <c r="BS306" s="259"/>
      <c r="BT306" s="252"/>
      <c r="BU306" s="252"/>
      <c r="BV306" s="252"/>
      <c r="BW306" s="259"/>
      <c r="BX306" s="252"/>
      <c r="BY306" s="252"/>
      <c r="BZ306" s="252"/>
      <c r="CA306" s="259"/>
      <c r="CB306" s="252"/>
      <c r="CC306" s="252"/>
      <c r="CD306" s="252"/>
      <c r="CE306" s="259"/>
      <c r="CF306" s="252"/>
      <c r="CG306" s="252"/>
      <c r="CH306" s="252"/>
      <c r="CI306" s="259"/>
      <c r="CJ306" s="252"/>
      <c r="CK306" s="252"/>
      <c r="CL306" s="252"/>
      <c r="CM306" s="259"/>
      <c r="CN306" s="252"/>
      <c r="CO306" s="252"/>
      <c r="CP306" s="252"/>
      <c r="CQ306" s="259"/>
      <c r="CR306" s="252"/>
      <c r="CS306" s="252"/>
      <c r="CT306" s="255"/>
      <c r="CU306" s="173"/>
      <c r="CV306" s="173"/>
      <c r="CW306" s="173"/>
      <c r="CX306" s="173"/>
      <c r="CY306" s="173"/>
      <c r="CZ306" s="173"/>
      <c r="DA306" s="173"/>
      <c r="DB306" s="173"/>
      <c r="DC306" s="173"/>
      <c r="DD306" s="173"/>
      <c r="DE306" s="173"/>
      <c r="DF306" s="173"/>
    </row>
    <row r="307" spans="1:110" s="174" customFormat="1" x14ac:dyDescent="0.2">
      <c r="A307" s="190"/>
      <c r="B307" s="172"/>
      <c r="D307" s="169"/>
      <c r="E307" s="169"/>
      <c r="F307" s="169"/>
      <c r="G307" s="244"/>
      <c r="H307" s="169"/>
      <c r="I307" s="295"/>
      <c r="J307" s="295"/>
      <c r="K307" s="169"/>
      <c r="L307" s="169"/>
      <c r="M307" s="169"/>
      <c r="N307" s="169"/>
      <c r="O307" s="169"/>
      <c r="P307" s="169"/>
      <c r="Q307" s="185"/>
      <c r="R307" s="190"/>
      <c r="AS307" s="161"/>
      <c r="BF307" s="162"/>
      <c r="BG307" s="162"/>
      <c r="BH307" s="163"/>
      <c r="BI307" s="163"/>
      <c r="BJ307" s="161"/>
      <c r="BK307" s="288"/>
      <c r="BL307" s="164"/>
      <c r="BM307" s="173"/>
      <c r="BN307" s="252"/>
      <c r="BO307" s="259"/>
      <c r="BP307" s="252"/>
      <c r="BQ307" s="252"/>
      <c r="BR307" s="252"/>
      <c r="BS307" s="259"/>
      <c r="BT307" s="252"/>
      <c r="BU307" s="252"/>
      <c r="BV307" s="252"/>
      <c r="BW307" s="259"/>
      <c r="BX307" s="252"/>
      <c r="BY307" s="252"/>
      <c r="BZ307" s="252"/>
      <c r="CA307" s="259"/>
      <c r="CB307" s="252"/>
      <c r="CC307" s="252"/>
      <c r="CD307" s="252"/>
      <c r="CE307" s="259"/>
      <c r="CF307" s="252"/>
      <c r="CG307" s="252"/>
      <c r="CH307" s="252"/>
      <c r="CI307" s="259"/>
      <c r="CJ307" s="252"/>
      <c r="CK307" s="252"/>
      <c r="CL307" s="252"/>
      <c r="CM307" s="259"/>
      <c r="CN307" s="252"/>
      <c r="CO307" s="252"/>
      <c r="CP307" s="252"/>
      <c r="CQ307" s="259"/>
      <c r="CR307" s="252"/>
      <c r="CS307" s="252"/>
      <c r="CT307" s="255"/>
      <c r="CU307" s="173"/>
      <c r="CV307" s="173"/>
      <c r="CW307" s="173"/>
      <c r="CX307" s="173"/>
      <c r="CY307" s="173"/>
      <c r="CZ307" s="173"/>
      <c r="DA307" s="173"/>
      <c r="DB307" s="173"/>
      <c r="DC307" s="173"/>
      <c r="DD307" s="173"/>
      <c r="DE307" s="173"/>
      <c r="DF307" s="173"/>
    </row>
    <row r="308" spans="1:110" s="174" customFormat="1" x14ac:dyDescent="0.2">
      <c r="A308" s="190"/>
      <c r="B308" s="172"/>
      <c r="D308" s="169"/>
      <c r="E308" s="169"/>
      <c r="F308" s="169"/>
      <c r="G308" s="244"/>
      <c r="H308" s="169"/>
      <c r="I308" s="295"/>
      <c r="J308" s="295"/>
      <c r="K308" s="169"/>
      <c r="L308" s="169"/>
      <c r="M308" s="169"/>
      <c r="N308" s="169"/>
      <c r="O308" s="169"/>
      <c r="P308" s="169"/>
      <c r="Q308" s="185"/>
      <c r="R308" s="190"/>
      <c r="AS308" s="161"/>
      <c r="BF308" s="162"/>
      <c r="BG308" s="162"/>
      <c r="BH308" s="163"/>
      <c r="BI308" s="163"/>
      <c r="BJ308" s="161"/>
      <c r="BK308" s="288"/>
      <c r="BL308" s="164"/>
      <c r="BM308" s="173"/>
      <c r="BN308" s="252"/>
      <c r="BO308" s="259"/>
      <c r="BP308" s="252"/>
      <c r="BQ308" s="252"/>
      <c r="BR308" s="252"/>
      <c r="BS308" s="259"/>
      <c r="BT308" s="252"/>
      <c r="BU308" s="252"/>
      <c r="BV308" s="252"/>
      <c r="BW308" s="259"/>
      <c r="BX308" s="252"/>
      <c r="BY308" s="252"/>
      <c r="BZ308" s="252"/>
      <c r="CA308" s="259"/>
      <c r="CB308" s="252"/>
      <c r="CC308" s="252"/>
      <c r="CD308" s="252"/>
      <c r="CE308" s="259"/>
      <c r="CF308" s="252"/>
      <c r="CG308" s="252"/>
      <c r="CH308" s="252"/>
      <c r="CI308" s="259"/>
      <c r="CJ308" s="252"/>
      <c r="CK308" s="252"/>
      <c r="CL308" s="252"/>
      <c r="CM308" s="259"/>
      <c r="CN308" s="252"/>
      <c r="CO308" s="252"/>
      <c r="CP308" s="252"/>
      <c r="CQ308" s="259"/>
      <c r="CR308" s="252"/>
      <c r="CS308" s="252"/>
      <c r="CT308" s="255"/>
      <c r="CU308" s="173"/>
      <c r="CV308" s="173"/>
      <c r="CW308" s="173"/>
      <c r="CX308" s="173"/>
      <c r="CY308" s="173"/>
      <c r="CZ308" s="173"/>
      <c r="DA308" s="173"/>
      <c r="DB308" s="173"/>
      <c r="DC308" s="173"/>
      <c r="DD308" s="173"/>
      <c r="DE308" s="173"/>
      <c r="DF308" s="173"/>
    </row>
    <row r="309" spans="1:110" s="174" customFormat="1" x14ac:dyDescent="0.2">
      <c r="A309" s="190"/>
      <c r="B309" s="172"/>
      <c r="D309" s="169"/>
      <c r="E309" s="169"/>
      <c r="F309" s="169"/>
      <c r="G309" s="244"/>
      <c r="H309" s="169"/>
      <c r="I309" s="295"/>
      <c r="J309" s="295"/>
      <c r="K309" s="169"/>
      <c r="L309" s="169"/>
      <c r="M309" s="169"/>
      <c r="N309" s="169"/>
      <c r="O309" s="169"/>
      <c r="P309" s="169"/>
      <c r="Q309" s="185"/>
      <c r="R309" s="190"/>
      <c r="AS309" s="161"/>
      <c r="BF309" s="162"/>
      <c r="BG309" s="162"/>
      <c r="BH309" s="163"/>
      <c r="BI309" s="163"/>
      <c r="BJ309" s="161"/>
      <c r="BK309" s="288"/>
      <c r="BL309" s="164"/>
      <c r="BM309" s="173"/>
      <c r="BN309" s="252"/>
      <c r="BO309" s="259"/>
      <c r="BP309" s="252"/>
      <c r="BQ309" s="252"/>
      <c r="BR309" s="252"/>
      <c r="BS309" s="259"/>
      <c r="BT309" s="252"/>
      <c r="BU309" s="252"/>
      <c r="BV309" s="252"/>
      <c r="BW309" s="259"/>
      <c r="BX309" s="252"/>
      <c r="BY309" s="252"/>
      <c r="BZ309" s="252"/>
      <c r="CA309" s="259"/>
      <c r="CB309" s="252"/>
      <c r="CC309" s="252"/>
      <c r="CD309" s="252"/>
      <c r="CE309" s="259"/>
      <c r="CF309" s="252"/>
      <c r="CG309" s="252"/>
      <c r="CH309" s="252"/>
      <c r="CI309" s="259"/>
      <c r="CJ309" s="252"/>
      <c r="CK309" s="252"/>
      <c r="CL309" s="252"/>
      <c r="CM309" s="259"/>
      <c r="CN309" s="252"/>
      <c r="CO309" s="252"/>
      <c r="CP309" s="252"/>
      <c r="CQ309" s="259"/>
      <c r="CR309" s="252"/>
      <c r="CS309" s="252"/>
      <c r="CT309" s="255"/>
      <c r="CU309" s="173"/>
      <c r="CV309" s="173"/>
      <c r="CW309" s="173"/>
      <c r="CX309" s="173"/>
      <c r="CY309" s="173"/>
      <c r="CZ309" s="173"/>
      <c r="DA309" s="173"/>
      <c r="DB309" s="173"/>
      <c r="DC309" s="173"/>
      <c r="DD309" s="173"/>
      <c r="DE309" s="173"/>
      <c r="DF309" s="173"/>
    </row>
    <row r="310" spans="1:110" s="174" customFormat="1" x14ac:dyDescent="0.2">
      <c r="A310" s="190"/>
      <c r="B310" s="172"/>
      <c r="D310" s="169"/>
      <c r="E310" s="169"/>
      <c r="F310" s="169"/>
      <c r="G310" s="244"/>
      <c r="H310" s="169"/>
      <c r="I310" s="295"/>
      <c r="J310" s="295"/>
      <c r="K310" s="169"/>
      <c r="L310" s="169"/>
      <c r="M310" s="169"/>
      <c r="N310" s="169"/>
      <c r="O310" s="169"/>
      <c r="P310" s="169"/>
      <c r="Q310" s="185"/>
      <c r="R310" s="190"/>
      <c r="AS310" s="161"/>
      <c r="BF310" s="162"/>
      <c r="BG310" s="162"/>
      <c r="BH310" s="163"/>
      <c r="BI310" s="163"/>
      <c r="BJ310" s="161"/>
      <c r="BK310" s="288"/>
      <c r="BL310" s="164"/>
      <c r="BM310" s="173"/>
      <c r="BN310" s="252"/>
      <c r="BO310" s="259"/>
      <c r="BP310" s="252"/>
      <c r="BQ310" s="252"/>
      <c r="BR310" s="252"/>
      <c r="BS310" s="259"/>
      <c r="BT310" s="252"/>
      <c r="BU310" s="252"/>
      <c r="BV310" s="252"/>
      <c r="BW310" s="259"/>
      <c r="BX310" s="252"/>
      <c r="BY310" s="252"/>
      <c r="BZ310" s="252"/>
      <c r="CA310" s="259"/>
      <c r="CB310" s="252"/>
      <c r="CC310" s="252"/>
      <c r="CD310" s="252"/>
      <c r="CE310" s="259"/>
      <c r="CF310" s="252"/>
      <c r="CG310" s="252"/>
      <c r="CH310" s="252"/>
      <c r="CI310" s="259"/>
      <c r="CJ310" s="252"/>
      <c r="CK310" s="252"/>
      <c r="CL310" s="252"/>
      <c r="CM310" s="259"/>
      <c r="CN310" s="252"/>
      <c r="CO310" s="252"/>
      <c r="CP310" s="252"/>
      <c r="CQ310" s="259"/>
      <c r="CR310" s="252"/>
      <c r="CS310" s="252"/>
      <c r="CT310" s="255"/>
      <c r="CU310" s="173"/>
      <c r="CV310" s="173"/>
      <c r="CW310" s="173"/>
      <c r="CX310" s="173"/>
      <c r="CY310" s="173"/>
      <c r="CZ310" s="173"/>
      <c r="DA310" s="173"/>
      <c r="DB310" s="173"/>
      <c r="DC310" s="173"/>
      <c r="DD310" s="173"/>
      <c r="DE310" s="173"/>
      <c r="DF310" s="173"/>
    </row>
    <row r="311" spans="1:110" s="174" customFormat="1" x14ac:dyDescent="0.2">
      <c r="A311" s="190"/>
      <c r="B311" s="172"/>
      <c r="D311" s="169"/>
      <c r="E311" s="169"/>
      <c r="F311" s="169"/>
      <c r="G311" s="244"/>
      <c r="H311" s="169"/>
      <c r="I311" s="295"/>
      <c r="J311" s="295"/>
      <c r="K311" s="169"/>
      <c r="L311" s="169"/>
      <c r="M311" s="169"/>
      <c r="N311" s="169"/>
      <c r="O311" s="169"/>
      <c r="P311" s="169"/>
      <c r="Q311" s="185"/>
      <c r="R311" s="190"/>
      <c r="AS311" s="161"/>
      <c r="BF311" s="162"/>
      <c r="BG311" s="162"/>
      <c r="BH311" s="163"/>
      <c r="BI311" s="163"/>
      <c r="BJ311" s="161"/>
      <c r="BK311" s="288"/>
      <c r="BL311" s="164"/>
      <c r="BM311" s="173"/>
      <c r="BN311" s="252"/>
      <c r="BO311" s="259"/>
      <c r="BP311" s="252"/>
      <c r="BQ311" s="252"/>
      <c r="BR311" s="252"/>
      <c r="BS311" s="259"/>
      <c r="BT311" s="252"/>
      <c r="BU311" s="252"/>
      <c r="BV311" s="252"/>
      <c r="BW311" s="259"/>
      <c r="BX311" s="252"/>
      <c r="BY311" s="252"/>
      <c r="BZ311" s="252"/>
      <c r="CA311" s="259"/>
      <c r="CB311" s="252"/>
      <c r="CC311" s="252"/>
      <c r="CD311" s="252"/>
      <c r="CE311" s="259"/>
      <c r="CF311" s="252"/>
      <c r="CG311" s="252"/>
      <c r="CH311" s="252"/>
      <c r="CI311" s="259"/>
      <c r="CJ311" s="252"/>
      <c r="CK311" s="252"/>
      <c r="CL311" s="252"/>
      <c r="CM311" s="259"/>
      <c r="CN311" s="252"/>
      <c r="CO311" s="252"/>
      <c r="CP311" s="252"/>
      <c r="CQ311" s="259"/>
      <c r="CR311" s="252"/>
      <c r="CS311" s="252"/>
      <c r="CT311" s="255"/>
      <c r="CU311" s="173"/>
      <c r="CV311" s="173"/>
      <c r="CW311" s="173"/>
      <c r="CX311" s="173"/>
      <c r="CY311" s="173"/>
      <c r="CZ311" s="173"/>
      <c r="DA311" s="173"/>
      <c r="DB311" s="173"/>
      <c r="DC311" s="173"/>
      <c r="DD311" s="173"/>
      <c r="DE311" s="173"/>
      <c r="DF311" s="173"/>
    </row>
    <row r="312" spans="1:110" s="174" customFormat="1" x14ac:dyDescent="0.2">
      <c r="A312" s="190"/>
      <c r="B312" s="172"/>
      <c r="D312" s="169"/>
      <c r="E312" s="169"/>
      <c r="F312" s="169"/>
      <c r="G312" s="244"/>
      <c r="H312" s="169"/>
      <c r="I312" s="295"/>
      <c r="J312" s="295"/>
      <c r="K312" s="169"/>
      <c r="L312" s="169"/>
      <c r="M312" s="169"/>
      <c r="N312" s="169"/>
      <c r="O312" s="169"/>
      <c r="P312" s="169"/>
      <c r="Q312" s="185"/>
      <c r="R312" s="190"/>
      <c r="AS312" s="161"/>
      <c r="BF312" s="162"/>
      <c r="BG312" s="162"/>
      <c r="BH312" s="163"/>
      <c r="BI312" s="163"/>
      <c r="BJ312" s="161"/>
      <c r="BK312" s="288"/>
      <c r="BL312" s="164"/>
      <c r="BM312" s="173"/>
      <c r="BN312" s="252"/>
      <c r="BO312" s="259"/>
      <c r="BP312" s="252"/>
      <c r="BQ312" s="252"/>
      <c r="BR312" s="252"/>
      <c r="BS312" s="259"/>
      <c r="BT312" s="252"/>
      <c r="BU312" s="252"/>
      <c r="BV312" s="252"/>
      <c r="BW312" s="259"/>
      <c r="BX312" s="252"/>
      <c r="BY312" s="252"/>
      <c r="BZ312" s="252"/>
      <c r="CA312" s="259"/>
      <c r="CB312" s="252"/>
      <c r="CC312" s="252"/>
      <c r="CD312" s="252"/>
      <c r="CE312" s="259"/>
      <c r="CF312" s="252"/>
      <c r="CG312" s="252"/>
      <c r="CH312" s="252"/>
      <c r="CI312" s="259"/>
      <c r="CJ312" s="252"/>
      <c r="CK312" s="252"/>
      <c r="CL312" s="252"/>
      <c r="CM312" s="259"/>
      <c r="CN312" s="252"/>
      <c r="CO312" s="252"/>
      <c r="CP312" s="252"/>
      <c r="CQ312" s="259"/>
      <c r="CR312" s="252"/>
      <c r="CS312" s="252"/>
      <c r="CT312" s="255"/>
      <c r="CU312" s="173"/>
      <c r="CV312" s="173"/>
      <c r="CW312" s="173"/>
      <c r="CX312" s="173"/>
      <c r="CY312" s="173"/>
      <c r="CZ312" s="173"/>
      <c r="DA312" s="173"/>
      <c r="DB312" s="173"/>
      <c r="DC312" s="173"/>
      <c r="DD312" s="173"/>
      <c r="DE312" s="173"/>
      <c r="DF312" s="173"/>
    </row>
    <row r="313" spans="1:110" s="174" customFormat="1" x14ac:dyDescent="0.2">
      <c r="A313" s="190"/>
      <c r="B313" s="172"/>
      <c r="D313" s="169"/>
      <c r="E313" s="169"/>
      <c r="F313" s="169"/>
      <c r="G313" s="244"/>
      <c r="H313" s="169"/>
      <c r="I313" s="295"/>
      <c r="J313" s="295"/>
      <c r="K313" s="169"/>
      <c r="L313" s="169"/>
      <c r="M313" s="169"/>
      <c r="N313" s="169"/>
      <c r="O313" s="169"/>
      <c r="P313" s="169"/>
      <c r="Q313" s="185"/>
      <c r="R313" s="190"/>
      <c r="AS313" s="161"/>
      <c r="BF313" s="162"/>
      <c r="BG313" s="162"/>
      <c r="BH313" s="163"/>
      <c r="BI313" s="163"/>
      <c r="BJ313" s="161"/>
      <c r="BK313" s="288"/>
      <c r="BL313" s="164"/>
      <c r="BM313" s="173"/>
      <c r="BN313" s="252"/>
      <c r="BO313" s="259"/>
      <c r="BP313" s="252"/>
      <c r="BQ313" s="252"/>
      <c r="BR313" s="252"/>
      <c r="BS313" s="259"/>
      <c r="BT313" s="252"/>
      <c r="BU313" s="252"/>
      <c r="BV313" s="252"/>
      <c r="BW313" s="259"/>
      <c r="BX313" s="252"/>
      <c r="BY313" s="252"/>
      <c r="BZ313" s="252"/>
      <c r="CA313" s="259"/>
      <c r="CB313" s="252"/>
      <c r="CC313" s="252"/>
      <c r="CD313" s="252"/>
      <c r="CE313" s="259"/>
      <c r="CF313" s="252"/>
      <c r="CG313" s="252"/>
      <c r="CH313" s="252"/>
      <c r="CI313" s="259"/>
      <c r="CJ313" s="252"/>
      <c r="CK313" s="252"/>
      <c r="CL313" s="252"/>
      <c r="CM313" s="259"/>
      <c r="CN313" s="252"/>
      <c r="CO313" s="252"/>
      <c r="CP313" s="252"/>
      <c r="CQ313" s="259"/>
      <c r="CR313" s="252"/>
      <c r="CS313" s="252"/>
      <c r="CT313" s="255"/>
      <c r="CU313" s="173"/>
      <c r="CV313" s="173"/>
      <c r="CW313" s="173"/>
      <c r="CX313" s="173"/>
      <c r="CY313" s="173"/>
      <c r="CZ313" s="173"/>
      <c r="DA313" s="173"/>
      <c r="DB313" s="173"/>
      <c r="DC313" s="173"/>
      <c r="DD313" s="173"/>
      <c r="DE313" s="173"/>
      <c r="DF313" s="173"/>
    </row>
    <row r="314" spans="1:110" s="174" customFormat="1" x14ac:dyDescent="0.2">
      <c r="A314" s="190"/>
      <c r="B314" s="172"/>
      <c r="D314" s="169"/>
      <c r="E314" s="169"/>
      <c r="F314" s="169"/>
      <c r="G314" s="244"/>
      <c r="H314" s="169"/>
      <c r="I314" s="295"/>
      <c r="J314" s="295"/>
      <c r="K314" s="169"/>
      <c r="L314" s="169"/>
      <c r="M314" s="169"/>
      <c r="N314" s="169"/>
      <c r="O314" s="169"/>
      <c r="P314" s="169"/>
      <c r="Q314" s="185"/>
      <c r="R314" s="190"/>
      <c r="AS314" s="161"/>
      <c r="BF314" s="162"/>
      <c r="BG314" s="162"/>
      <c r="BH314" s="163"/>
      <c r="BI314" s="163"/>
      <c r="BJ314" s="161"/>
      <c r="BK314" s="288"/>
      <c r="BL314" s="164"/>
      <c r="BM314" s="173"/>
      <c r="BN314" s="252"/>
      <c r="BO314" s="259"/>
      <c r="BP314" s="252"/>
      <c r="BQ314" s="252"/>
      <c r="BR314" s="252"/>
      <c r="BS314" s="259"/>
      <c r="BT314" s="252"/>
      <c r="BU314" s="252"/>
      <c r="BV314" s="252"/>
      <c r="BW314" s="259"/>
      <c r="BX314" s="252"/>
      <c r="BY314" s="252"/>
      <c r="BZ314" s="252"/>
      <c r="CA314" s="259"/>
      <c r="CB314" s="252"/>
      <c r="CC314" s="252"/>
      <c r="CD314" s="252"/>
      <c r="CE314" s="259"/>
      <c r="CF314" s="252"/>
      <c r="CG314" s="252"/>
      <c r="CH314" s="252"/>
      <c r="CI314" s="259"/>
      <c r="CJ314" s="252"/>
      <c r="CK314" s="252"/>
      <c r="CL314" s="252"/>
      <c r="CM314" s="259"/>
      <c r="CN314" s="252"/>
      <c r="CO314" s="252"/>
      <c r="CP314" s="252"/>
      <c r="CQ314" s="259"/>
      <c r="CR314" s="252"/>
      <c r="CS314" s="252"/>
      <c r="CT314" s="255"/>
      <c r="CU314" s="173"/>
      <c r="CV314" s="173"/>
      <c r="CW314" s="173"/>
      <c r="CX314" s="173"/>
      <c r="CY314" s="173"/>
      <c r="CZ314" s="173"/>
      <c r="DA314" s="173"/>
      <c r="DB314" s="173"/>
      <c r="DC314" s="173"/>
      <c r="DD314" s="173"/>
      <c r="DE314" s="173"/>
      <c r="DF314" s="173"/>
    </row>
    <row r="315" spans="1:110" s="174" customFormat="1" x14ac:dyDescent="0.2">
      <c r="A315" s="190"/>
      <c r="B315" s="172"/>
      <c r="D315" s="169"/>
      <c r="E315" s="169"/>
      <c r="F315" s="169"/>
      <c r="G315" s="244"/>
      <c r="H315" s="169"/>
      <c r="I315" s="295"/>
      <c r="J315" s="295"/>
      <c r="K315" s="169"/>
      <c r="L315" s="169"/>
      <c r="M315" s="169"/>
      <c r="N315" s="169"/>
      <c r="O315" s="169"/>
      <c r="P315" s="169"/>
      <c r="Q315" s="185"/>
      <c r="R315" s="190"/>
      <c r="AS315" s="161"/>
      <c r="BF315" s="162"/>
      <c r="BG315" s="162"/>
      <c r="BH315" s="163"/>
      <c r="BI315" s="163"/>
      <c r="BJ315" s="161"/>
      <c r="BK315" s="288"/>
      <c r="BL315" s="164"/>
      <c r="BM315" s="173"/>
      <c r="BN315" s="252"/>
      <c r="BO315" s="259"/>
      <c r="BP315" s="252"/>
      <c r="BQ315" s="252"/>
      <c r="BR315" s="252"/>
      <c r="BS315" s="259"/>
      <c r="BT315" s="252"/>
      <c r="BU315" s="252"/>
      <c r="BV315" s="252"/>
      <c r="BW315" s="259"/>
      <c r="BX315" s="252"/>
      <c r="BY315" s="252"/>
      <c r="BZ315" s="252"/>
      <c r="CA315" s="259"/>
      <c r="CB315" s="252"/>
      <c r="CC315" s="252"/>
      <c r="CD315" s="252"/>
      <c r="CE315" s="259"/>
      <c r="CF315" s="252"/>
      <c r="CG315" s="252"/>
      <c r="CH315" s="252"/>
      <c r="CI315" s="259"/>
      <c r="CJ315" s="252"/>
      <c r="CK315" s="252"/>
      <c r="CL315" s="252"/>
      <c r="CM315" s="259"/>
      <c r="CN315" s="252"/>
      <c r="CO315" s="252"/>
      <c r="CP315" s="252"/>
      <c r="CQ315" s="259"/>
      <c r="CR315" s="252"/>
      <c r="CS315" s="252"/>
      <c r="CT315" s="255"/>
      <c r="CU315" s="173"/>
      <c r="CV315" s="173"/>
      <c r="CW315" s="173"/>
      <c r="CX315" s="173"/>
      <c r="CY315" s="173"/>
      <c r="CZ315" s="173"/>
      <c r="DA315" s="173"/>
      <c r="DB315" s="173"/>
      <c r="DC315" s="173"/>
      <c r="DD315" s="173"/>
      <c r="DE315" s="173"/>
      <c r="DF315" s="173"/>
    </row>
    <row r="316" spans="1:110" s="174" customFormat="1" x14ac:dyDescent="0.2">
      <c r="A316" s="190"/>
      <c r="B316" s="172"/>
      <c r="D316" s="169"/>
      <c r="E316" s="169"/>
      <c r="F316" s="169"/>
      <c r="G316" s="244"/>
      <c r="H316" s="169"/>
      <c r="I316" s="295"/>
      <c r="J316" s="295"/>
      <c r="K316" s="169"/>
      <c r="L316" s="169"/>
      <c r="M316" s="169"/>
      <c r="N316" s="169"/>
      <c r="O316" s="169"/>
      <c r="P316" s="169"/>
      <c r="Q316" s="185"/>
      <c r="R316" s="190"/>
      <c r="AS316" s="161"/>
      <c r="BF316" s="162"/>
      <c r="BG316" s="162"/>
      <c r="BH316" s="163"/>
      <c r="BI316" s="163"/>
      <c r="BJ316" s="161"/>
      <c r="BK316" s="288"/>
      <c r="BL316" s="164"/>
      <c r="BM316" s="173"/>
      <c r="BN316" s="252"/>
      <c r="BO316" s="259"/>
      <c r="BP316" s="252"/>
      <c r="BQ316" s="252"/>
      <c r="BR316" s="252"/>
      <c r="BS316" s="259"/>
      <c r="BT316" s="252"/>
      <c r="BU316" s="252"/>
      <c r="BV316" s="252"/>
      <c r="BW316" s="259"/>
      <c r="BX316" s="252"/>
      <c r="BY316" s="252"/>
      <c r="BZ316" s="252"/>
      <c r="CA316" s="259"/>
      <c r="CB316" s="252"/>
      <c r="CC316" s="252"/>
      <c r="CD316" s="252"/>
      <c r="CE316" s="259"/>
      <c r="CF316" s="252"/>
      <c r="CG316" s="252"/>
      <c r="CH316" s="252"/>
      <c r="CI316" s="259"/>
      <c r="CJ316" s="252"/>
      <c r="CK316" s="252"/>
      <c r="CL316" s="252"/>
      <c r="CM316" s="259"/>
      <c r="CN316" s="252"/>
      <c r="CO316" s="252"/>
      <c r="CP316" s="252"/>
      <c r="CQ316" s="259"/>
      <c r="CR316" s="252"/>
      <c r="CS316" s="252"/>
      <c r="CT316" s="255"/>
      <c r="CU316" s="173"/>
      <c r="CV316" s="173"/>
      <c r="CW316" s="173"/>
      <c r="CX316" s="173"/>
      <c r="CY316" s="173"/>
      <c r="CZ316" s="173"/>
      <c r="DA316" s="173"/>
      <c r="DB316" s="173"/>
      <c r="DC316" s="173"/>
      <c r="DD316" s="173"/>
      <c r="DE316" s="173"/>
      <c r="DF316" s="173"/>
    </row>
    <row r="317" spans="1:110" s="174" customFormat="1" x14ac:dyDescent="0.2">
      <c r="A317" s="190"/>
      <c r="B317" s="172"/>
      <c r="D317" s="169"/>
      <c r="E317" s="169"/>
      <c r="F317" s="169"/>
      <c r="G317" s="244"/>
      <c r="H317" s="169"/>
      <c r="I317" s="295"/>
      <c r="J317" s="295"/>
      <c r="K317" s="169"/>
      <c r="L317" s="169"/>
      <c r="M317" s="169"/>
      <c r="N317" s="169"/>
      <c r="O317" s="169"/>
      <c r="P317" s="169"/>
      <c r="Q317" s="185"/>
      <c r="R317" s="190"/>
      <c r="AS317" s="161"/>
      <c r="BF317" s="162"/>
      <c r="BG317" s="162"/>
      <c r="BH317" s="163"/>
      <c r="BI317" s="163"/>
      <c r="BJ317" s="161"/>
      <c r="BK317" s="288"/>
      <c r="BL317" s="164"/>
      <c r="BM317" s="173"/>
      <c r="BN317" s="252"/>
      <c r="BO317" s="259"/>
      <c r="BP317" s="252"/>
      <c r="BQ317" s="252"/>
      <c r="BR317" s="252"/>
      <c r="BS317" s="259"/>
      <c r="BT317" s="252"/>
      <c r="BU317" s="252"/>
      <c r="BV317" s="252"/>
      <c r="BW317" s="259"/>
      <c r="BX317" s="252"/>
      <c r="BY317" s="252"/>
      <c r="BZ317" s="252"/>
      <c r="CA317" s="259"/>
      <c r="CB317" s="252"/>
      <c r="CC317" s="252"/>
      <c r="CD317" s="252"/>
      <c r="CE317" s="259"/>
      <c r="CF317" s="252"/>
      <c r="CG317" s="252"/>
      <c r="CH317" s="252"/>
      <c r="CI317" s="259"/>
      <c r="CJ317" s="252"/>
      <c r="CK317" s="252"/>
      <c r="CL317" s="252"/>
      <c r="CM317" s="259"/>
      <c r="CN317" s="252"/>
      <c r="CO317" s="252"/>
      <c r="CP317" s="252"/>
      <c r="CQ317" s="259"/>
      <c r="CR317" s="252"/>
      <c r="CS317" s="252"/>
      <c r="CT317" s="255"/>
      <c r="CU317" s="173"/>
      <c r="CV317" s="173"/>
      <c r="CW317" s="173"/>
      <c r="CX317" s="173"/>
      <c r="CY317" s="173"/>
      <c r="CZ317" s="173"/>
      <c r="DA317" s="173"/>
      <c r="DB317" s="173"/>
      <c r="DC317" s="173"/>
      <c r="DD317" s="173"/>
      <c r="DE317" s="173"/>
      <c r="DF317" s="173"/>
    </row>
    <row r="318" spans="1:110" s="174" customFormat="1" x14ac:dyDescent="0.2">
      <c r="A318" s="190"/>
      <c r="B318" s="172"/>
      <c r="D318" s="169"/>
      <c r="E318" s="169"/>
      <c r="F318" s="169"/>
      <c r="G318" s="244"/>
      <c r="H318" s="169"/>
      <c r="I318" s="295"/>
      <c r="J318" s="295"/>
      <c r="K318" s="169"/>
      <c r="L318" s="169"/>
      <c r="M318" s="169"/>
      <c r="N318" s="169"/>
      <c r="O318" s="169"/>
      <c r="P318" s="169"/>
      <c r="Q318" s="185"/>
      <c r="R318" s="190"/>
      <c r="AS318" s="161"/>
      <c r="BF318" s="162"/>
      <c r="BG318" s="162"/>
      <c r="BH318" s="163"/>
      <c r="BI318" s="163"/>
      <c r="BJ318" s="161"/>
      <c r="BK318" s="288"/>
      <c r="BL318" s="164"/>
      <c r="BM318" s="173"/>
      <c r="BN318" s="252"/>
      <c r="BO318" s="259"/>
      <c r="BP318" s="252"/>
      <c r="BQ318" s="252"/>
      <c r="BR318" s="252"/>
      <c r="BS318" s="259"/>
      <c r="BT318" s="252"/>
      <c r="BU318" s="252"/>
      <c r="BV318" s="252"/>
      <c r="BW318" s="259"/>
      <c r="BX318" s="252"/>
      <c r="BY318" s="252"/>
      <c r="BZ318" s="252"/>
      <c r="CA318" s="259"/>
      <c r="CB318" s="252"/>
      <c r="CC318" s="252"/>
      <c r="CD318" s="252"/>
      <c r="CE318" s="259"/>
      <c r="CF318" s="252"/>
      <c r="CG318" s="252"/>
      <c r="CH318" s="252"/>
      <c r="CI318" s="259"/>
      <c r="CJ318" s="252"/>
      <c r="CK318" s="252"/>
      <c r="CL318" s="252"/>
      <c r="CM318" s="259"/>
      <c r="CN318" s="252"/>
      <c r="CO318" s="252"/>
      <c r="CP318" s="252"/>
      <c r="CQ318" s="259"/>
      <c r="CR318" s="252"/>
      <c r="CS318" s="252"/>
      <c r="CT318" s="255"/>
      <c r="CU318" s="173"/>
      <c r="CV318" s="173"/>
      <c r="CW318" s="173"/>
      <c r="CX318" s="173"/>
      <c r="CY318" s="173"/>
      <c r="CZ318" s="173"/>
      <c r="DA318" s="173"/>
      <c r="DB318" s="173"/>
      <c r="DC318" s="173"/>
      <c r="DD318" s="173"/>
      <c r="DE318" s="173"/>
      <c r="DF318" s="173"/>
    </row>
    <row r="319" spans="1:110" s="174" customFormat="1" x14ac:dyDescent="0.2">
      <c r="A319" s="190"/>
      <c r="B319" s="172"/>
      <c r="D319" s="169"/>
      <c r="E319" s="169"/>
      <c r="F319" s="169"/>
      <c r="G319" s="244"/>
      <c r="H319" s="169"/>
      <c r="I319" s="295"/>
      <c r="J319" s="295"/>
      <c r="K319" s="169"/>
      <c r="L319" s="169"/>
      <c r="M319" s="169"/>
      <c r="N319" s="169"/>
      <c r="O319" s="169"/>
      <c r="P319" s="169"/>
      <c r="Q319" s="185"/>
      <c r="R319" s="190"/>
      <c r="AS319" s="161"/>
      <c r="BF319" s="162"/>
      <c r="BG319" s="162"/>
      <c r="BH319" s="163"/>
      <c r="BI319" s="163"/>
      <c r="BJ319" s="161"/>
      <c r="BK319" s="288"/>
      <c r="BL319" s="164"/>
      <c r="BM319" s="173"/>
      <c r="BN319" s="252"/>
      <c r="BO319" s="259"/>
      <c r="BP319" s="252"/>
      <c r="BQ319" s="252"/>
      <c r="BR319" s="252"/>
      <c r="BS319" s="259"/>
      <c r="BT319" s="252"/>
      <c r="BU319" s="252"/>
      <c r="BV319" s="252"/>
      <c r="BW319" s="259"/>
      <c r="BX319" s="252"/>
      <c r="BY319" s="252"/>
      <c r="BZ319" s="252"/>
      <c r="CA319" s="259"/>
      <c r="CB319" s="252"/>
      <c r="CC319" s="252"/>
      <c r="CD319" s="252"/>
      <c r="CE319" s="259"/>
      <c r="CF319" s="252"/>
      <c r="CG319" s="252"/>
      <c r="CH319" s="252"/>
      <c r="CI319" s="259"/>
      <c r="CJ319" s="252"/>
      <c r="CK319" s="252"/>
      <c r="CL319" s="252"/>
      <c r="CM319" s="259"/>
      <c r="CN319" s="252"/>
      <c r="CO319" s="252"/>
      <c r="CP319" s="252"/>
      <c r="CQ319" s="259"/>
      <c r="CR319" s="252"/>
      <c r="CS319" s="252"/>
      <c r="CT319" s="255"/>
      <c r="CU319" s="173"/>
      <c r="CV319" s="173"/>
      <c r="CW319" s="173"/>
      <c r="CX319" s="173"/>
      <c r="CY319" s="173"/>
      <c r="CZ319" s="173"/>
      <c r="DA319" s="173"/>
      <c r="DB319" s="173"/>
      <c r="DC319" s="173"/>
      <c r="DD319" s="173"/>
      <c r="DE319" s="173"/>
      <c r="DF319" s="173"/>
    </row>
    <row r="320" spans="1:110" s="174" customFormat="1" x14ac:dyDescent="0.2">
      <c r="A320" s="190"/>
      <c r="B320" s="172"/>
      <c r="D320" s="169"/>
      <c r="E320" s="169"/>
      <c r="F320" s="169"/>
      <c r="G320" s="244"/>
      <c r="H320" s="169"/>
      <c r="I320" s="295"/>
      <c r="J320" s="295"/>
      <c r="K320" s="169"/>
      <c r="L320" s="169"/>
      <c r="M320" s="169"/>
      <c r="N320" s="169"/>
      <c r="O320" s="169"/>
      <c r="P320" s="169"/>
      <c r="Q320" s="185"/>
      <c r="R320" s="190"/>
      <c r="AS320" s="161"/>
      <c r="BF320" s="162"/>
      <c r="BG320" s="162"/>
      <c r="BH320" s="163"/>
      <c r="BI320" s="163"/>
      <c r="BJ320" s="161"/>
      <c r="BK320" s="288"/>
      <c r="BL320" s="164"/>
      <c r="BM320" s="173"/>
      <c r="BN320" s="252"/>
      <c r="BO320" s="259"/>
      <c r="BP320" s="252"/>
      <c r="BQ320" s="252"/>
      <c r="BR320" s="252"/>
      <c r="BS320" s="259"/>
      <c r="BT320" s="252"/>
      <c r="BU320" s="252"/>
      <c r="BV320" s="252"/>
      <c r="BW320" s="259"/>
      <c r="BX320" s="252"/>
      <c r="BY320" s="252"/>
      <c r="BZ320" s="252"/>
      <c r="CA320" s="259"/>
      <c r="CB320" s="252"/>
      <c r="CC320" s="252"/>
      <c r="CD320" s="252"/>
      <c r="CE320" s="259"/>
      <c r="CF320" s="252"/>
      <c r="CG320" s="252"/>
      <c r="CH320" s="252"/>
      <c r="CI320" s="259"/>
      <c r="CJ320" s="252"/>
      <c r="CK320" s="252"/>
      <c r="CL320" s="252"/>
      <c r="CM320" s="259"/>
      <c r="CN320" s="252"/>
      <c r="CO320" s="252"/>
      <c r="CP320" s="252"/>
      <c r="CQ320" s="259"/>
      <c r="CR320" s="252"/>
      <c r="CS320" s="252"/>
      <c r="CT320" s="255"/>
      <c r="CU320" s="173"/>
      <c r="CV320" s="173"/>
      <c r="CW320" s="173"/>
      <c r="CX320" s="173"/>
      <c r="CY320" s="173"/>
      <c r="CZ320" s="173"/>
      <c r="DA320" s="173"/>
      <c r="DB320" s="173"/>
      <c r="DC320" s="173"/>
      <c r="DD320" s="173"/>
      <c r="DE320" s="173"/>
      <c r="DF320" s="173"/>
    </row>
    <row r="321" spans="1:110" s="174" customFormat="1" x14ac:dyDescent="0.2">
      <c r="A321" s="190"/>
      <c r="B321" s="172"/>
      <c r="D321" s="169"/>
      <c r="E321" s="169"/>
      <c r="F321" s="169"/>
      <c r="G321" s="244"/>
      <c r="H321" s="169"/>
      <c r="I321" s="295"/>
      <c r="J321" s="295"/>
      <c r="K321" s="169"/>
      <c r="L321" s="169"/>
      <c r="M321" s="169"/>
      <c r="N321" s="169"/>
      <c r="O321" s="169"/>
      <c r="P321" s="169"/>
      <c r="Q321" s="185"/>
      <c r="R321" s="190"/>
      <c r="AS321" s="161"/>
      <c r="BF321" s="162"/>
      <c r="BG321" s="162"/>
      <c r="BH321" s="163"/>
      <c r="BI321" s="163"/>
      <c r="BJ321" s="161"/>
      <c r="BK321" s="288"/>
      <c r="BL321" s="164"/>
      <c r="BM321" s="173"/>
      <c r="BN321" s="252"/>
      <c r="BO321" s="259"/>
      <c r="BP321" s="252"/>
      <c r="BQ321" s="252"/>
      <c r="BR321" s="252"/>
      <c r="BS321" s="259"/>
      <c r="BT321" s="252"/>
      <c r="BU321" s="252"/>
      <c r="BV321" s="252"/>
      <c r="BW321" s="259"/>
      <c r="BX321" s="252"/>
      <c r="BY321" s="252"/>
      <c r="BZ321" s="252"/>
      <c r="CA321" s="259"/>
      <c r="CB321" s="252"/>
      <c r="CC321" s="252"/>
      <c r="CD321" s="252"/>
      <c r="CE321" s="259"/>
      <c r="CF321" s="252"/>
      <c r="CG321" s="252"/>
      <c r="CH321" s="252"/>
      <c r="CI321" s="259"/>
      <c r="CJ321" s="252"/>
      <c r="CK321" s="252"/>
      <c r="CL321" s="252"/>
      <c r="CM321" s="259"/>
      <c r="CN321" s="252"/>
      <c r="CO321" s="252"/>
      <c r="CP321" s="252"/>
      <c r="CQ321" s="259"/>
      <c r="CR321" s="252"/>
      <c r="CS321" s="252"/>
      <c r="CT321" s="255"/>
      <c r="CU321" s="173"/>
      <c r="CV321" s="173"/>
      <c r="CW321" s="173"/>
      <c r="CX321" s="173"/>
      <c r="CY321" s="173"/>
      <c r="CZ321" s="173"/>
      <c r="DA321" s="173"/>
      <c r="DB321" s="173"/>
      <c r="DC321" s="173"/>
      <c r="DD321" s="173"/>
      <c r="DE321" s="173"/>
      <c r="DF321" s="173"/>
    </row>
    <row r="322" spans="1:110" s="174" customFormat="1" x14ac:dyDescent="0.2">
      <c r="A322" s="190"/>
      <c r="B322" s="172"/>
      <c r="D322" s="169"/>
      <c r="E322" s="169"/>
      <c r="F322" s="169"/>
      <c r="G322" s="244"/>
      <c r="H322" s="169"/>
      <c r="I322" s="295"/>
      <c r="J322" s="295"/>
      <c r="K322" s="169"/>
      <c r="L322" s="169"/>
      <c r="M322" s="169"/>
      <c r="N322" s="169"/>
      <c r="O322" s="169"/>
      <c r="P322" s="169"/>
      <c r="Q322" s="185"/>
      <c r="R322" s="190"/>
      <c r="AS322" s="161"/>
      <c r="BF322" s="162"/>
      <c r="BG322" s="162"/>
      <c r="BH322" s="163"/>
      <c r="BI322" s="163"/>
      <c r="BJ322" s="161"/>
      <c r="BK322" s="288"/>
      <c r="BL322" s="164"/>
      <c r="BM322" s="173"/>
      <c r="BN322" s="252"/>
      <c r="BO322" s="259"/>
      <c r="BP322" s="252"/>
      <c r="BQ322" s="252"/>
      <c r="BR322" s="252"/>
      <c r="BS322" s="259"/>
      <c r="BT322" s="252"/>
      <c r="BU322" s="252"/>
      <c r="BV322" s="252"/>
      <c r="BW322" s="259"/>
      <c r="BX322" s="252"/>
      <c r="BY322" s="252"/>
      <c r="BZ322" s="252"/>
      <c r="CA322" s="259"/>
      <c r="CB322" s="252"/>
      <c r="CC322" s="252"/>
      <c r="CD322" s="252"/>
      <c r="CE322" s="259"/>
      <c r="CF322" s="252"/>
      <c r="CG322" s="252"/>
      <c r="CH322" s="252"/>
      <c r="CI322" s="259"/>
      <c r="CJ322" s="252"/>
      <c r="CK322" s="252"/>
      <c r="CL322" s="252"/>
      <c r="CM322" s="259"/>
      <c r="CN322" s="252"/>
      <c r="CO322" s="252"/>
      <c r="CP322" s="252"/>
      <c r="CQ322" s="259"/>
      <c r="CR322" s="252"/>
      <c r="CS322" s="252"/>
      <c r="CT322" s="255"/>
      <c r="CU322" s="173"/>
      <c r="CV322" s="173"/>
      <c r="CW322" s="173"/>
      <c r="CX322" s="173"/>
      <c r="CY322" s="173"/>
      <c r="CZ322" s="173"/>
      <c r="DA322" s="173"/>
      <c r="DB322" s="173"/>
      <c r="DC322" s="173"/>
      <c r="DD322" s="173"/>
      <c r="DE322" s="173"/>
      <c r="DF322" s="173"/>
    </row>
    <row r="323" spans="1:110" s="174" customFormat="1" x14ac:dyDescent="0.2">
      <c r="A323" s="190"/>
      <c r="B323" s="172"/>
      <c r="D323" s="169"/>
      <c r="E323" s="169"/>
      <c r="F323" s="169"/>
      <c r="G323" s="244"/>
      <c r="H323" s="169"/>
      <c r="I323" s="295"/>
      <c r="J323" s="295"/>
      <c r="K323" s="169"/>
      <c r="L323" s="169"/>
      <c r="M323" s="169"/>
      <c r="N323" s="169"/>
      <c r="O323" s="169"/>
      <c r="P323" s="169"/>
      <c r="Q323" s="185"/>
      <c r="R323" s="190"/>
      <c r="AS323" s="161"/>
      <c r="BF323" s="162"/>
      <c r="BG323" s="162"/>
      <c r="BH323" s="163"/>
      <c r="BI323" s="163"/>
      <c r="BJ323" s="161"/>
      <c r="BK323" s="288"/>
      <c r="BL323" s="164"/>
      <c r="BM323" s="173"/>
      <c r="BN323" s="252"/>
      <c r="BO323" s="259"/>
      <c r="BP323" s="252"/>
      <c r="BQ323" s="252"/>
      <c r="BR323" s="252"/>
      <c r="BS323" s="259"/>
      <c r="BT323" s="252"/>
      <c r="BU323" s="252"/>
      <c r="BV323" s="252"/>
      <c r="BW323" s="259"/>
      <c r="BX323" s="252"/>
      <c r="BY323" s="252"/>
      <c r="BZ323" s="252"/>
      <c r="CA323" s="259"/>
      <c r="CB323" s="252"/>
      <c r="CC323" s="252"/>
      <c r="CD323" s="252"/>
      <c r="CE323" s="259"/>
      <c r="CF323" s="252"/>
      <c r="CG323" s="252"/>
      <c r="CH323" s="252"/>
      <c r="CI323" s="259"/>
      <c r="CJ323" s="252"/>
      <c r="CK323" s="252"/>
      <c r="CL323" s="252"/>
      <c r="CM323" s="259"/>
      <c r="CN323" s="252"/>
      <c r="CO323" s="252"/>
      <c r="CP323" s="252"/>
      <c r="CQ323" s="259"/>
      <c r="CR323" s="252"/>
      <c r="CS323" s="252"/>
      <c r="CT323" s="255"/>
      <c r="CU323" s="173"/>
      <c r="CV323" s="173"/>
      <c r="CW323" s="173"/>
      <c r="CX323" s="173"/>
      <c r="CY323" s="173"/>
      <c r="CZ323" s="173"/>
      <c r="DA323" s="173"/>
      <c r="DB323" s="173"/>
      <c r="DC323" s="173"/>
      <c r="DD323" s="173"/>
      <c r="DE323" s="173"/>
      <c r="DF323" s="173"/>
    </row>
    <row r="324" spans="1:110" s="174" customFormat="1" x14ac:dyDescent="0.2">
      <c r="A324" s="190"/>
      <c r="B324" s="172"/>
      <c r="D324" s="169"/>
      <c r="E324" s="169"/>
      <c r="F324" s="169"/>
      <c r="G324" s="244"/>
      <c r="H324" s="169"/>
      <c r="I324" s="295"/>
      <c r="J324" s="295"/>
      <c r="K324" s="169"/>
      <c r="L324" s="169"/>
      <c r="M324" s="169"/>
      <c r="N324" s="169"/>
      <c r="O324" s="169"/>
      <c r="P324" s="169"/>
      <c r="Q324" s="185"/>
      <c r="R324" s="190"/>
      <c r="AS324" s="161"/>
      <c r="BF324" s="162"/>
      <c r="BG324" s="162"/>
      <c r="BH324" s="163"/>
      <c r="BI324" s="163"/>
      <c r="BJ324" s="161"/>
      <c r="BK324" s="288"/>
      <c r="BL324" s="164"/>
      <c r="BM324" s="173"/>
      <c r="BN324" s="252"/>
      <c r="BO324" s="259"/>
      <c r="BP324" s="252"/>
      <c r="BQ324" s="252"/>
      <c r="BR324" s="252"/>
      <c r="BS324" s="259"/>
      <c r="BT324" s="252"/>
      <c r="BU324" s="252"/>
      <c r="BV324" s="252"/>
      <c r="BW324" s="259"/>
      <c r="BX324" s="252"/>
      <c r="BY324" s="252"/>
      <c r="BZ324" s="252"/>
      <c r="CA324" s="259"/>
      <c r="CB324" s="252"/>
      <c r="CC324" s="252"/>
      <c r="CD324" s="252"/>
      <c r="CE324" s="259"/>
      <c r="CF324" s="252"/>
      <c r="CG324" s="252"/>
      <c r="CH324" s="252"/>
      <c r="CI324" s="259"/>
      <c r="CJ324" s="252"/>
      <c r="CK324" s="252"/>
      <c r="CL324" s="252"/>
      <c r="CM324" s="259"/>
      <c r="CN324" s="252"/>
      <c r="CO324" s="252"/>
      <c r="CP324" s="252"/>
      <c r="CQ324" s="259"/>
      <c r="CR324" s="252"/>
      <c r="CS324" s="252"/>
      <c r="CT324" s="255"/>
      <c r="CU324" s="173"/>
      <c r="CV324" s="173"/>
      <c r="CW324" s="173"/>
      <c r="CX324" s="173"/>
      <c r="CY324" s="173"/>
      <c r="CZ324" s="173"/>
      <c r="DA324" s="173"/>
      <c r="DB324" s="173"/>
      <c r="DC324" s="173"/>
      <c r="DD324" s="173"/>
      <c r="DE324" s="173"/>
      <c r="DF324" s="173"/>
    </row>
    <row r="325" spans="1:110" s="174" customFormat="1" x14ac:dyDescent="0.2">
      <c r="A325" s="190"/>
      <c r="B325" s="172"/>
      <c r="D325" s="169"/>
      <c r="E325" s="169"/>
      <c r="F325" s="169"/>
      <c r="G325" s="244"/>
      <c r="H325" s="169"/>
      <c r="I325" s="295"/>
      <c r="J325" s="295"/>
      <c r="K325" s="169"/>
      <c r="L325" s="169"/>
      <c r="M325" s="169"/>
      <c r="N325" s="169"/>
      <c r="O325" s="169"/>
      <c r="P325" s="169"/>
      <c r="Q325" s="185"/>
      <c r="R325" s="190"/>
      <c r="AS325" s="161"/>
      <c r="BF325" s="162"/>
      <c r="BG325" s="162"/>
      <c r="BH325" s="163"/>
      <c r="BI325" s="163"/>
      <c r="BJ325" s="161"/>
      <c r="BK325" s="288"/>
      <c r="BL325" s="164"/>
      <c r="BM325" s="173"/>
      <c r="BN325" s="252"/>
      <c r="BO325" s="259"/>
      <c r="BP325" s="252"/>
      <c r="BQ325" s="252"/>
      <c r="BR325" s="252"/>
      <c r="BS325" s="259"/>
      <c r="BT325" s="252"/>
      <c r="BU325" s="252"/>
      <c r="BV325" s="252"/>
      <c r="BW325" s="259"/>
      <c r="BX325" s="252"/>
      <c r="BY325" s="252"/>
      <c r="BZ325" s="252"/>
      <c r="CA325" s="259"/>
      <c r="CB325" s="252"/>
      <c r="CC325" s="252"/>
      <c r="CD325" s="252"/>
      <c r="CE325" s="259"/>
      <c r="CF325" s="252"/>
      <c r="CG325" s="252"/>
      <c r="CH325" s="252"/>
      <c r="CI325" s="259"/>
      <c r="CJ325" s="252"/>
      <c r="CK325" s="252"/>
      <c r="CL325" s="252"/>
      <c r="CM325" s="259"/>
      <c r="CN325" s="252"/>
      <c r="CO325" s="252"/>
      <c r="CP325" s="252"/>
      <c r="CQ325" s="259"/>
      <c r="CR325" s="252"/>
      <c r="CS325" s="252"/>
      <c r="CT325" s="255"/>
      <c r="CU325" s="173"/>
      <c r="CV325" s="173"/>
      <c r="CW325" s="173"/>
      <c r="CX325" s="173"/>
      <c r="CY325" s="173"/>
      <c r="CZ325" s="173"/>
      <c r="DA325" s="173"/>
      <c r="DB325" s="173"/>
      <c r="DC325" s="173"/>
      <c r="DD325" s="173"/>
      <c r="DE325" s="173"/>
      <c r="DF325" s="173"/>
    </row>
    <row r="326" spans="1:110" s="174" customFormat="1" x14ac:dyDescent="0.2">
      <c r="A326" s="190"/>
      <c r="B326" s="172"/>
      <c r="D326" s="169"/>
      <c r="E326" s="169"/>
      <c r="F326" s="169"/>
      <c r="G326" s="244"/>
      <c r="H326" s="169"/>
      <c r="I326" s="295"/>
      <c r="J326" s="295"/>
      <c r="K326" s="169"/>
      <c r="L326" s="169"/>
      <c r="M326" s="169"/>
      <c r="N326" s="169"/>
      <c r="O326" s="169"/>
      <c r="P326" s="169"/>
      <c r="Q326" s="185"/>
      <c r="R326" s="190"/>
      <c r="AS326" s="161"/>
      <c r="BF326" s="162"/>
      <c r="BG326" s="162"/>
      <c r="BH326" s="163"/>
      <c r="BI326" s="163"/>
      <c r="BJ326" s="161"/>
      <c r="BK326" s="288"/>
      <c r="BL326" s="164"/>
      <c r="BM326" s="173"/>
      <c r="BN326" s="252"/>
      <c r="BO326" s="259"/>
      <c r="BP326" s="252"/>
      <c r="BQ326" s="252"/>
      <c r="BR326" s="252"/>
      <c r="BS326" s="259"/>
      <c r="BT326" s="252"/>
      <c r="BU326" s="252"/>
      <c r="BV326" s="252"/>
      <c r="BW326" s="259"/>
      <c r="BX326" s="252"/>
      <c r="BY326" s="252"/>
      <c r="BZ326" s="252"/>
      <c r="CA326" s="259"/>
      <c r="CB326" s="252"/>
      <c r="CC326" s="252"/>
      <c r="CD326" s="252"/>
      <c r="CE326" s="259"/>
      <c r="CF326" s="252"/>
      <c r="CG326" s="252"/>
      <c r="CH326" s="252"/>
      <c r="CI326" s="259"/>
      <c r="CJ326" s="252"/>
      <c r="CK326" s="252"/>
      <c r="CL326" s="252"/>
      <c r="CM326" s="259"/>
      <c r="CN326" s="252"/>
      <c r="CO326" s="252"/>
      <c r="CP326" s="252"/>
      <c r="CQ326" s="259"/>
      <c r="CR326" s="252"/>
      <c r="CS326" s="252"/>
      <c r="CT326" s="255"/>
      <c r="CU326" s="173"/>
      <c r="CV326" s="173"/>
      <c r="CW326" s="173"/>
      <c r="CX326" s="173"/>
      <c r="CY326" s="173"/>
      <c r="CZ326" s="173"/>
      <c r="DA326" s="173"/>
      <c r="DB326" s="173"/>
      <c r="DC326" s="173"/>
      <c r="DD326" s="173"/>
      <c r="DE326" s="173"/>
      <c r="DF326" s="173"/>
    </row>
    <row r="327" spans="1:110" s="174" customFormat="1" x14ac:dyDescent="0.2">
      <c r="A327" s="190"/>
      <c r="B327" s="172"/>
      <c r="D327" s="169"/>
      <c r="E327" s="169"/>
      <c r="F327" s="169"/>
      <c r="G327" s="244"/>
      <c r="H327" s="169"/>
      <c r="I327" s="295"/>
      <c r="J327" s="295"/>
      <c r="K327" s="169"/>
      <c r="L327" s="169"/>
      <c r="M327" s="169"/>
      <c r="N327" s="169"/>
      <c r="O327" s="169"/>
      <c r="P327" s="169"/>
      <c r="Q327" s="185"/>
      <c r="R327" s="190"/>
      <c r="AS327" s="161"/>
      <c r="BF327" s="162"/>
      <c r="BG327" s="162"/>
      <c r="BH327" s="163"/>
      <c r="BI327" s="163"/>
      <c r="BJ327" s="161"/>
      <c r="BK327" s="288"/>
      <c r="BL327" s="164"/>
      <c r="BM327" s="173"/>
      <c r="BN327" s="252"/>
      <c r="BO327" s="259"/>
      <c r="BP327" s="252"/>
      <c r="BQ327" s="252"/>
      <c r="BR327" s="252"/>
      <c r="BS327" s="259"/>
      <c r="BT327" s="252"/>
      <c r="BU327" s="252"/>
      <c r="BV327" s="252"/>
      <c r="BW327" s="259"/>
      <c r="BX327" s="252"/>
      <c r="BY327" s="252"/>
      <c r="BZ327" s="252"/>
      <c r="CA327" s="259"/>
      <c r="CB327" s="252"/>
      <c r="CC327" s="252"/>
      <c r="CD327" s="252"/>
      <c r="CE327" s="259"/>
      <c r="CF327" s="252"/>
      <c r="CG327" s="252"/>
      <c r="CH327" s="252"/>
      <c r="CI327" s="259"/>
      <c r="CJ327" s="252"/>
      <c r="CK327" s="252"/>
      <c r="CL327" s="252"/>
      <c r="CM327" s="259"/>
      <c r="CN327" s="252"/>
      <c r="CO327" s="252"/>
      <c r="CP327" s="252"/>
      <c r="CQ327" s="259"/>
      <c r="CR327" s="252"/>
      <c r="CS327" s="252"/>
      <c r="CT327" s="255"/>
      <c r="CU327" s="173"/>
      <c r="CV327" s="173"/>
      <c r="CW327" s="173"/>
      <c r="CX327" s="173"/>
      <c r="CY327" s="173"/>
      <c r="CZ327" s="173"/>
      <c r="DA327" s="173"/>
      <c r="DB327" s="173"/>
      <c r="DC327" s="173"/>
      <c r="DD327" s="173"/>
      <c r="DE327" s="173"/>
      <c r="DF327" s="173"/>
    </row>
    <row r="328" spans="1:110" s="174" customFormat="1" x14ac:dyDescent="0.2">
      <c r="A328" s="190"/>
      <c r="B328" s="172"/>
      <c r="D328" s="169"/>
      <c r="E328" s="169"/>
      <c r="F328" s="169"/>
      <c r="G328" s="244"/>
      <c r="H328" s="169"/>
      <c r="I328" s="295"/>
      <c r="J328" s="295"/>
      <c r="K328" s="169"/>
      <c r="L328" s="169"/>
      <c r="M328" s="169"/>
      <c r="N328" s="169"/>
      <c r="O328" s="169"/>
      <c r="P328" s="169"/>
      <c r="Q328" s="185"/>
      <c r="R328" s="190"/>
      <c r="AS328" s="161"/>
      <c r="BF328" s="162"/>
      <c r="BG328" s="162"/>
      <c r="BH328" s="163"/>
      <c r="BI328" s="163"/>
      <c r="BJ328" s="161"/>
      <c r="BK328" s="288"/>
      <c r="BL328" s="164"/>
      <c r="BM328" s="173"/>
      <c r="BN328" s="252"/>
      <c r="BO328" s="259"/>
      <c r="BP328" s="252"/>
      <c r="BQ328" s="252"/>
      <c r="BR328" s="252"/>
      <c r="BS328" s="259"/>
      <c r="BT328" s="252"/>
      <c r="BU328" s="252"/>
      <c r="BV328" s="252"/>
      <c r="BW328" s="259"/>
      <c r="BX328" s="252"/>
      <c r="BY328" s="252"/>
      <c r="BZ328" s="252"/>
      <c r="CA328" s="259"/>
      <c r="CB328" s="252"/>
      <c r="CC328" s="252"/>
      <c r="CD328" s="252"/>
      <c r="CE328" s="259"/>
      <c r="CF328" s="252"/>
      <c r="CG328" s="252"/>
      <c r="CH328" s="252"/>
      <c r="CI328" s="259"/>
      <c r="CJ328" s="252"/>
      <c r="CK328" s="252"/>
      <c r="CL328" s="252"/>
      <c r="CM328" s="259"/>
      <c r="CN328" s="252"/>
      <c r="CO328" s="252"/>
      <c r="CP328" s="252"/>
      <c r="CQ328" s="259"/>
      <c r="CR328" s="252"/>
      <c r="CS328" s="252"/>
      <c r="CT328" s="255"/>
      <c r="CU328" s="173"/>
      <c r="CV328" s="173"/>
      <c r="CW328" s="173"/>
      <c r="CX328" s="173"/>
      <c r="CY328" s="173"/>
      <c r="CZ328" s="173"/>
      <c r="DA328" s="173"/>
      <c r="DB328" s="173"/>
      <c r="DC328" s="173"/>
      <c r="DD328" s="173"/>
      <c r="DE328" s="173"/>
      <c r="DF328" s="173"/>
    </row>
    <row r="329" spans="1:110" s="174" customFormat="1" x14ac:dyDescent="0.2">
      <c r="A329" s="190"/>
      <c r="B329" s="172"/>
      <c r="D329" s="169"/>
      <c r="E329" s="169"/>
      <c r="F329" s="169"/>
      <c r="G329" s="244"/>
      <c r="H329" s="169"/>
      <c r="I329" s="295"/>
      <c r="J329" s="295"/>
      <c r="K329" s="169"/>
      <c r="L329" s="169"/>
      <c r="M329" s="169"/>
      <c r="N329" s="169"/>
      <c r="O329" s="169"/>
      <c r="P329" s="169"/>
      <c r="Q329" s="185"/>
      <c r="R329" s="190"/>
      <c r="AS329" s="161"/>
      <c r="BF329" s="162"/>
      <c r="BG329" s="162"/>
      <c r="BH329" s="163"/>
      <c r="BI329" s="163"/>
      <c r="BJ329" s="161"/>
      <c r="BK329" s="288"/>
      <c r="BL329" s="164"/>
      <c r="BM329" s="173"/>
      <c r="BN329" s="252"/>
      <c r="BO329" s="259"/>
      <c r="BP329" s="252"/>
      <c r="BQ329" s="252"/>
      <c r="BR329" s="252"/>
      <c r="BS329" s="259"/>
      <c r="BT329" s="252"/>
      <c r="BU329" s="252"/>
      <c r="BV329" s="252"/>
      <c r="BW329" s="259"/>
      <c r="BX329" s="252"/>
      <c r="BY329" s="252"/>
      <c r="BZ329" s="252"/>
      <c r="CA329" s="259"/>
      <c r="CB329" s="252"/>
      <c r="CC329" s="252"/>
      <c r="CD329" s="252"/>
      <c r="CE329" s="259"/>
      <c r="CF329" s="252"/>
      <c r="CG329" s="252"/>
      <c r="CH329" s="252"/>
      <c r="CI329" s="259"/>
      <c r="CJ329" s="252"/>
      <c r="CK329" s="252"/>
      <c r="CL329" s="252"/>
      <c r="CM329" s="259"/>
      <c r="CN329" s="252"/>
      <c r="CO329" s="252"/>
      <c r="CP329" s="252"/>
      <c r="CQ329" s="259"/>
      <c r="CR329" s="252"/>
      <c r="CS329" s="252"/>
      <c r="CT329" s="255"/>
      <c r="CU329" s="173"/>
      <c r="CV329" s="173"/>
      <c r="CW329" s="173"/>
      <c r="CX329" s="173"/>
      <c r="CY329" s="173"/>
      <c r="CZ329" s="173"/>
      <c r="DA329" s="173"/>
      <c r="DB329" s="173"/>
      <c r="DC329" s="173"/>
      <c r="DD329" s="173"/>
      <c r="DE329" s="173"/>
      <c r="DF329" s="173"/>
    </row>
    <row r="330" spans="1:110" s="174" customFormat="1" x14ac:dyDescent="0.2">
      <c r="A330" s="190"/>
      <c r="B330" s="172"/>
      <c r="D330" s="169"/>
      <c r="E330" s="169"/>
      <c r="F330" s="169"/>
      <c r="G330" s="244"/>
      <c r="H330" s="169"/>
      <c r="I330" s="295"/>
      <c r="J330" s="295"/>
      <c r="K330" s="169"/>
      <c r="L330" s="169"/>
      <c r="M330" s="169"/>
      <c r="N330" s="169"/>
      <c r="O330" s="169"/>
      <c r="P330" s="169"/>
      <c r="Q330" s="185"/>
      <c r="R330" s="190"/>
      <c r="AS330" s="161"/>
      <c r="BF330" s="162"/>
      <c r="BG330" s="162"/>
      <c r="BH330" s="163"/>
      <c r="BI330" s="163"/>
      <c r="BJ330" s="161"/>
      <c r="BK330" s="288"/>
      <c r="BL330" s="164"/>
      <c r="BM330" s="173"/>
      <c r="BN330" s="252"/>
      <c r="BO330" s="259"/>
      <c r="BP330" s="252"/>
      <c r="BQ330" s="252"/>
      <c r="BR330" s="252"/>
      <c r="BS330" s="259"/>
      <c r="BT330" s="252"/>
      <c r="BU330" s="252"/>
      <c r="BV330" s="252"/>
      <c r="BW330" s="259"/>
      <c r="BX330" s="252"/>
      <c r="BY330" s="252"/>
      <c r="BZ330" s="252"/>
      <c r="CA330" s="259"/>
      <c r="CB330" s="252"/>
      <c r="CC330" s="252"/>
      <c r="CD330" s="252"/>
      <c r="CE330" s="259"/>
      <c r="CF330" s="252"/>
      <c r="CG330" s="252"/>
      <c r="CH330" s="252"/>
      <c r="CI330" s="259"/>
      <c r="CJ330" s="252"/>
      <c r="CK330" s="252"/>
      <c r="CL330" s="252"/>
      <c r="CM330" s="259"/>
      <c r="CN330" s="252"/>
      <c r="CO330" s="252"/>
      <c r="CP330" s="252"/>
      <c r="CQ330" s="259"/>
      <c r="CR330" s="252"/>
      <c r="CS330" s="252"/>
      <c r="CT330" s="255"/>
      <c r="CU330" s="173"/>
      <c r="CV330" s="173"/>
      <c r="CW330" s="173"/>
      <c r="CX330" s="173"/>
      <c r="CY330" s="173"/>
      <c r="CZ330" s="173"/>
      <c r="DA330" s="173"/>
      <c r="DB330" s="173"/>
      <c r="DC330" s="173"/>
      <c r="DD330" s="173"/>
      <c r="DE330" s="173"/>
      <c r="DF330" s="173"/>
    </row>
    <row r="331" spans="1:110" s="174" customFormat="1" x14ac:dyDescent="0.2">
      <c r="A331" s="190"/>
      <c r="B331" s="172"/>
      <c r="D331" s="169"/>
      <c r="E331" s="169"/>
      <c r="F331" s="169"/>
      <c r="G331" s="244"/>
      <c r="H331" s="169"/>
      <c r="I331" s="295"/>
      <c r="J331" s="295"/>
      <c r="K331" s="169"/>
      <c r="L331" s="169"/>
      <c r="M331" s="169"/>
      <c r="N331" s="169"/>
      <c r="O331" s="169"/>
      <c r="P331" s="169"/>
      <c r="Q331" s="185"/>
      <c r="R331" s="190"/>
      <c r="AS331" s="161"/>
      <c r="BF331" s="162"/>
      <c r="BG331" s="162"/>
      <c r="BH331" s="163"/>
      <c r="BI331" s="163"/>
      <c r="BJ331" s="161"/>
      <c r="BK331" s="288"/>
      <c r="BL331" s="164"/>
      <c r="BM331" s="173"/>
      <c r="BN331" s="252"/>
      <c r="BO331" s="259"/>
      <c r="BP331" s="252"/>
      <c r="BQ331" s="252"/>
      <c r="BR331" s="252"/>
      <c r="BS331" s="259"/>
      <c r="BT331" s="252"/>
      <c r="BU331" s="252"/>
      <c r="BV331" s="252"/>
      <c r="BW331" s="259"/>
      <c r="BX331" s="252"/>
      <c r="BY331" s="252"/>
      <c r="BZ331" s="252"/>
      <c r="CA331" s="259"/>
      <c r="CB331" s="252"/>
      <c r="CC331" s="252"/>
      <c r="CD331" s="252"/>
      <c r="CE331" s="259"/>
      <c r="CF331" s="252"/>
      <c r="CG331" s="252"/>
      <c r="CH331" s="252"/>
      <c r="CI331" s="259"/>
      <c r="CJ331" s="252"/>
      <c r="CK331" s="252"/>
      <c r="CL331" s="252"/>
      <c r="CM331" s="259"/>
      <c r="CN331" s="252"/>
      <c r="CO331" s="252"/>
      <c r="CP331" s="252"/>
      <c r="CQ331" s="259"/>
      <c r="CR331" s="252"/>
      <c r="CS331" s="252"/>
      <c r="CT331" s="255"/>
      <c r="CU331" s="173"/>
      <c r="CV331" s="173"/>
      <c r="CW331" s="173"/>
      <c r="CX331" s="173"/>
      <c r="CY331" s="173"/>
      <c r="CZ331" s="173"/>
      <c r="DA331" s="173"/>
      <c r="DB331" s="173"/>
      <c r="DC331" s="173"/>
      <c r="DD331" s="173"/>
      <c r="DE331" s="173"/>
      <c r="DF331" s="173"/>
    </row>
    <row r="332" spans="1:110" s="174" customFormat="1" x14ac:dyDescent="0.2">
      <c r="A332" s="190"/>
      <c r="B332" s="172"/>
      <c r="D332" s="169"/>
      <c r="E332" s="169"/>
      <c r="F332" s="169"/>
      <c r="G332" s="244"/>
      <c r="H332" s="169"/>
      <c r="I332" s="295"/>
      <c r="J332" s="295"/>
      <c r="K332" s="169"/>
      <c r="L332" s="169"/>
      <c r="M332" s="169"/>
      <c r="N332" s="169"/>
      <c r="O332" s="169"/>
      <c r="P332" s="169"/>
      <c r="Q332" s="185"/>
      <c r="R332" s="190"/>
      <c r="AS332" s="161"/>
      <c r="BF332" s="162"/>
      <c r="BG332" s="162"/>
      <c r="BH332" s="163"/>
      <c r="BI332" s="163"/>
      <c r="BJ332" s="161"/>
      <c r="BK332" s="288"/>
      <c r="BL332" s="164"/>
      <c r="BM332" s="173"/>
      <c r="BN332" s="252"/>
      <c r="BO332" s="259"/>
      <c r="BP332" s="252"/>
      <c r="BQ332" s="252"/>
      <c r="BR332" s="252"/>
      <c r="BS332" s="259"/>
      <c r="BT332" s="252"/>
      <c r="BU332" s="252"/>
      <c r="BV332" s="252"/>
      <c r="BW332" s="259"/>
      <c r="BX332" s="252"/>
      <c r="BY332" s="252"/>
      <c r="BZ332" s="252"/>
      <c r="CA332" s="259"/>
      <c r="CB332" s="252"/>
      <c r="CC332" s="252"/>
      <c r="CD332" s="252"/>
      <c r="CE332" s="259"/>
      <c r="CF332" s="252"/>
      <c r="CG332" s="252"/>
      <c r="CH332" s="252"/>
      <c r="CI332" s="259"/>
      <c r="CJ332" s="252"/>
      <c r="CK332" s="252"/>
      <c r="CL332" s="252"/>
      <c r="CM332" s="259"/>
      <c r="CN332" s="252"/>
      <c r="CO332" s="252"/>
      <c r="CP332" s="252"/>
      <c r="CQ332" s="259"/>
      <c r="CR332" s="252"/>
      <c r="CS332" s="252"/>
      <c r="CT332" s="255"/>
      <c r="CU332" s="173"/>
      <c r="CV332" s="173"/>
      <c r="CW332" s="173"/>
      <c r="CX332" s="173"/>
      <c r="CY332" s="173"/>
      <c r="CZ332" s="173"/>
      <c r="DA332" s="173"/>
      <c r="DB332" s="173"/>
      <c r="DC332" s="173"/>
      <c r="DD332" s="173"/>
      <c r="DE332" s="173"/>
      <c r="DF332" s="173"/>
    </row>
    <row r="333" spans="1:110" s="174" customFormat="1" x14ac:dyDescent="0.2">
      <c r="A333" s="190"/>
      <c r="B333" s="172"/>
      <c r="D333" s="169"/>
      <c r="E333" s="169"/>
      <c r="F333" s="169"/>
      <c r="G333" s="244"/>
      <c r="H333" s="169"/>
      <c r="I333" s="295"/>
      <c r="J333" s="295"/>
      <c r="K333" s="169"/>
      <c r="L333" s="169"/>
      <c r="M333" s="169"/>
      <c r="N333" s="169"/>
      <c r="O333" s="169"/>
      <c r="P333" s="169"/>
      <c r="Q333" s="185"/>
      <c r="R333" s="190"/>
      <c r="AS333" s="161"/>
      <c r="BF333" s="162"/>
      <c r="BG333" s="162"/>
      <c r="BH333" s="163"/>
      <c r="BI333" s="163"/>
      <c r="BJ333" s="161"/>
      <c r="BK333" s="288"/>
      <c r="BL333" s="164"/>
      <c r="BM333" s="173"/>
      <c r="BN333" s="252"/>
      <c r="BO333" s="259"/>
      <c r="BP333" s="252"/>
      <c r="BQ333" s="252"/>
      <c r="BR333" s="252"/>
      <c r="BS333" s="259"/>
      <c r="BT333" s="252"/>
      <c r="BU333" s="252"/>
      <c r="BV333" s="252"/>
      <c r="BW333" s="259"/>
      <c r="BX333" s="252"/>
      <c r="BY333" s="252"/>
      <c r="BZ333" s="252"/>
      <c r="CA333" s="259"/>
      <c r="CB333" s="252"/>
      <c r="CC333" s="252"/>
      <c r="CD333" s="252"/>
      <c r="CE333" s="259"/>
      <c r="CF333" s="252"/>
      <c r="CG333" s="252"/>
      <c r="CH333" s="252"/>
      <c r="CI333" s="259"/>
      <c r="CJ333" s="252"/>
      <c r="CK333" s="252"/>
      <c r="CL333" s="252"/>
      <c r="CM333" s="259"/>
      <c r="CN333" s="252"/>
      <c r="CO333" s="252"/>
      <c r="CP333" s="252"/>
      <c r="CQ333" s="259"/>
      <c r="CR333" s="252"/>
      <c r="CS333" s="252"/>
      <c r="CT333" s="255"/>
      <c r="CU333" s="173"/>
      <c r="CV333" s="173"/>
      <c r="CW333" s="173"/>
      <c r="CX333" s="173"/>
      <c r="CY333" s="173"/>
      <c r="CZ333" s="173"/>
      <c r="DA333" s="173"/>
      <c r="DB333" s="173"/>
      <c r="DC333" s="173"/>
      <c r="DD333" s="173"/>
      <c r="DE333" s="173"/>
      <c r="DF333" s="173"/>
    </row>
    <row r="334" spans="1:110" s="174" customFormat="1" x14ac:dyDescent="0.2">
      <c r="A334" s="190"/>
      <c r="B334" s="172"/>
      <c r="D334" s="169"/>
      <c r="E334" s="169"/>
      <c r="F334" s="169"/>
      <c r="G334" s="244"/>
      <c r="H334" s="169"/>
      <c r="I334" s="295"/>
      <c r="J334" s="295"/>
      <c r="K334" s="169"/>
      <c r="L334" s="169"/>
      <c r="M334" s="169"/>
      <c r="N334" s="169"/>
      <c r="O334" s="169"/>
      <c r="P334" s="169"/>
      <c r="Q334" s="185"/>
      <c r="R334" s="190"/>
      <c r="AS334" s="161"/>
      <c r="BF334" s="162"/>
      <c r="BG334" s="162"/>
      <c r="BH334" s="163"/>
      <c r="BI334" s="163"/>
      <c r="BJ334" s="161"/>
      <c r="BK334" s="288"/>
      <c r="BL334" s="164"/>
      <c r="BM334" s="173"/>
      <c r="BN334" s="252"/>
      <c r="BO334" s="259"/>
      <c r="BP334" s="252"/>
      <c r="BQ334" s="252"/>
      <c r="BR334" s="252"/>
      <c r="BS334" s="259"/>
      <c r="BT334" s="252"/>
      <c r="BU334" s="252"/>
      <c r="BV334" s="252"/>
      <c r="BW334" s="259"/>
      <c r="BX334" s="252"/>
      <c r="BY334" s="252"/>
      <c r="BZ334" s="252"/>
      <c r="CA334" s="259"/>
      <c r="CB334" s="252"/>
      <c r="CC334" s="252"/>
      <c r="CD334" s="252"/>
      <c r="CE334" s="259"/>
      <c r="CF334" s="252"/>
      <c r="CG334" s="252"/>
      <c r="CH334" s="252"/>
      <c r="CI334" s="259"/>
      <c r="CJ334" s="252"/>
      <c r="CK334" s="252"/>
      <c r="CL334" s="252"/>
      <c r="CM334" s="259"/>
      <c r="CN334" s="252"/>
      <c r="CO334" s="252"/>
      <c r="CP334" s="252"/>
      <c r="CQ334" s="259"/>
      <c r="CR334" s="252"/>
      <c r="CS334" s="252"/>
      <c r="CT334" s="255"/>
      <c r="CU334" s="173"/>
      <c r="CV334" s="173"/>
      <c r="CW334" s="173"/>
      <c r="CX334" s="173"/>
      <c r="CY334" s="173"/>
      <c r="CZ334" s="173"/>
      <c r="DA334" s="173"/>
      <c r="DB334" s="173"/>
      <c r="DC334" s="173"/>
      <c r="DD334" s="173"/>
      <c r="DE334" s="173"/>
      <c r="DF334" s="173"/>
    </row>
    <row r="335" spans="1:110" s="174" customFormat="1" x14ac:dyDescent="0.2">
      <c r="A335" s="190"/>
      <c r="B335" s="172"/>
      <c r="D335" s="169"/>
      <c r="E335" s="169"/>
      <c r="F335" s="169"/>
      <c r="G335" s="244"/>
      <c r="H335" s="169"/>
      <c r="I335" s="295"/>
      <c r="J335" s="295"/>
      <c r="K335" s="169"/>
      <c r="L335" s="169"/>
      <c r="M335" s="169"/>
      <c r="N335" s="169"/>
      <c r="O335" s="169"/>
      <c r="P335" s="169"/>
      <c r="Q335" s="185"/>
      <c r="R335" s="190"/>
      <c r="AS335" s="161"/>
      <c r="BF335" s="162"/>
      <c r="BG335" s="162"/>
      <c r="BH335" s="163"/>
      <c r="BI335" s="163"/>
      <c r="BJ335" s="161"/>
      <c r="BK335" s="288"/>
      <c r="BL335" s="164"/>
      <c r="BM335" s="173"/>
      <c r="BN335" s="252"/>
      <c r="BO335" s="259"/>
      <c r="BP335" s="252"/>
      <c r="BQ335" s="252"/>
      <c r="BR335" s="252"/>
      <c r="BS335" s="259"/>
      <c r="BT335" s="252"/>
      <c r="BU335" s="252"/>
      <c r="BV335" s="252"/>
      <c r="BW335" s="259"/>
      <c r="BX335" s="252"/>
      <c r="BY335" s="252"/>
      <c r="BZ335" s="252"/>
      <c r="CA335" s="259"/>
      <c r="CB335" s="252"/>
      <c r="CC335" s="252"/>
      <c r="CD335" s="252"/>
      <c r="CE335" s="259"/>
      <c r="CF335" s="252"/>
      <c r="CG335" s="252"/>
      <c r="CH335" s="252"/>
      <c r="CI335" s="259"/>
      <c r="CJ335" s="252"/>
      <c r="CK335" s="252"/>
      <c r="CL335" s="252"/>
      <c r="CM335" s="259"/>
      <c r="CN335" s="252"/>
      <c r="CO335" s="252"/>
      <c r="CP335" s="252"/>
      <c r="CQ335" s="259"/>
      <c r="CR335" s="252"/>
      <c r="CS335" s="252"/>
      <c r="CT335" s="255"/>
      <c r="CU335" s="173"/>
      <c r="CV335" s="173"/>
      <c r="CW335" s="173"/>
      <c r="CX335" s="173"/>
      <c r="CY335" s="173"/>
      <c r="CZ335" s="173"/>
      <c r="DA335" s="173"/>
      <c r="DB335" s="173"/>
      <c r="DC335" s="173"/>
      <c r="DD335" s="173"/>
      <c r="DE335" s="173"/>
      <c r="DF335" s="173"/>
    </row>
    <row r="336" spans="1:110" s="174" customFormat="1" x14ac:dyDescent="0.2">
      <c r="A336" s="190"/>
      <c r="B336" s="172"/>
      <c r="D336" s="169"/>
      <c r="E336" s="169"/>
      <c r="F336" s="169"/>
      <c r="G336" s="244"/>
      <c r="H336" s="169"/>
      <c r="I336" s="295"/>
      <c r="J336" s="295"/>
      <c r="K336" s="169"/>
      <c r="L336" s="169"/>
      <c r="M336" s="169"/>
      <c r="N336" s="169"/>
      <c r="O336" s="169"/>
      <c r="P336" s="169"/>
      <c r="Q336" s="185"/>
      <c r="R336" s="190"/>
      <c r="AS336" s="161"/>
      <c r="BF336" s="162"/>
      <c r="BG336" s="162"/>
      <c r="BH336" s="163"/>
      <c r="BI336" s="163"/>
      <c r="BJ336" s="161"/>
      <c r="BK336" s="288"/>
      <c r="BL336" s="164"/>
      <c r="BM336" s="173"/>
      <c r="BN336" s="252"/>
      <c r="BO336" s="259"/>
      <c r="BP336" s="252"/>
      <c r="BQ336" s="252"/>
      <c r="BR336" s="252"/>
      <c r="BS336" s="259"/>
      <c r="BT336" s="252"/>
      <c r="BU336" s="252"/>
      <c r="BV336" s="252"/>
      <c r="BW336" s="259"/>
      <c r="BX336" s="252"/>
      <c r="BY336" s="252"/>
      <c r="BZ336" s="252"/>
      <c r="CA336" s="259"/>
      <c r="CB336" s="252"/>
      <c r="CC336" s="252"/>
      <c r="CD336" s="252"/>
      <c r="CE336" s="259"/>
      <c r="CF336" s="252"/>
      <c r="CG336" s="252"/>
      <c r="CH336" s="252"/>
      <c r="CI336" s="259"/>
      <c r="CJ336" s="252"/>
      <c r="CK336" s="252"/>
      <c r="CL336" s="252"/>
      <c r="CM336" s="259"/>
      <c r="CN336" s="252"/>
      <c r="CO336" s="252"/>
      <c r="CP336" s="252"/>
      <c r="CQ336" s="259"/>
      <c r="CR336" s="252"/>
      <c r="CS336" s="252"/>
      <c r="CT336" s="255"/>
      <c r="CU336" s="173"/>
      <c r="CV336" s="173"/>
      <c r="CW336" s="173"/>
      <c r="CX336" s="173"/>
      <c r="CY336" s="173"/>
      <c r="CZ336" s="173"/>
      <c r="DA336" s="173"/>
      <c r="DB336" s="173"/>
      <c r="DC336" s="173"/>
      <c r="DD336" s="173"/>
      <c r="DE336" s="173"/>
      <c r="DF336" s="173"/>
    </row>
    <row r="337" spans="1:110" s="174" customFormat="1" x14ac:dyDescent="0.2">
      <c r="A337" s="190"/>
      <c r="B337" s="172"/>
      <c r="D337" s="169"/>
      <c r="E337" s="169"/>
      <c r="F337" s="169"/>
      <c r="G337" s="244"/>
      <c r="H337" s="169"/>
      <c r="I337" s="295"/>
      <c r="J337" s="295"/>
      <c r="K337" s="169"/>
      <c r="L337" s="169"/>
      <c r="M337" s="169"/>
      <c r="N337" s="169"/>
      <c r="O337" s="169"/>
      <c r="P337" s="169"/>
      <c r="Q337" s="185"/>
      <c r="R337" s="190"/>
      <c r="AS337" s="161"/>
      <c r="BF337" s="162"/>
      <c r="BG337" s="162"/>
      <c r="BH337" s="163"/>
      <c r="BI337" s="163"/>
      <c r="BJ337" s="161"/>
      <c r="BK337" s="288"/>
      <c r="BL337" s="164"/>
      <c r="BM337" s="173"/>
      <c r="BN337" s="252"/>
      <c r="BO337" s="259"/>
      <c r="BP337" s="252"/>
      <c r="BQ337" s="252"/>
      <c r="BR337" s="252"/>
      <c r="BS337" s="259"/>
      <c r="BT337" s="252"/>
      <c r="BU337" s="252"/>
      <c r="BV337" s="252"/>
      <c r="BW337" s="259"/>
      <c r="BX337" s="252"/>
      <c r="BY337" s="252"/>
      <c r="BZ337" s="252"/>
      <c r="CA337" s="259"/>
      <c r="CB337" s="252"/>
      <c r="CC337" s="252"/>
      <c r="CD337" s="252"/>
      <c r="CE337" s="259"/>
      <c r="CF337" s="252"/>
      <c r="CG337" s="252"/>
      <c r="CH337" s="252"/>
      <c r="CI337" s="259"/>
      <c r="CJ337" s="252"/>
      <c r="CK337" s="252"/>
      <c r="CL337" s="252"/>
      <c r="CM337" s="259"/>
      <c r="CN337" s="252"/>
      <c r="CO337" s="252"/>
      <c r="CP337" s="252"/>
      <c r="CQ337" s="259"/>
      <c r="CR337" s="252"/>
      <c r="CS337" s="252"/>
      <c r="CT337" s="255"/>
      <c r="CU337" s="173"/>
      <c r="CV337" s="173"/>
      <c r="CW337" s="173"/>
      <c r="CX337" s="173"/>
      <c r="CY337" s="173"/>
      <c r="CZ337" s="173"/>
      <c r="DA337" s="173"/>
      <c r="DB337" s="173"/>
      <c r="DC337" s="173"/>
      <c r="DD337" s="173"/>
      <c r="DE337" s="173"/>
      <c r="DF337" s="173"/>
    </row>
    <row r="338" spans="1:110" s="174" customFormat="1" x14ac:dyDescent="0.2">
      <c r="A338" s="190"/>
      <c r="B338" s="172"/>
      <c r="D338" s="169"/>
      <c r="E338" s="169"/>
      <c r="F338" s="169"/>
      <c r="G338" s="244"/>
      <c r="H338" s="169"/>
      <c r="I338" s="295"/>
      <c r="J338" s="295"/>
      <c r="K338" s="169"/>
      <c r="L338" s="169"/>
      <c r="M338" s="169"/>
      <c r="N338" s="169"/>
      <c r="O338" s="169"/>
      <c r="P338" s="169"/>
      <c r="Q338" s="185"/>
      <c r="R338" s="190"/>
      <c r="AS338" s="161"/>
      <c r="BF338" s="162"/>
      <c r="BG338" s="162"/>
      <c r="BH338" s="163"/>
      <c r="BI338" s="163"/>
      <c r="BJ338" s="161"/>
      <c r="BK338" s="288"/>
      <c r="BL338" s="164"/>
      <c r="BM338" s="173"/>
      <c r="BN338" s="252"/>
      <c r="BO338" s="259"/>
      <c r="BP338" s="252"/>
      <c r="BQ338" s="252"/>
      <c r="BR338" s="252"/>
      <c r="BS338" s="259"/>
      <c r="BT338" s="252"/>
      <c r="BU338" s="252"/>
      <c r="BV338" s="252"/>
      <c r="BW338" s="259"/>
      <c r="BX338" s="252"/>
      <c r="BY338" s="252"/>
      <c r="BZ338" s="252"/>
      <c r="CA338" s="259"/>
      <c r="CB338" s="252"/>
      <c r="CC338" s="252"/>
      <c r="CD338" s="252"/>
      <c r="CE338" s="259"/>
      <c r="CF338" s="252"/>
      <c r="CG338" s="252"/>
      <c r="CH338" s="252"/>
      <c r="CI338" s="259"/>
      <c r="CJ338" s="252"/>
      <c r="CK338" s="252"/>
      <c r="CL338" s="252"/>
      <c r="CM338" s="259"/>
      <c r="CN338" s="252"/>
      <c r="CO338" s="252"/>
      <c r="CP338" s="252"/>
      <c r="CQ338" s="259"/>
      <c r="CR338" s="252"/>
      <c r="CS338" s="252"/>
      <c r="CT338" s="255"/>
      <c r="CU338" s="173"/>
      <c r="CV338" s="173"/>
      <c r="CW338" s="173"/>
      <c r="CX338" s="173"/>
      <c r="CY338" s="173"/>
      <c r="CZ338" s="173"/>
      <c r="DA338" s="173"/>
      <c r="DB338" s="173"/>
      <c r="DC338" s="173"/>
      <c r="DD338" s="173"/>
      <c r="DE338" s="173"/>
      <c r="DF338" s="173"/>
    </row>
    <row r="339" spans="1:110" s="174" customFormat="1" x14ac:dyDescent="0.2">
      <c r="A339" s="190"/>
      <c r="B339" s="172"/>
      <c r="D339" s="169"/>
      <c r="E339" s="169"/>
      <c r="F339" s="169"/>
      <c r="G339" s="244"/>
      <c r="H339" s="169"/>
      <c r="I339" s="295"/>
      <c r="J339" s="295"/>
      <c r="K339" s="169"/>
      <c r="L339" s="169"/>
      <c r="M339" s="169"/>
      <c r="N339" s="169"/>
      <c r="O339" s="169"/>
      <c r="P339" s="169"/>
      <c r="Q339" s="185"/>
      <c r="R339" s="190"/>
      <c r="AS339" s="161"/>
      <c r="BF339" s="162"/>
      <c r="BG339" s="162"/>
      <c r="BH339" s="163"/>
      <c r="BI339" s="163"/>
      <c r="BJ339" s="161"/>
      <c r="BK339" s="288"/>
      <c r="BL339" s="164"/>
      <c r="BM339" s="173"/>
      <c r="BN339" s="252"/>
      <c r="BO339" s="259"/>
      <c r="BP339" s="252"/>
      <c r="BQ339" s="252"/>
      <c r="BR339" s="252"/>
      <c r="BS339" s="259"/>
      <c r="BT339" s="252"/>
      <c r="BU339" s="252"/>
      <c r="BV339" s="252"/>
      <c r="BW339" s="259"/>
      <c r="BX339" s="252"/>
      <c r="BY339" s="252"/>
      <c r="BZ339" s="252"/>
      <c r="CA339" s="259"/>
      <c r="CB339" s="252"/>
      <c r="CC339" s="252"/>
      <c r="CD339" s="252"/>
      <c r="CE339" s="259"/>
      <c r="CF339" s="252"/>
      <c r="CG339" s="252"/>
      <c r="CH339" s="252"/>
      <c r="CI339" s="259"/>
      <c r="CJ339" s="252"/>
      <c r="CK339" s="252"/>
      <c r="CL339" s="252"/>
      <c r="CM339" s="259"/>
      <c r="CN339" s="252"/>
      <c r="CO339" s="252"/>
      <c r="CP339" s="252"/>
      <c r="CQ339" s="259"/>
      <c r="CR339" s="252"/>
      <c r="CS339" s="252"/>
      <c r="CT339" s="255"/>
      <c r="CU339" s="173"/>
      <c r="CV339" s="173"/>
      <c r="CW339" s="173"/>
      <c r="CX339" s="173"/>
      <c r="CY339" s="173"/>
      <c r="CZ339" s="173"/>
      <c r="DA339" s="173"/>
      <c r="DB339" s="173"/>
      <c r="DC339" s="173"/>
      <c r="DD339" s="173"/>
      <c r="DE339" s="173"/>
      <c r="DF339" s="173"/>
    </row>
    <row r="340" spans="1:110" s="174" customFormat="1" x14ac:dyDescent="0.2">
      <c r="A340" s="190"/>
      <c r="B340" s="172"/>
      <c r="D340" s="169"/>
      <c r="E340" s="169"/>
      <c r="F340" s="169"/>
      <c r="G340" s="244"/>
      <c r="H340" s="169"/>
      <c r="I340" s="295"/>
      <c r="J340" s="295"/>
      <c r="K340" s="169"/>
      <c r="L340" s="169"/>
      <c r="M340" s="169"/>
      <c r="N340" s="169"/>
      <c r="O340" s="169"/>
      <c r="P340" s="169"/>
      <c r="Q340" s="185"/>
      <c r="R340" s="190"/>
      <c r="AS340" s="161"/>
      <c r="BF340" s="162"/>
      <c r="BG340" s="162"/>
      <c r="BH340" s="163"/>
      <c r="BI340" s="163"/>
      <c r="BJ340" s="161"/>
      <c r="BK340" s="288"/>
      <c r="BL340" s="164"/>
      <c r="BM340" s="173"/>
      <c r="BN340" s="252"/>
      <c r="BO340" s="259"/>
      <c r="BP340" s="252"/>
      <c r="BQ340" s="252"/>
      <c r="BR340" s="252"/>
      <c r="BS340" s="259"/>
      <c r="BT340" s="252"/>
      <c r="BU340" s="252"/>
      <c r="BV340" s="252"/>
      <c r="BW340" s="259"/>
      <c r="BX340" s="252"/>
      <c r="BY340" s="252"/>
      <c r="BZ340" s="252"/>
      <c r="CA340" s="259"/>
      <c r="CB340" s="252"/>
      <c r="CC340" s="252"/>
      <c r="CD340" s="252"/>
      <c r="CE340" s="259"/>
      <c r="CF340" s="252"/>
      <c r="CG340" s="252"/>
      <c r="CH340" s="252"/>
      <c r="CI340" s="259"/>
      <c r="CJ340" s="252"/>
      <c r="CK340" s="252"/>
      <c r="CL340" s="252"/>
      <c r="CM340" s="259"/>
      <c r="CN340" s="252"/>
      <c r="CO340" s="252"/>
      <c r="CP340" s="252"/>
      <c r="CQ340" s="259"/>
      <c r="CR340" s="252"/>
      <c r="CS340" s="252"/>
      <c r="CT340" s="255"/>
      <c r="CU340" s="173"/>
      <c r="CV340" s="173"/>
      <c r="CW340" s="173"/>
      <c r="CX340" s="173"/>
      <c r="CY340" s="173"/>
      <c r="CZ340" s="173"/>
      <c r="DA340" s="173"/>
      <c r="DB340" s="173"/>
      <c r="DC340" s="173"/>
      <c r="DD340" s="173"/>
      <c r="DE340" s="173"/>
      <c r="DF340" s="173"/>
    </row>
    <row r="341" spans="1:110" s="174" customFormat="1" x14ac:dyDescent="0.2">
      <c r="A341" s="190"/>
      <c r="B341" s="172"/>
      <c r="D341" s="169"/>
      <c r="E341" s="169"/>
      <c r="F341" s="169"/>
      <c r="G341" s="244"/>
      <c r="H341" s="169"/>
      <c r="I341" s="295"/>
      <c r="J341" s="295"/>
      <c r="K341" s="169"/>
      <c r="L341" s="169"/>
      <c r="M341" s="169"/>
      <c r="N341" s="169"/>
      <c r="O341" s="169"/>
      <c r="P341" s="169"/>
      <c r="Q341" s="185"/>
      <c r="R341" s="190"/>
      <c r="AS341" s="161"/>
      <c r="BF341" s="162"/>
      <c r="BG341" s="162"/>
      <c r="BH341" s="163"/>
      <c r="BI341" s="163"/>
      <c r="BJ341" s="161"/>
      <c r="BK341" s="288"/>
      <c r="BL341" s="164"/>
      <c r="BM341" s="173"/>
      <c r="BN341" s="252"/>
      <c r="BO341" s="259"/>
      <c r="BP341" s="252"/>
      <c r="BQ341" s="252"/>
      <c r="BR341" s="252"/>
      <c r="BS341" s="259"/>
      <c r="BT341" s="252"/>
      <c r="BU341" s="252"/>
      <c r="BV341" s="252"/>
      <c r="BW341" s="259"/>
      <c r="BX341" s="252"/>
      <c r="BY341" s="252"/>
      <c r="BZ341" s="252"/>
      <c r="CA341" s="259"/>
      <c r="CB341" s="252"/>
      <c r="CC341" s="252"/>
      <c r="CD341" s="252"/>
      <c r="CE341" s="259"/>
      <c r="CF341" s="252"/>
      <c r="CG341" s="252"/>
      <c r="CH341" s="252"/>
      <c r="CI341" s="259"/>
      <c r="CJ341" s="252"/>
      <c r="CK341" s="252"/>
      <c r="CL341" s="252"/>
      <c r="CM341" s="259"/>
      <c r="CN341" s="252"/>
      <c r="CO341" s="252"/>
      <c r="CP341" s="252"/>
      <c r="CQ341" s="259"/>
      <c r="CR341" s="252"/>
      <c r="CS341" s="252"/>
      <c r="CT341" s="255"/>
      <c r="CU341" s="173"/>
      <c r="CV341" s="173"/>
      <c r="CW341" s="173"/>
      <c r="CX341" s="173"/>
      <c r="CY341" s="173"/>
      <c r="CZ341" s="173"/>
      <c r="DA341" s="173"/>
      <c r="DB341" s="173"/>
      <c r="DC341" s="173"/>
      <c r="DD341" s="173"/>
      <c r="DE341" s="173"/>
      <c r="DF341" s="173"/>
    </row>
    <row r="342" spans="1:110" s="174" customFormat="1" x14ac:dyDescent="0.2">
      <c r="A342" s="190"/>
      <c r="B342" s="172"/>
      <c r="D342" s="169"/>
      <c r="E342" s="169"/>
      <c r="F342" s="169"/>
      <c r="G342" s="244"/>
      <c r="H342" s="169"/>
      <c r="I342" s="295"/>
      <c r="J342" s="295"/>
      <c r="K342" s="169"/>
      <c r="L342" s="169"/>
      <c r="M342" s="169"/>
      <c r="N342" s="169"/>
      <c r="O342" s="169"/>
      <c r="P342" s="169"/>
      <c r="Q342" s="185"/>
      <c r="R342" s="190"/>
      <c r="AS342" s="161"/>
      <c r="BF342" s="162"/>
      <c r="BG342" s="162"/>
      <c r="BH342" s="163"/>
      <c r="BI342" s="163"/>
      <c r="BJ342" s="161"/>
      <c r="BK342" s="288"/>
      <c r="BL342" s="164"/>
      <c r="BM342" s="173"/>
      <c r="BN342" s="252"/>
      <c r="BO342" s="259"/>
      <c r="BP342" s="252"/>
      <c r="BQ342" s="252"/>
      <c r="BR342" s="252"/>
      <c r="BS342" s="259"/>
      <c r="BT342" s="252"/>
      <c r="BU342" s="252"/>
      <c r="BV342" s="252"/>
      <c r="BW342" s="259"/>
      <c r="BX342" s="252"/>
      <c r="BY342" s="252"/>
      <c r="BZ342" s="252"/>
      <c r="CA342" s="259"/>
      <c r="CB342" s="252"/>
      <c r="CC342" s="252"/>
      <c r="CD342" s="252"/>
      <c r="CE342" s="259"/>
      <c r="CF342" s="252"/>
      <c r="CG342" s="252"/>
      <c r="CH342" s="252"/>
      <c r="CI342" s="259"/>
      <c r="CJ342" s="252"/>
      <c r="CK342" s="252"/>
      <c r="CL342" s="252"/>
      <c r="CM342" s="259"/>
      <c r="CN342" s="252"/>
      <c r="CO342" s="252"/>
      <c r="CP342" s="252"/>
      <c r="CQ342" s="259"/>
      <c r="CR342" s="252"/>
      <c r="CS342" s="252"/>
      <c r="CT342" s="255"/>
      <c r="CU342" s="173"/>
      <c r="CV342" s="173"/>
      <c r="CW342" s="173"/>
      <c r="CX342" s="173"/>
      <c r="CY342" s="173"/>
      <c r="CZ342" s="173"/>
      <c r="DA342" s="173"/>
      <c r="DB342" s="173"/>
      <c r="DC342" s="173"/>
      <c r="DD342" s="173"/>
      <c r="DE342" s="173"/>
      <c r="DF342" s="173"/>
    </row>
    <row r="343" spans="1:110" s="174" customFormat="1" x14ac:dyDescent="0.2">
      <c r="A343" s="190"/>
      <c r="B343" s="172"/>
      <c r="D343" s="169"/>
      <c r="E343" s="169"/>
      <c r="F343" s="169"/>
      <c r="G343" s="244"/>
      <c r="H343" s="169"/>
      <c r="I343" s="295"/>
      <c r="J343" s="295"/>
      <c r="K343" s="169"/>
      <c r="L343" s="169"/>
      <c r="M343" s="169"/>
      <c r="N343" s="169"/>
      <c r="O343" s="169"/>
      <c r="P343" s="169"/>
      <c r="Q343" s="185"/>
      <c r="R343" s="190"/>
      <c r="AS343" s="161"/>
      <c r="BF343" s="162"/>
      <c r="BG343" s="162"/>
      <c r="BH343" s="163"/>
      <c r="BI343" s="163"/>
      <c r="BJ343" s="161"/>
      <c r="BK343" s="288"/>
      <c r="BL343" s="164"/>
      <c r="BM343" s="173"/>
      <c r="BN343" s="252"/>
      <c r="BO343" s="259"/>
      <c r="BP343" s="252"/>
      <c r="BQ343" s="252"/>
      <c r="BR343" s="252"/>
      <c r="BS343" s="259"/>
      <c r="BT343" s="252"/>
      <c r="BU343" s="252"/>
      <c r="BV343" s="252"/>
      <c r="BW343" s="259"/>
      <c r="BX343" s="252"/>
      <c r="BY343" s="252"/>
      <c r="BZ343" s="252"/>
      <c r="CA343" s="259"/>
      <c r="CB343" s="252"/>
      <c r="CC343" s="252"/>
      <c r="CD343" s="252"/>
      <c r="CE343" s="259"/>
      <c r="CF343" s="252"/>
      <c r="CG343" s="252"/>
      <c r="CH343" s="252"/>
      <c r="CI343" s="259"/>
      <c r="CJ343" s="252"/>
      <c r="CK343" s="252"/>
      <c r="CL343" s="252"/>
      <c r="CM343" s="259"/>
      <c r="CN343" s="252"/>
      <c r="CO343" s="252"/>
      <c r="CP343" s="252"/>
      <c r="CQ343" s="259"/>
      <c r="CR343" s="252"/>
      <c r="CS343" s="252"/>
      <c r="CT343" s="255"/>
      <c r="CU343" s="173"/>
      <c r="CV343" s="173"/>
      <c r="CW343" s="173"/>
      <c r="CX343" s="173"/>
      <c r="CY343" s="173"/>
      <c r="CZ343" s="173"/>
      <c r="DA343" s="173"/>
      <c r="DB343" s="173"/>
      <c r="DC343" s="173"/>
      <c r="DD343" s="173"/>
      <c r="DE343" s="173"/>
      <c r="DF343" s="173"/>
    </row>
    <row r="344" spans="1:110" s="174" customFormat="1" x14ac:dyDescent="0.2">
      <c r="A344" s="190"/>
      <c r="B344" s="172"/>
      <c r="D344" s="169"/>
      <c r="E344" s="169"/>
      <c r="F344" s="169"/>
      <c r="G344" s="244"/>
      <c r="H344" s="169"/>
      <c r="I344" s="295"/>
      <c r="J344" s="295"/>
      <c r="K344" s="169"/>
      <c r="L344" s="169"/>
      <c r="M344" s="169"/>
      <c r="N344" s="169"/>
      <c r="O344" s="169"/>
      <c r="P344" s="169"/>
      <c r="Q344" s="185"/>
      <c r="R344" s="190"/>
      <c r="AS344" s="161"/>
      <c r="BF344" s="162"/>
      <c r="BG344" s="162"/>
      <c r="BH344" s="163"/>
      <c r="BI344" s="163"/>
      <c r="BJ344" s="161"/>
      <c r="BK344" s="288"/>
      <c r="BL344" s="164"/>
      <c r="BM344" s="173"/>
      <c r="BN344" s="252"/>
      <c r="BO344" s="259"/>
      <c r="BP344" s="252"/>
      <c r="BQ344" s="252"/>
      <c r="BR344" s="252"/>
      <c r="BS344" s="259"/>
      <c r="BT344" s="252"/>
      <c r="BU344" s="252"/>
      <c r="BV344" s="252"/>
      <c r="BW344" s="259"/>
      <c r="BX344" s="252"/>
      <c r="BY344" s="252"/>
      <c r="BZ344" s="252"/>
      <c r="CA344" s="259"/>
      <c r="CB344" s="252"/>
      <c r="CC344" s="252"/>
      <c r="CD344" s="252"/>
      <c r="CE344" s="259"/>
      <c r="CF344" s="252"/>
      <c r="CG344" s="252"/>
      <c r="CH344" s="252"/>
      <c r="CI344" s="259"/>
      <c r="CJ344" s="252"/>
      <c r="CK344" s="252"/>
      <c r="CL344" s="252"/>
      <c r="CM344" s="259"/>
      <c r="CN344" s="252"/>
      <c r="CO344" s="252"/>
      <c r="CP344" s="252"/>
      <c r="CQ344" s="259"/>
      <c r="CR344" s="252"/>
      <c r="CS344" s="252"/>
      <c r="CT344" s="255"/>
      <c r="CU344" s="173"/>
      <c r="CV344" s="173"/>
      <c r="CW344" s="173"/>
      <c r="CX344" s="173"/>
      <c r="CY344" s="173"/>
      <c r="CZ344" s="173"/>
      <c r="DA344" s="173"/>
      <c r="DB344" s="173"/>
      <c r="DC344" s="173"/>
      <c r="DD344" s="173"/>
      <c r="DE344" s="173"/>
      <c r="DF344" s="173"/>
    </row>
  </sheetData>
  <mergeCells count="184">
    <mergeCell ref="BH47:BH49"/>
    <mergeCell ref="BI47:BI49"/>
    <mergeCell ref="D48:D49"/>
    <mergeCell ref="E48:Q48"/>
    <mergeCell ref="S48:S49"/>
    <mergeCell ref="T48:AE48"/>
    <mergeCell ref="AF48:AF49"/>
    <mergeCell ref="AG48:AS48"/>
    <mergeCell ref="A47:A49"/>
    <mergeCell ref="B47:B49"/>
    <mergeCell ref="C47:C49"/>
    <mergeCell ref="D47:Q47"/>
    <mergeCell ref="R47:R49"/>
    <mergeCell ref="S47:AE47"/>
    <mergeCell ref="AF47:AS47"/>
    <mergeCell ref="AT47:BF48"/>
    <mergeCell ref="BG47:BG49"/>
    <mergeCell ref="BH39:BH41"/>
    <mergeCell ref="BI39:BI41"/>
    <mergeCell ref="D40:D41"/>
    <mergeCell ref="E40:Q40"/>
    <mergeCell ref="S40:S41"/>
    <mergeCell ref="T40:AE40"/>
    <mergeCell ref="AF40:AF41"/>
    <mergeCell ref="AG40:AS40"/>
    <mergeCell ref="A46:B46"/>
    <mergeCell ref="AT23:BF24"/>
    <mergeCell ref="BG23:BG25"/>
    <mergeCell ref="A23:A25"/>
    <mergeCell ref="A38:B38"/>
    <mergeCell ref="A39:A41"/>
    <mergeCell ref="B39:B41"/>
    <mergeCell ref="C39:C41"/>
    <mergeCell ref="A30:B30"/>
    <mergeCell ref="A31:A33"/>
    <mergeCell ref="B31:B33"/>
    <mergeCell ref="C31:C33"/>
    <mergeCell ref="D39:Q39"/>
    <mergeCell ref="D31:Q31"/>
    <mergeCell ref="R39:R41"/>
    <mergeCell ref="S39:AE39"/>
    <mergeCell ref="AF39:AS39"/>
    <mergeCell ref="AT39:BF40"/>
    <mergeCell ref="BG39:BG41"/>
    <mergeCell ref="B23:B25"/>
    <mergeCell ref="C23:C25"/>
    <mergeCell ref="D23:Q23"/>
    <mergeCell ref="A1:B1"/>
    <mergeCell ref="A2:A4"/>
    <mergeCell ref="B2:B4"/>
    <mergeCell ref="C2:C4"/>
    <mergeCell ref="D2:Q2"/>
    <mergeCell ref="R2:R4"/>
    <mergeCell ref="R23:R25"/>
    <mergeCell ref="S23:AE23"/>
    <mergeCell ref="AF23:AS23"/>
    <mergeCell ref="A22:B22"/>
    <mergeCell ref="S24:S25"/>
    <mergeCell ref="T24:AE24"/>
    <mergeCell ref="AF24:AF25"/>
    <mergeCell ref="AG24:AS24"/>
    <mergeCell ref="A11:B11"/>
    <mergeCell ref="A12:A14"/>
    <mergeCell ref="B12:B14"/>
    <mergeCell ref="C12:C14"/>
    <mergeCell ref="S13:S14"/>
    <mergeCell ref="T13:AE13"/>
    <mergeCell ref="D13:D14"/>
    <mergeCell ref="E13:Q13"/>
    <mergeCell ref="S12:AE12"/>
    <mergeCell ref="AF12:AS12"/>
    <mergeCell ref="BI31:BI33"/>
    <mergeCell ref="D32:D33"/>
    <mergeCell ref="BH31:BH33"/>
    <mergeCell ref="R31:R33"/>
    <mergeCell ref="E32:Q32"/>
    <mergeCell ref="S32:S33"/>
    <mergeCell ref="T32:AE32"/>
    <mergeCell ref="AF32:AF33"/>
    <mergeCell ref="AG32:AS32"/>
    <mergeCell ref="S31:AE31"/>
    <mergeCell ref="AF31:AS31"/>
    <mergeCell ref="BG31:BG33"/>
    <mergeCell ref="AT31:BF32"/>
    <mergeCell ref="BH12:BH14"/>
    <mergeCell ref="BI12:BI14"/>
    <mergeCell ref="D24:D25"/>
    <mergeCell ref="E24:Q24"/>
    <mergeCell ref="S2:AE2"/>
    <mergeCell ref="AF2:AS2"/>
    <mergeCell ref="AT2:BF3"/>
    <mergeCell ref="BG2:BG4"/>
    <mergeCell ref="BH2:BH4"/>
    <mergeCell ref="BI2:BI4"/>
    <mergeCell ref="D3:D4"/>
    <mergeCell ref="E3:Q3"/>
    <mergeCell ref="S3:S4"/>
    <mergeCell ref="T3:AE3"/>
    <mergeCell ref="AF3:AF4"/>
    <mergeCell ref="AG3:AS3"/>
    <mergeCell ref="BH23:BH25"/>
    <mergeCell ref="BI23:BI25"/>
    <mergeCell ref="AT12:BF13"/>
    <mergeCell ref="BG12:BG14"/>
    <mergeCell ref="AF13:AF14"/>
    <mergeCell ref="AG13:AS13"/>
    <mergeCell ref="D12:Q12"/>
    <mergeCell ref="R12:R14"/>
    <mergeCell ref="BP2:CO2"/>
    <mergeCell ref="BL3:BN3"/>
    <mergeCell ref="BP3:CB3"/>
    <mergeCell ref="CC3:CO3"/>
    <mergeCell ref="BL4:BN4"/>
    <mergeCell ref="BP12:CO12"/>
    <mergeCell ref="BL13:BN13"/>
    <mergeCell ref="BP13:CB13"/>
    <mergeCell ref="CC13:CO13"/>
    <mergeCell ref="BL14:BN14"/>
    <mergeCell ref="BP23:CO23"/>
    <mergeCell ref="BL24:BN24"/>
    <mergeCell ref="BP24:CB24"/>
    <mergeCell ref="CC24:CO24"/>
    <mergeCell ref="BL25:BN25"/>
    <mergeCell ref="BP31:CO31"/>
    <mergeCell ref="BL32:BN32"/>
    <mergeCell ref="BP32:CB32"/>
    <mergeCell ref="CC32:CO32"/>
    <mergeCell ref="BL49:BN49"/>
    <mergeCell ref="BL33:BN33"/>
    <mergeCell ref="BP39:CO39"/>
    <mergeCell ref="BL40:BN40"/>
    <mergeCell ref="BP40:CB40"/>
    <mergeCell ref="CC40:CO40"/>
    <mergeCell ref="BL41:BN41"/>
    <mergeCell ref="BP47:CO47"/>
    <mergeCell ref="BL48:BN48"/>
    <mergeCell ref="BP48:CB48"/>
    <mergeCell ref="CC48:CO48"/>
    <mergeCell ref="A55:B55"/>
    <mergeCell ref="A56:A58"/>
    <mergeCell ref="B56:B58"/>
    <mergeCell ref="C56:C58"/>
    <mergeCell ref="D56:Q56"/>
    <mergeCell ref="R56:R58"/>
    <mergeCell ref="S56:AE56"/>
    <mergeCell ref="AF56:AS56"/>
    <mergeCell ref="AT56:BF57"/>
    <mergeCell ref="BG56:BG58"/>
    <mergeCell ref="BH56:BH58"/>
    <mergeCell ref="BI56:BI58"/>
    <mergeCell ref="BP56:CO56"/>
    <mergeCell ref="D57:D58"/>
    <mergeCell ref="E57:Q57"/>
    <mergeCell ref="S57:S58"/>
    <mergeCell ref="T57:AE57"/>
    <mergeCell ref="AF57:AF58"/>
    <mergeCell ref="AG57:AS57"/>
    <mergeCell ref="BL57:BN57"/>
    <mergeCell ref="BP57:CB57"/>
    <mergeCell ref="CC57:CO57"/>
    <mergeCell ref="BL58:BN58"/>
    <mergeCell ref="A67:B67"/>
    <mergeCell ref="A68:A70"/>
    <mergeCell ref="B68:B70"/>
    <mergeCell ref="C68:C70"/>
    <mergeCell ref="D68:Q68"/>
    <mergeCell ref="R68:R70"/>
    <mergeCell ref="S68:AE68"/>
    <mergeCell ref="AF68:AS68"/>
    <mergeCell ref="AT68:BF69"/>
    <mergeCell ref="BG68:BG70"/>
    <mergeCell ref="BH68:BH70"/>
    <mergeCell ref="BI68:BI70"/>
    <mergeCell ref="BP68:CO68"/>
    <mergeCell ref="D69:D70"/>
    <mergeCell ref="E69:Q69"/>
    <mergeCell ref="S69:S70"/>
    <mergeCell ref="T69:AE69"/>
    <mergeCell ref="AF69:AF70"/>
    <mergeCell ref="AG69:AS69"/>
    <mergeCell ref="BL69:BN69"/>
    <mergeCell ref="BP69:CB69"/>
    <mergeCell ref="CC69:CO69"/>
    <mergeCell ref="BL70:BN70"/>
  </mergeCells>
  <pageMargins left="0.70866141732283472" right="0.70866141732283472" top="0.74803149606299213" bottom="1.5354330708661419" header="0.31496062992125984" footer="0.31496062992125984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DW216"/>
  <sheetViews>
    <sheetView topLeftCell="A145" zoomScale="80" zoomScaleNormal="80" zoomScaleSheetLayoutView="80" workbookViewId="0">
      <selection activeCell="AS63" sqref="AS63"/>
    </sheetView>
  </sheetViews>
  <sheetFormatPr defaultRowHeight="15" x14ac:dyDescent="0.2"/>
  <cols>
    <col min="1" max="1" width="7.5" style="9" customWidth="1"/>
    <col min="2" max="2" width="70" style="8" customWidth="1"/>
    <col min="3" max="3" width="10.6640625" style="9" customWidth="1"/>
    <col min="4" max="4" width="10.83203125" style="9" customWidth="1"/>
    <col min="5" max="12" width="11.6640625" style="4" customWidth="1"/>
    <col min="13" max="13" width="11.83203125" style="4" customWidth="1"/>
    <col min="14" max="16" width="11.6640625" style="4" customWidth="1"/>
    <col min="17" max="17" width="11.6640625" style="14" customWidth="1"/>
    <col min="18" max="18" width="10.5" style="45" customWidth="1"/>
    <col min="19" max="19" width="18.1640625" style="144" customWidth="1"/>
    <col min="20" max="20" width="17.33203125" style="144" customWidth="1"/>
    <col min="21" max="21" width="17" style="5" customWidth="1"/>
    <col min="22" max="22" width="15.5" style="5" customWidth="1"/>
    <col min="23" max="23" width="17.5" style="5" customWidth="1"/>
    <col min="24" max="24" width="16.1640625" style="5" customWidth="1"/>
    <col min="25" max="25" width="15.1640625" style="5" customWidth="1"/>
    <col min="26" max="26" width="15.83203125" customWidth="1"/>
    <col min="27" max="27" width="16.33203125" customWidth="1"/>
    <col min="28" max="30" width="11.6640625" customWidth="1"/>
    <col min="31" max="31" width="11.6640625" style="2" customWidth="1"/>
    <col min="32" max="32" width="20.5" style="10" customWidth="1"/>
    <col min="33" max="44" width="17.5" customWidth="1"/>
    <col min="45" max="45" width="17.5" style="12" customWidth="1"/>
    <col min="46" max="50" width="17.5" customWidth="1"/>
    <col min="51" max="51" width="20.1640625" customWidth="1"/>
    <col min="52" max="52" width="18.5" customWidth="1"/>
    <col min="53" max="57" width="17.5" customWidth="1"/>
    <col min="58" max="58" width="18" style="12" customWidth="1"/>
    <col min="59" max="59" width="17.5" style="12" customWidth="1"/>
    <col min="60" max="60" width="20.83203125" style="13" customWidth="1"/>
    <col min="61" max="61" width="17.5" style="13" customWidth="1"/>
    <col min="62" max="62" width="16.33203125" bestFit="1" customWidth="1"/>
    <col min="63" max="63" width="17.5" customWidth="1"/>
    <col min="64" max="64" width="17" customWidth="1"/>
    <col min="65" max="65" width="16.5" customWidth="1"/>
    <col min="66" max="66" width="17.6640625" customWidth="1"/>
    <col min="67" max="69" width="14.83203125" customWidth="1"/>
    <col min="70" max="70" width="16.5" customWidth="1"/>
    <col min="71" max="71" width="17.5" customWidth="1"/>
    <col min="72" max="72" width="17.1640625" customWidth="1"/>
    <col min="73" max="79" width="14.83203125" customWidth="1"/>
    <col min="80" max="80" width="14.83203125" style="12" customWidth="1"/>
    <col min="81" max="92" width="14.83203125" customWidth="1"/>
    <col min="93" max="93" width="14.83203125" style="12" customWidth="1"/>
    <col min="94" max="97" width="25.5" style="335" customWidth="1"/>
    <col min="98" max="98" width="22.33203125" style="370" customWidth="1"/>
    <col min="99" max="99" width="22.33203125" style="356" customWidth="1"/>
    <col min="100" max="100" width="21.5" style="371" customWidth="1"/>
    <col min="101" max="109" width="9.33203125" style="3"/>
    <col min="110" max="110" width="28.6640625" bestFit="1" customWidth="1"/>
  </cols>
  <sheetData>
    <row r="1" spans="1:127" s="83" customFormat="1" ht="24.75" customHeight="1" x14ac:dyDescent="0.2">
      <c r="A1" s="811" t="s">
        <v>7</v>
      </c>
      <c r="B1" s="812"/>
      <c r="C1" s="83" t="s">
        <v>149</v>
      </c>
      <c r="D1" s="486"/>
      <c r="E1" s="66"/>
      <c r="F1" s="66"/>
      <c r="G1" s="66"/>
      <c r="H1" s="559"/>
      <c r="I1" s="67"/>
      <c r="J1" s="67"/>
      <c r="K1" s="67"/>
      <c r="L1" s="67"/>
      <c r="M1" s="67"/>
      <c r="N1" s="67"/>
      <c r="O1" s="67"/>
      <c r="P1" s="67"/>
      <c r="Q1" s="339">
        <f>SUM(E1:P1)</f>
        <v>0</v>
      </c>
      <c r="R1" s="375" t="s">
        <v>14</v>
      </c>
      <c r="S1" s="374">
        <v>74100</v>
      </c>
      <c r="T1" s="66">
        <v>59000</v>
      </c>
      <c r="U1" s="325"/>
      <c r="V1" s="568">
        <v>67428.58</v>
      </c>
      <c r="W1" s="558"/>
      <c r="X1" s="322"/>
      <c r="Y1" s="322"/>
      <c r="Z1" s="322"/>
      <c r="AA1" s="322"/>
      <c r="AB1" s="322"/>
      <c r="AC1" s="322"/>
      <c r="AD1" s="322"/>
      <c r="AE1" s="322"/>
      <c r="AF1" s="51">
        <f>Q1*S1</f>
        <v>0</v>
      </c>
      <c r="AG1" s="323">
        <f>T1*E1</f>
        <v>0</v>
      </c>
      <c r="AH1" s="323">
        <f t="shared" ref="AH1" si="0">U1*F1</f>
        <v>0</v>
      </c>
      <c r="AI1" s="556">
        <f t="shared" ref="AI1" si="1">V1*G1</f>
        <v>0</v>
      </c>
      <c r="AJ1" s="323">
        <f t="shared" ref="AJ1" si="2">W1*H1</f>
        <v>0</v>
      </c>
      <c r="AK1" s="323">
        <f t="shared" ref="AK1" si="3">X1*I1</f>
        <v>0</v>
      </c>
      <c r="AL1" s="323">
        <f t="shared" ref="AL1" si="4">Y1*J1</f>
        <v>0</v>
      </c>
      <c r="AM1" s="323">
        <f t="shared" ref="AM1" si="5">Z1*K1</f>
        <v>0</v>
      </c>
      <c r="AN1" s="323">
        <f t="shared" ref="AN1" si="6">AA1*L1</f>
        <v>0</v>
      </c>
      <c r="AO1" s="323">
        <f t="shared" ref="AO1" si="7">AB1*M1</f>
        <v>0</v>
      </c>
      <c r="AP1" s="323">
        <f t="shared" ref="AP1" si="8">AC1*N1</f>
        <v>0</v>
      </c>
      <c r="AQ1" s="323">
        <f t="shared" ref="AQ1" si="9">AD1*O1</f>
        <v>0</v>
      </c>
      <c r="AR1" s="323">
        <f t="shared" ref="AR1" si="10">AE1*P1</f>
        <v>0</v>
      </c>
      <c r="AS1" s="324">
        <f t="shared" ref="AS1" si="11">SUM(AG1:AR1)</f>
        <v>0</v>
      </c>
      <c r="AT1" s="323">
        <f>SUM(AG1*14%)</f>
        <v>0</v>
      </c>
      <c r="AU1" s="323">
        <f t="shared" ref="AU1" si="12">SUM(AH1*14%)</f>
        <v>0</v>
      </c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55">
        <f t="shared" ref="BF1" si="13">SUM(AT1:BE1)</f>
        <v>0</v>
      </c>
      <c r="BG1" s="72">
        <f>(AF1-AS1-BF1)</f>
        <v>0</v>
      </c>
      <c r="BH1" s="73">
        <f t="shared" ref="BH1" si="14">S1*D1</f>
        <v>0</v>
      </c>
      <c r="BI1" s="74">
        <f t="shared" ref="BI1" si="15">BH1-AS1-BF1</f>
        <v>0</v>
      </c>
      <c r="BJ1" s="99" t="e">
        <f t="shared" ref="BJ1" si="16">SUM(Q1/D1)</f>
        <v>#DIV/0!</v>
      </c>
      <c r="BK1" s="557"/>
      <c r="BL1" s="556">
        <f t="shared" ref="BL1" si="17">SUM(AI1-BR1)</f>
        <v>0</v>
      </c>
      <c r="BM1" s="556">
        <f>SUM(G1*T1)</f>
        <v>0</v>
      </c>
      <c r="BN1" s="567">
        <f>SUM(BL1-BM1)</f>
        <v>0</v>
      </c>
      <c r="BO1" s="561"/>
      <c r="BP1" s="323"/>
      <c r="BQ1" s="323"/>
      <c r="BR1" s="556">
        <f t="shared" ref="BR1" si="18">SUM(AI1*12.5%)</f>
        <v>0</v>
      </c>
      <c r="BS1" s="323">
        <f t="shared" ref="BS1" si="19">SUM(AJ1*12.5%)</f>
        <v>0</v>
      </c>
      <c r="BT1" s="323">
        <f t="shared" ref="BT1" si="20">SUM(AK1*12.5%)</f>
        <v>0</v>
      </c>
      <c r="BU1" s="323">
        <f t="shared" ref="BU1" si="21">SUM(AL1*12.5%)</f>
        <v>0</v>
      </c>
      <c r="BV1" s="323">
        <f t="shared" ref="BV1" si="22">SUM(AM1*12.5%)</f>
        <v>0</v>
      </c>
      <c r="BW1" s="323">
        <f t="shared" ref="BW1" si="23">SUM(AN1*12.5%)</f>
        <v>0</v>
      </c>
      <c r="BX1" s="323">
        <f t="shared" ref="BX1" si="24">SUM(AO1*12.5%)</f>
        <v>0</v>
      </c>
      <c r="BY1" s="323">
        <f t="shared" ref="BY1" si="25">SUM(AP1*12.5%)</f>
        <v>0</v>
      </c>
      <c r="BZ1" s="323">
        <f t="shared" ref="BZ1" si="26">SUM(AQ1*12.5%)</f>
        <v>0</v>
      </c>
      <c r="CA1" s="323">
        <f t="shared" ref="CA1" si="27">SUM(AR1*12.5%)</f>
        <v>0</v>
      </c>
      <c r="CB1" s="55">
        <f t="shared" ref="CB1" si="28">SUM(BP1:CA1)</f>
        <v>0</v>
      </c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55">
        <f t="shared" ref="CO1" si="29">SUM(CC1:CN1)</f>
        <v>0</v>
      </c>
      <c r="CP1" s="334"/>
      <c r="CQ1" s="334"/>
      <c r="CR1" s="334"/>
      <c r="CS1" s="334"/>
      <c r="CT1" s="360"/>
      <c r="CU1" s="349"/>
      <c r="CV1" s="357"/>
      <c r="CW1" s="85"/>
      <c r="CX1" s="85"/>
      <c r="CY1" s="84"/>
      <c r="CZ1" s="84"/>
      <c r="DA1" s="84"/>
      <c r="DB1" s="84"/>
      <c r="DC1" s="88"/>
      <c r="DD1" s="84"/>
      <c r="DE1" s="8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</row>
    <row r="2" spans="1:127" s="7" customFormat="1" ht="48.75" customHeight="1" x14ac:dyDescent="0.2">
      <c r="A2" s="813" t="s">
        <v>8</v>
      </c>
      <c r="B2" s="787" t="s">
        <v>9</v>
      </c>
      <c r="C2" s="787" t="s">
        <v>22</v>
      </c>
      <c r="D2" s="806" t="s">
        <v>10</v>
      </c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787" t="s">
        <v>20</v>
      </c>
      <c r="S2" s="807" t="s">
        <v>17</v>
      </c>
      <c r="T2" s="808"/>
      <c r="U2" s="808"/>
      <c r="V2" s="808"/>
      <c r="W2" s="808"/>
      <c r="X2" s="808"/>
      <c r="Y2" s="808"/>
      <c r="Z2" s="808"/>
      <c r="AA2" s="808"/>
      <c r="AB2" s="808"/>
      <c r="AC2" s="808"/>
      <c r="AD2" s="808"/>
      <c r="AE2" s="809"/>
      <c r="AF2" s="810" t="s">
        <v>5</v>
      </c>
      <c r="AG2" s="810"/>
      <c r="AH2" s="810"/>
      <c r="AI2" s="810"/>
      <c r="AJ2" s="810"/>
      <c r="AK2" s="810"/>
      <c r="AL2" s="810"/>
      <c r="AM2" s="810"/>
      <c r="AN2" s="810"/>
      <c r="AO2" s="810"/>
      <c r="AP2" s="810"/>
      <c r="AQ2" s="810"/>
      <c r="AR2" s="810"/>
      <c r="AS2" s="810"/>
      <c r="AT2" s="800" t="s">
        <v>32</v>
      </c>
      <c r="AU2" s="801"/>
      <c r="AV2" s="801"/>
      <c r="AW2" s="801"/>
      <c r="AX2" s="801"/>
      <c r="AY2" s="801"/>
      <c r="AZ2" s="801"/>
      <c r="BA2" s="801"/>
      <c r="BB2" s="801"/>
      <c r="BC2" s="801"/>
      <c r="BD2" s="801"/>
      <c r="BE2" s="801"/>
      <c r="BF2" s="802"/>
      <c r="BG2" s="787" t="s">
        <v>29</v>
      </c>
      <c r="BH2" s="787" t="s">
        <v>57</v>
      </c>
      <c r="BI2" s="790" t="s">
        <v>30</v>
      </c>
      <c r="BJ2" s="84"/>
      <c r="BK2" s="84"/>
      <c r="BL2" s="84"/>
      <c r="BM2" s="84"/>
      <c r="BN2" s="84"/>
      <c r="BO2" s="84">
        <v>68000</v>
      </c>
      <c r="BP2" s="774" t="s">
        <v>32</v>
      </c>
      <c r="BQ2" s="775"/>
      <c r="BR2" s="775"/>
      <c r="BS2" s="775"/>
      <c r="BT2" s="775"/>
      <c r="BU2" s="775"/>
      <c r="BV2" s="775"/>
      <c r="BW2" s="775"/>
      <c r="BX2" s="775"/>
      <c r="BY2" s="775"/>
      <c r="BZ2" s="775"/>
      <c r="CA2" s="775"/>
      <c r="CB2" s="775"/>
      <c r="CC2" s="775"/>
      <c r="CD2" s="775"/>
      <c r="CE2" s="775"/>
      <c r="CF2" s="775"/>
      <c r="CG2" s="775"/>
      <c r="CH2" s="775"/>
      <c r="CI2" s="775"/>
      <c r="CJ2" s="775"/>
      <c r="CK2" s="775"/>
      <c r="CL2" s="775"/>
      <c r="CM2" s="775"/>
      <c r="CN2" s="775"/>
      <c r="CO2" s="776"/>
      <c r="CP2" s="332"/>
      <c r="CQ2" s="332"/>
      <c r="CR2" s="332"/>
      <c r="CS2" s="332"/>
      <c r="CT2" s="17"/>
      <c r="CU2" s="347"/>
      <c r="CV2" s="357"/>
      <c r="CW2" s="17"/>
      <c r="CX2" s="17"/>
      <c r="CY2" s="17"/>
      <c r="CZ2" s="17"/>
      <c r="DA2" s="17"/>
      <c r="DB2" s="17"/>
      <c r="DC2" s="17"/>
      <c r="DD2" s="19"/>
      <c r="DE2" s="19"/>
    </row>
    <row r="3" spans="1:127" s="7" customFormat="1" ht="48.75" customHeight="1" x14ac:dyDescent="0.2">
      <c r="A3" s="814"/>
      <c r="B3" s="788"/>
      <c r="C3" s="788"/>
      <c r="D3" s="797" t="s">
        <v>18</v>
      </c>
      <c r="E3" s="795" t="s">
        <v>19</v>
      </c>
      <c r="F3" s="796"/>
      <c r="G3" s="796"/>
      <c r="H3" s="796"/>
      <c r="I3" s="796"/>
      <c r="J3" s="796"/>
      <c r="K3" s="796"/>
      <c r="L3" s="796"/>
      <c r="M3" s="796"/>
      <c r="N3" s="796"/>
      <c r="O3" s="796"/>
      <c r="P3" s="796"/>
      <c r="Q3" s="796"/>
      <c r="R3" s="788"/>
      <c r="S3" s="793" t="s">
        <v>18</v>
      </c>
      <c r="T3" s="795" t="s">
        <v>19</v>
      </c>
      <c r="U3" s="796"/>
      <c r="V3" s="796"/>
      <c r="W3" s="796"/>
      <c r="X3" s="796"/>
      <c r="Y3" s="796"/>
      <c r="Z3" s="796"/>
      <c r="AA3" s="796"/>
      <c r="AB3" s="796"/>
      <c r="AC3" s="796"/>
      <c r="AD3" s="796"/>
      <c r="AE3" s="799"/>
      <c r="AF3" s="797" t="s">
        <v>18</v>
      </c>
      <c r="AG3" s="795" t="s">
        <v>19</v>
      </c>
      <c r="AH3" s="796"/>
      <c r="AI3" s="796"/>
      <c r="AJ3" s="796"/>
      <c r="AK3" s="796"/>
      <c r="AL3" s="796"/>
      <c r="AM3" s="796"/>
      <c r="AN3" s="796"/>
      <c r="AO3" s="796"/>
      <c r="AP3" s="796"/>
      <c r="AQ3" s="796"/>
      <c r="AR3" s="796"/>
      <c r="AS3" s="799"/>
      <c r="AT3" s="803"/>
      <c r="AU3" s="804"/>
      <c r="AV3" s="804"/>
      <c r="AW3" s="804"/>
      <c r="AX3" s="804"/>
      <c r="AY3" s="804"/>
      <c r="AZ3" s="804"/>
      <c r="BA3" s="804"/>
      <c r="BB3" s="804"/>
      <c r="BC3" s="804"/>
      <c r="BD3" s="804"/>
      <c r="BE3" s="804"/>
      <c r="BF3" s="805"/>
      <c r="BG3" s="788"/>
      <c r="BH3" s="788"/>
      <c r="BI3" s="791"/>
      <c r="BJ3" s="84"/>
      <c r="BK3" s="17"/>
      <c r="BL3" s="777">
        <f>SUM(BL5/60)</f>
        <v>138833.33333333334</v>
      </c>
      <c r="BM3" s="777"/>
      <c r="BN3" s="777"/>
      <c r="BO3" s="569">
        <f>SUM(BR5/60)</f>
        <v>8500</v>
      </c>
      <c r="BP3" s="778" t="s">
        <v>230</v>
      </c>
      <c r="BQ3" s="779"/>
      <c r="BR3" s="779"/>
      <c r="BS3" s="779"/>
      <c r="BT3" s="779"/>
      <c r="BU3" s="779"/>
      <c r="BV3" s="779"/>
      <c r="BW3" s="779"/>
      <c r="BX3" s="779"/>
      <c r="BY3" s="779"/>
      <c r="BZ3" s="779"/>
      <c r="CA3" s="779"/>
      <c r="CB3" s="780"/>
      <c r="CC3" s="781" t="s">
        <v>231</v>
      </c>
      <c r="CD3" s="782"/>
      <c r="CE3" s="782"/>
      <c r="CF3" s="782"/>
      <c r="CG3" s="782"/>
      <c r="CH3" s="782"/>
      <c r="CI3" s="782"/>
      <c r="CJ3" s="782"/>
      <c r="CK3" s="782"/>
      <c r="CL3" s="782"/>
      <c r="CM3" s="782"/>
      <c r="CN3" s="782"/>
      <c r="CO3" s="783"/>
      <c r="CP3" s="332"/>
      <c r="CQ3" s="332"/>
      <c r="CR3" s="332"/>
      <c r="CS3" s="332"/>
      <c r="CT3" s="17"/>
      <c r="CU3" s="347"/>
      <c r="CV3" s="357"/>
      <c r="CW3" s="17"/>
      <c r="CX3" s="17"/>
      <c r="CY3" s="17"/>
      <c r="CZ3" s="17"/>
      <c r="DA3" s="17"/>
      <c r="DB3" s="17"/>
      <c r="DC3" s="17"/>
      <c r="DD3" s="19"/>
      <c r="DE3" s="19"/>
    </row>
    <row r="4" spans="1:127" s="5" customFormat="1" ht="28.5" customHeight="1" x14ac:dyDescent="0.2">
      <c r="A4" s="815"/>
      <c r="B4" s="789"/>
      <c r="C4" s="789"/>
      <c r="D4" s="798"/>
      <c r="E4" s="20">
        <v>1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  <c r="O4" s="20">
        <v>11</v>
      </c>
      <c r="P4" s="20">
        <v>12</v>
      </c>
      <c r="Q4" s="20" t="s">
        <v>21</v>
      </c>
      <c r="R4" s="789"/>
      <c r="S4" s="794"/>
      <c r="T4" s="20">
        <v>1</v>
      </c>
      <c r="U4" s="20">
        <v>2</v>
      </c>
      <c r="V4" s="20">
        <v>3</v>
      </c>
      <c r="W4" s="20">
        <v>4</v>
      </c>
      <c r="X4" s="20">
        <v>5</v>
      </c>
      <c r="Y4" s="20">
        <v>6</v>
      </c>
      <c r="Z4" s="20">
        <v>7</v>
      </c>
      <c r="AA4" s="20">
        <v>8</v>
      </c>
      <c r="AB4" s="20">
        <v>9</v>
      </c>
      <c r="AC4" s="20">
        <v>10</v>
      </c>
      <c r="AD4" s="20">
        <v>11</v>
      </c>
      <c r="AE4" s="20">
        <v>12</v>
      </c>
      <c r="AF4" s="798"/>
      <c r="AG4" s="20">
        <v>1</v>
      </c>
      <c r="AH4" s="20">
        <v>2</v>
      </c>
      <c r="AI4" s="20">
        <v>3</v>
      </c>
      <c r="AJ4" s="20">
        <v>4</v>
      </c>
      <c r="AK4" s="20">
        <v>5</v>
      </c>
      <c r="AL4" s="20">
        <v>6</v>
      </c>
      <c r="AM4" s="20">
        <v>7</v>
      </c>
      <c r="AN4" s="20">
        <v>8</v>
      </c>
      <c r="AO4" s="20">
        <v>9</v>
      </c>
      <c r="AP4" s="20">
        <v>10</v>
      </c>
      <c r="AQ4" s="20">
        <v>11</v>
      </c>
      <c r="AR4" s="20">
        <v>12</v>
      </c>
      <c r="AS4" s="20" t="s">
        <v>13</v>
      </c>
      <c r="AT4" s="111">
        <v>1</v>
      </c>
      <c r="AU4" s="111">
        <v>2</v>
      </c>
      <c r="AV4" s="111">
        <v>3</v>
      </c>
      <c r="AW4" s="111">
        <v>4</v>
      </c>
      <c r="AX4" s="111">
        <v>5</v>
      </c>
      <c r="AY4" s="111">
        <v>6</v>
      </c>
      <c r="AZ4" s="111">
        <v>7</v>
      </c>
      <c r="BA4" s="111">
        <v>8</v>
      </c>
      <c r="BB4" s="111">
        <v>9</v>
      </c>
      <c r="BC4" s="111">
        <v>10</v>
      </c>
      <c r="BD4" s="111">
        <v>11</v>
      </c>
      <c r="BE4" s="111">
        <v>12</v>
      </c>
      <c r="BF4" s="20" t="s">
        <v>13</v>
      </c>
      <c r="BG4" s="789"/>
      <c r="BH4" s="789"/>
      <c r="BI4" s="792"/>
      <c r="BJ4" s="6"/>
      <c r="BK4" s="564"/>
      <c r="BL4" s="784" t="s">
        <v>19</v>
      </c>
      <c r="BM4" s="785"/>
      <c r="BN4" s="786"/>
      <c r="BO4" s="584">
        <f>SUM(BO2-BO3)</f>
        <v>59500</v>
      </c>
      <c r="BP4" s="111">
        <v>1</v>
      </c>
      <c r="BQ4" s="111">
        <v>2</v>
      </c>
      <c r="BR4" s="111">
        <v>3</v>
      </c>
      <c r="BS4" s="111">
        <v>4</v>
      </c>
      <c r="BT4" s="111">
        <v>5</v>
      </c>
      <c r="BU4" s="111">
        <v>6</v>
      </c>
      <c r="BV4" s="111">
        <v>7</v>
      </c>
      <c r="BW4" s="111">
        <v>8</v>
      </c>
      <c r="BX4" s="111">
        <v>9</v>
      </c>
      <c r="BY4" s="111">
        <v>10</v>
      </c>
      <c r="BZ4" s="111">
        <v>11</v>
      </c>
      <c r="CA4" s="111">
        <v>12</v>
      </c>
      <c r="CB4" s="20" t="s">
        <v>13</v>
      </c>
      <c r="CC4" s="111">
        <v>1</v>
      </c>
      <c r="CD4" s="111">
        <v>2</v>
      </c>
      <c r="CE4" s="111">
        <v>3</v>
      </c>
      <c r="CF4" s="111">
        <v>4</v>
      </c>
      <c r="CG4" s="111">
        <v>5</v>
      </c>
      <c r="CH4" s="111">
        <v>6</v>
      </c>
      <c r="CI4" s="111">
        <v>7</v>
      </c>
      <c r="CJ4" s="111">
        <v>8</v>
      </c>
      <c r="CK4" s="111">
        <v>9</v>
      </c>
      <c r="CL4" s="111">
        <v>10</v>
      </c>
      <c r="CM4" s="111">
        <v>11</v>
      </c>
      <c r="CN4" s="111">
        <v>12</v>
      </c>
      <c r="CO4" s="20" t="s">
        <v>13</v>
      </c>
      <c r="CP4" s="333"/>
      <c r="CQ4" s="333"/>
      <c r="CR4" s="333"/>
      <c r="CS4" s="333"/>
      <c r="CT4" s="358"/>
      <c r="CU4" s="348"/>
      <c r="CV4" s="359"/>
      <c r="CW4" s="21"/>
      <c r="CX4" s="21"/>
      <c r="CY4" s="21"/>
      <c r="CZ4" s="21"/>
      <c r="DA4" s="21"/>
      <c r="DB4" s="21"/>
      <c r="DC4" s="21"/>
      <c r="DD4" s="21"/>
      <c r="DE4" s="21"/>
    </row>
    <row r="5" spans="1:127" s="70" customFormat="1" ht="24.75" customHeight="1" x14ac:dyDescent="0.2">
      <c r="A5" s="64"/>
      <c r="B5" s="345" t="s">
        <v>63</v>
      </c>
      <c r="C5" s="65" t="s">
        <v>71</v>
      </c>
      <c r="D5" s="486">
        <v>271</v>
      </c>
      <c r="E5" s="66">
        <v>100</v>
      </c>
      <c r="F5" s="66"/>
      <c r="G5" s="559">
        <v>60</v>
      </c>
      <c r="H5" s="559"/>
      <c r="I5" s="618">
        <v>80</v>
      </c>
      <c r="J5" s="618"/>
      <c r="K5" s="574"/>
      <c r="L5" s="574"/>
      <c r="M5" s="574"/>
      <c r="N5" s="574"/>
      <c r="O5" s="574"/>
      <c r="P5" s="574"/>
      <c r="Q5" s="339">
        <f>SUM(E5:P5)</f>
        <v>240</v>
      </c>
      <c r="R5" s="375" t="s">
        <v>14</v>
      </c>
      <c r="S5" s="374">
        <v>74100</v>
      </c>
      <c r="T5" s="66">
        <v>59000</v>
      </c>
      <c r="U5" s="325"/>
      <c r="V5" s="558">
        <v>68000</v>
      </c>
      <c r="W5" s="558"/>
      <c r="X5" s="619">
        <v>68000</v>
      </c>
      <c r="Y5" s="619"/>
      <c r="Z5" s="577"/>
      <c r="AA5" s="577"/>
      <c r="AB5" s="577"/>
      <c r="AC5" s="577"/>
      <c r="AD5" s="577"/>
      <c r="AE5" s="577"/>
      <c r="AF5" s="51">
        <f>Q5*S5</f>
        <v>17784000</v>
      </c>
      <c r="AG5" s="323">
        <f>T5*E5</f>
        <v>5900000</v>
      </c>
      <c r="AH5" s="323">
        <f t="shared" ref="AH5:AH22" si="30">U5*F5</f>
        <v>0</v>
      </c>
      <c r="AI5" s="580">
        <f>V5*G5</f>
        <v>4080000</v>
      </c>
      <c r="AJ5" s="580">
        <f t="shared" ref="AJ5:AJ7" si="31">W5*H5</f>
        <v>0</v>
      </c>
      <c r="AK5" s="616">
        <f t="shared" ref="AK5:AK7" si="32">X5*I5</f>
        <v>5440000</v>
      </c>
      <c r="AL5" s="616">
        <f t="shared" ref="AL5:AL7" si="33">Y5*J5</f>
        <v>0</v>
      </c>
      <c r="AM5" s="580">
        <f t="shared" ref="AM5:AM7" si="34">Z5*K5</f>
        <v>0</v>
      </c>
      <c r="AN5" s="580">
        <f t="shared" ref="AN5:AN7" si="35">AA5*L5</f>
        <v>0</v>
      </c>
      <c r="AO5" s="580">
        <f t="shared" ref="AO5:AO7" si="36">AB5*M5</f>
        <v>0</v>
      </c>
      <c r="AP5" s="580">
        <f t="shared" ref="AP5:AP7" si="37">AC5*N5</f>
        <v>0</v>
      </c>
      <c r="AQ5" s="580">
        <f t="shared" ref="AQ5:AQ7" si="38">AD5*O5</f>
        <v>0</v>
      </c>
      <c r="AR5" s="580">
        <f t="shared" ref="AR5:AR7" si="39">AE5*P5</f>
        <v>0</v>
      </c>
      <c r="AS5" s="324">
        <f>SUM(AG5:AR5)</f>
        <v>15420000</v>
      </c>
      <c r="AT5" s="323">
        <f>SUM(AG5*14%)</f>
        <v>826000.00000000012</v>
      </c>
      <c r="AU5" s="323">
        <f t="shared" ref="AU5" si="40">SUM(AH5*14%)</f>
        <v>0</v>
      </c>
      <c r="AV5" s="323"/>
      <c r="AW5" s="580">
        <f t="shared" ref="AW5:AW12" si="41">SUM(AJ5*12.5%)</f>
        <v>0</v>
      </c>
      <c r="AX5" s="616"/>
      <c r="AY5" s="580"/>
      <c r="AZ5" s="580"/>
      <c r="BA5" s="580"/>
      <c r="BB5" s="580"/>
      <c r="BC5" s="580"/>
      <c r="BD5" s="580"/>
      <c r="BE5" s="580"/>
      <c r="BF5" s="55">
        <f t="shared" ref="BF5:BF22" si="42">SUM(AT5:BE5)</f>
        <v>826000.00000000012</v>
      </c>
      <c r="BG5" s="72">
        <f>(AF5-AS5-BF5)</f>
        <v>1538000</v>
      </c>
      <c r="BH5" s="73">
        <f t="shared" ref="BH5:BH22" si="43">S5*D5</f>
        <v>20081100</v>
      </c>
      <c r="BI5" s="552">
        <f t="shared" ref="BI5:BI21" si="44">BH5-AS5-BF5</f>
        <v>3835100</v>
      </c>
      <c r="BJ5" s="99">
        <f t="shared" ref="BJ5:BJ12" si="45">SUM(Q5/D5)</f>
        <v>0.88560885608856088</v>
      </c>
      <c r="BK5" s="557"/>
      <c r="BL5" s="323">
        <f>SUM(AI5+AK5)-(BR5+BT5)</f>
        <v>8330000</v>
      </c>
      <c r="BM5" s="323">
        <f>59000*140</f>
        <v>8260000</v>
      </c>
      <c r="BN5" s="582">
        <f>SUM(BL5-BM5)</f>
        <v>70000</v>
      </c>
      <c r="BO5" s="561"/>
      <c r="BP5" s="323"/>
      <c r="BQ5" s="323"/>
      <c r="BR5" s="323">
        <f t="shared" ref="BR5:BR22" si="46">SUM(AI5*12.5%)</f>
        <v>510000</v>
      </c>
      <c r="BS5" s="571">
        <f t="shared" ref="BS5:BS21" si="47">SUM(AJ5*12.5%)</f>
        <v>0</v>
      </c>
      <c r="BT5" s="556">
        <f>SUM(AK5*12.5%)</f>
        <v>680000</v>
      </c>
      <c r="BU5" s="323">
        <f t="shared" ref="BU5:BU22" si="48">SUM(AL5*12.5%)</f>
        <v>0</v>
      </c>
      <c r="BV5" s="323">
        <f t="shared" ref="BV5:BV22" si="49">SUM(AM5*12.5%)</f>
        <v>0</v>
      </c>
      <c r="BW5" s="323">
        <f t="shared" ref="BW5:BW22" si="50">SUM(AN5*12.5%)</f>
        <v>0</v>
      </c>
      <c r="BX5" s="323">
        <f t="shared" ref="BX5:BX22" si="51">SUM(AO5*12.5%)</f>
        <v>0</v>
      </c>
      <c r="BY5" s="323">
        <f t="shared" ref="BY5:BY22" si="52">SUM(AP5*12.5%)</f>
        <v>0</v>
      </c>
      <c r="BZ5" s="323">
        <f t="shared" ref="BZ5:BZ22" si="53">SUM(AQ5*12.5%)</f>
        <v>0</v>
      </c>
      <c r="CA5" s="323">
        <f t="shared" ref="CA5:CA22" si="54">SUM(AR5*12.5%)</f>
        <v>0</v>
      </c>
      <c r="CB5" s="55">
        <f t="shared" ref="CB5" si="55">SUM(BP5:CA5)</f>
        <v>1190000</v>
      </c>
      <c r="CC5" s="323"/>
      <c r="CD5" s="323"/>
      <c r="CE5" s="323"/>
      <c r="CF5" s="323"/>
      <c r="CG5" s="323"/>
      <c r="CH5" s="323"/>
      <c r="CI5" s="323"/>
      <c r="CJ5" s="323"/>
      <c r="CK5" s="323"/>
      <c r="CL5" s="323"/>
      <c r="CM5" s="323"/>
      <c r="CN5" s="323"/>
      <c r="CO5" s="55">
        <f t="shared" ref="CO5:CO22" si="56">SUM(CC5:CN5)</f>
        <v>0</v>
      </c>
      <c r="CP5" s="334"/>
      <c r="CQ5" s="334"/>
      <c r="CR5" s="334"/>
      <c r="CS5" s="334"/>
      <c r="CT5" s="360"/>
      <c r="CU5" s="349"/>
      <c r="CV5" s="361"/>
      <c r="CW5" s="69"/>
      <c r="CX5" s="69"/>
      <c r="CY5" s="69"/>
      <c r="CZ5" s="69"/>
      <c r="DA5" s="69"/>
      <c r="DB5" s="69"/>
      <c r="DC5" s="69"/>
      <c r="DD5" s="69"/>
      <c r="DE5" s="69"/>
    </row>
    <row r="6" spans="1:127" s="70" customFormat="1" ht="24.75" customHeight="1" x14ac:dyDescent="0.2">
      <c r="A6" s="64"/>
      <c r="B6" s="345" t="s">
        <v>150</v>
      </c>
      <c r="C6" s="65" t="s">
        <v>71</v>
      </c>
      <c r="D6" s="486">
        <v>42</v>
      </c>
      <c r="E6" s="66">
        <v>12</v>
      </c>
      <c r="F6" s="66"/>
      <c r="G6" s="559">
        <v>12</v>
      </c>
      <c r="H6" s="574"/>
      <c r="I6" s="618">
        <v>4</v>
      </c>
      <c r="J6" s="618"/>
      <c r="K6" s="574"/>
      <c r="L6" s="574"/>
      <c r="M6" s="574"/>
      <c r="N6" s="574"/>
      <c r="O6" s="574"/>
      <c r="P6" s="574"/>
      <c r="Q6" s="339">
        <f t="shared" ref="Q6:Q22" si="57">SUM(E6:P6)</f>
        <v>28</v>
      </c>
      <c r="R6" s="375" t="s">
        <v>69</v>
      </c>
      <c r="S6" s="374">
        <v>199500</v>
      </c>
      <c r="T6" s="66">
        <v>150000</v>
      </c>
      <c r="U6" s="325"/>
      <c r="V6" s="577">
        <v>175000</v>
      </c>
      <c r="W6" s="577"/>
      <c r="X6" s="619">
        <v>175000</v>
      </c>
      <c r="Y6" s="619"/>
      <c r="Z6" s="577"/>
      <c r="AA6" s="577"/>
      <c r="AB6" s="577"/>
      <c r="AC6" s="577"/>
      <c r="AD6" s="577"/>
      <c r="AE6" s="577"/>
      <c r="AF6" s="51">
        <f t="shared" ref="AF6:AF22" si="58">Q6*S6</f>
        <v>5586000</v>
      </c>
      <c r="AG6" s="323">
        <f t="shared" ref="AG6:AG22" si="59">T6*E6</f>
        <v>1800000</v>
      </c>
      <c r="AH6" s="323">
        <f t="shared" si="30"/>
        <v>0</v>
      </c>
      <c r="AI6" s="580">
        <f t="shared" ref="AI6:AI22" si="60">V6*G6</f>
        <v>2100000</v>
      </c>
      <c r="AJ6" s="580">
        <f t="shared" si="31"/>
        <v>0</v>
      </c>
      <c r="AK6" s="616">
        <f t="shared" si="32"/>
        <v>700000</v>
      </c>
      <c r="AL6" s="616">
        <f t="shared" si="33"/>
        <v>0</v>
      </c>
      <c r="AM6" s="580">
        <f t="shared" si="34"/>
        <v>0</v>
      </c>
      <c r="AN6" s="580">
        <f t="shared" si="35"/>
        <v>0</v>
      </c>
      <c r="AO6" s="580">
        <f t="shared" si="36"/>
        <v>0</v>
      </c>
      <c r="AP6" s="580">
        <f t="shared" si="37"/>
        <v>0</v>
      </c>
      <c r="AQ6" s="580">
        <f t="shared" si="38"/>
        <v>0</v>
      </c>
      <c r="AR6" s="580">
        <f t="shared" si="39"/>
        <v>0</v>
      </c>
      <c r="AS6" s="324">
        <f t="shared" ref="AS6:AS22" si="61">SUM(AG6:AR6)</f>
        <v>4600000</v>
      </c>
      <c r="AT6" s="323">
        <f t="shared" ref="AT6:AT22" si="62">SUM(AG6*14%)</f>
        <v>252000.00000000003</v>
      </c>
      <c r="AU6" s="323">
        <f t="shared" ref="AU6:AU12" si="63">SUM(AH6*14%)</f>
        <v>0</v>
      </c>
      <c r="AV6" s="323"/>
      <c r="AW6" s="580">
        <f t="shared" si="41"/>
        <v>0</v>
      </c>
      <c r="AX6" s="616"/>
      <c r="AY6" s="580"/>
      <c r="AZ6" s="580"/>
      <c r="BA6" s="580"/>
      <c r="BB6" s="580"/>
      <c r="BC6" s="580"/>
      <c r="BD6" s="580"/>
      <c r="BE6" s="580"/>
      <c r="BF6" s="55">
        <f t="shared" si="42"/>
        <v>252000.00000000003</v>
      </c>
      <c r="BG6" s="72">
        <f>AF6-AS6-BF6</f>
        <v>734000</v>
      </c>
      <c r="BH6" s="73">
        <f t="shared" si="43"/>
        <v>8379000</v>
      </c>
      <c r="BI6" s="74">
        <f t="shared" si="44"/>
        <v>3527000</v>
      </c>
      <c r="BJ6" s="99">
        <f t="shared" si="45"/>
        <v>0.66666666666666663</v>
      </c>
      <c r="BK6" s="557"/>
      <c r="BL6" s="323">
        <f>SUM(AI6+AK6)-(BR6+BT6)</f>
        <v>2450000</v>
      </c>
      <c r="BM6" s="323">
        <f>150000*16</f>
        <v>2400000</v>
      </c>
      <c r="BN6" s="582">
        <f>SUM(BL6-BM6)</f>
        <v>50000</v>
      </c>
      <c r="BO6" s="561"/>
      <c r="BP6" s="323"/>
      <c r="BQ6" s="323"/>
      <c r="BR6" s="323">
        <f t="shared" si="46"/>
        <v>262500</v>
      </c>
      <c r="BS6" s="571">
        <f t="shared" si="47"/>
        <v>0</v>
      </c>
      <c r="BT6" s="556">
        <f>SUM(AK6*12.5%)</f>
        <v>87500</v>
      </c>
      <c r="BU6" s="323">
        <f t="shared" si="48"/>
        <v>0</v>
      </c>
      <c r="BV6" s="323">
        <f t="shared" si="49"/>
        <v>0</v>
      </c>
      <c r="BW6" s="323">
        <f t="shared" si="50"/>
        <v>0</v>
      </c>
      <c r="BX6" s="323">
        <f t="shared" si="51"/>
        <v>0</v>
      </c>
      <c r="BY6" s="323">
        <f t="shared" si="52"/>
        <v>0</v>
      </c>
      <c r="BZ6" s="323">
        <f t="shared" si="53"/>
        <v>0</v>
      </c>
      <c r="CA6" s="323">
        <f t="shared" si="54"/>
        <v>0</v>
      </c>
      <c r="CB6" s="55">
        <f t="shared" ref="CB6:CB22" si="64">SUM(BP6:CA6)</f>
        <v>350000</v>
      </c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55">
        <f t="shared" si="56"/>
        <v>0</v>
      </c>
      <c r="CP6" s="334"/>
      <c r="CQ6" s="334"/>
      <c r="CR6" s="334"/>
      <c r="CS6" s="334"/>
      <c r="CT6" s="360"/>
      <c r="CU6" s="349"/>
      <c r="CV6" s="361"/>
      <c r="CW6" s="69"/>
      <c r="CX6" s="69"/>
      <c r="CY6" s="69"/>
      <c r="CZ6" s="69"/>
      <c r="DA6" s="69"/>
      <c r="DB6" s="69"/>
      <c r="DC6" s="69"/>
      <c r="DD6" s="69"/>
      <c r="DE6" s="69"/>
    </row>
    <row r="7" spans="1:127" s="70" customFormat="1" ht="24.75" customHeight="1" x14ac:dyDescent="0.2">
      <c r="A7" s="64"/>
      <c r="B7" s="430" t="s">
        <v>151</v>
      </c>
      <c r="C7" s="65" t="s">
        <v>71</v>
      </c>
      <c r="D7" s="486">
        <v>32</v>
      </c>
      <c r="E7" s="66">
        <v>8</v>
      </c>
      <c r="F7" s="66"/>
      <c r="G7" s="559">
        <v>8</v>
      </c>
      <c r="H7" s="574">
        <v>8</v>
      </c>
      <c r="I7" s="618"/>
      <c r="J7" s="618">
        <v>8</v>
      </c>
      <c r="K7" s="574"/>
      <c r="L7" s="574"/>
      <c r="M7" s="574"/>
      <c r="N7" s="574"/>
      <c r="O7" s="574"/>
      <c r="P7" s="574"/>
      <c r="Q7" s="339">
        <f t="shared" si="57"/>
        <v>32</v>
      </c>
      <c r="R7" s="375" t="s">
        <v>69</v>
      </c>
      <c r="S7" s="374">
        <v>228000</v>
      </c>
      <c r="T7" s="66">
        <v>150000</v>
      </c>
      <c r="U7" s="325"/>
      <c r="V7" s="577">
        <v>195000</v>
      </c>
      <c r="W7" s="577">
        <v>195000</v>
      </c>
      <c r="X7" s="619"/>
      <c r="Y7" s="619">
        <v>195000</v>
      </c>
      <c r="Z7" s="577"/>
      <c r="AA7" s="577"/>
      <c r="AB7" s="577"/>
      <c r="AC7" s="577"/>
      <c r="AD7" s="577"/>
      <c r="AE7" s="577"/>
      <c r="AF7" s="51">
        <f t="shared" si="58"/>
        <v>7296000</v>
      </c>
      <c r="AG7" s="323">
        <f>T7*E7</f>
        <v>1200000</v>
      </c>
      <c r="AH7" s="323">
        <f t="shared" si="30"/>
        <v>0</v>
      </c>
      <c r="AI7" s="580">
        <f t="shared" si="60"/>
        <v>1560000</v>
      </c>
      <c r="AJ7" s="580">
        <f t="shared" si="31"/>
        <v>1560000</v>
      </c>
      <c r="AK7" s="616">
        <f t="shared" si="32"/>
        <v>0</v>
      </c>
      <c r="AL7" s="616">
        <f t="shared" si="33"/>
        <v>1560000</v>
      </c>
      <c r="AM7" s="580">
        <f t="shared" si="34"/>
        <v>0</v>
      </c>
      <c r="AN7" s="580">
        <f t="shared" si="35"/>
        <v>0</v>
      </c>
      <c r="AO7" s="580">
        <f t="shared" si="36"/>
        <v>0</v>
      </c>
      <c r="AP7" s="580">
        <f t="shared" si="37"/>
        <v>0</v>
      </c>
      <c r="AQ7" s="580">
        <f t="shared" si="38"/>
        <v>0</v>
      </c>
      <c r="AR7" s="580">
        <f t="shared" si="39"/>
        <v>0</v>
      </c>
      <c r="AS7" s="324">
        <f t="shared" si="61"/>
        <v>5880000</v>
      </c>
      <c r="AT7" s="323">
        <f t="shared" si="62"/>
        <v>168000.00000000003</v>
      </c>
      <c r="AU7" s="323">
        <f t="shared" si="63"/>
        <v>0</v>
      </c>
      <c r="AV7" s="323"/>
      <c r="AW7" s="580"/>
      <c r="AX7" s="616"/>
      <c r="AY7" s="580"/>
      <c r="AZ7" s="580"/>
      <c r="BA7" s="580"/>
      <c r="BB7" s="580"/>
      <c r="BC7" s="580"/>
      <c r="BD7" s="580"/>
      <c r="BE7" s="580"/>
      <c r="BF7" s="55">
        <f t="shared" si="42"/>
        <v>168000.00000000003</v>
      </c>
      <c r="BG7" s="72">
        <f t="shared" ref="BG7:BG12" si="65">AF7-AS7-BF7</f>
        <v>1248000</v>
      </c>
      <c r="BH7" s="73">
        <f t="shared" si="43"/>
        <v>7296000</v>
      </c>
      <c r="BI7" s="74">
        <f t="shared" si="44"/>
        <v>1248000</v>
      </c>
      <c r="BJ7" s="99">
        <f t="shared" si="45"/>
        <v>1</v>
      </c>
      <c r="BK7" s="557"/>
      <c r="BL7" s="323">
        <f>SUM(AI7+AJ7)-(BR7+BS7)</f>
        <v>2730000</v>
      </c>
      <c r="BM7" s="323">
        <f>168750*(G7+H7)</f>
        <v>2700000</v>
      </c>
      <c r="BN7" s="582">
        <f t="shared" ref="BN7:BN13" si="66">SUM(BL7-BM7)</f>
        <v>30000</v>
      </c>
      <c r="BO7" s="561"/>
      <c r="BP7" s="323"/>
      <c r="BQ7" s="323"/>
      <c r="BR7" s="323">
        <f t="shared" si="46"/>
        <v>195000</v>
      </c>
      <c r="BS7" s="571">
        <f t="shared" si="47"/>
        <v>195000</v>
      </c>
      <c r="BT7" s="556">
        <f t="shared" ref="BT7:BT22" si="67">SUM(AK7*12.5%)</f>
        <v>0</v>
      </c>
      <c r="BU7" s="323">
        <f t="shared" si="48"/>
        <v>195000</v>
      </c>
      <c r="BV7" s="323">
        <f t="shared" si="49"/>
        <v>0</v>
      </c>
      <c r="BW7" s="323">
        <f t="shared" si="50"/>
        <v>0</v>
      </c>
      <c r="BX7" s="323">
        <f t="shared" si="51"/>
        <v>0</v>
      </c>
      <c r="BY7" s="323">
        <f t="shared" si="52"/>
        <v>0</v>
      </c>
      <c r="BZ7" s="323">
        <f t="shared" si="53"/>
        <v>0</v>
      </c>
      <c r="CA7" s="323">
        <f t="shared" si="54"/>
        <v>0</v>
      </c>
      <c r="CB7" s="55">
        <f t="shared" si="64"/>
        <v>585000</v>
      </c>
      <c r="CC7" s="323"/>
      <c r="CD7" s="323"/>
      <c r="CE7" s="323"/>
      <c r="CF7" s="323"/>
      <c r="CG7" s="323"/>
      <c r="CH7" s="323"/>
      <c r="CI7" s="323"/>
      <c r="CJ7" s="323"/>
      <c r="CK7" s="323"/>
      <c r="CL7" s="323"/>
      <c r="CM7" s="323"/>
      <c r="CN7" s="323"/>
      <c r="CO7" s="55">
        <f t="shared" si="56"/>
        <v>0</v>
      </c>
      <c r="CP7" s="334"/>
      <c r="CQ7" s="334"/>
      <c r="CR7" s="334"/>
      <c r="CS7" s="334"/>
      <c r="CT7" s="360"/>
      <c r="CU7" s="349"/>
      <c r="CV7" s="361"/>
      <c r="CW7" s="69"/>
      <c r="CX7" s="69"/>
      <c r="CY7" s="69"/>
      <c r="CZ7" s="69"/>
      <c r="DA7" s="69"/>
      <c r="DB7" s="69"/>
      <c r="DC7" s="69"/>
      <c r="DD7" s="69"/>
      <c r="DE7" s="69"/>
    </row>
    <row r="8" spans="1:127" s="70" customFormat="1" ht="24.75" customHeight="1" x14ac:dyDescent="0.2">
      <c r="A8" s="64"/>
      <c r="B8" s="345" t="s">
        <v>152</v>
      </c>
      <c r="C8" s="65" t="s">
        <v>71</v>
      </c>
      <c r="D8" s="486">
        <v>15</v>
      </c>
      <c r="E8" s="66">
        <v>5</v>
      </c>
      <c r="F8" s="66"/>
      <c r="G8" s="559"/>
      <c r="H8" s="574">
        <v>4</v>
      </c>
      <c r="I8" s="618"/>
      <c r="J8" s="618">
        <v>6</v>
      </c>
      <c r="K8" s="574"/>
      <c r="L8" s="574"/>
      <c r="M8" s="574"/>
      <c r="N8" s="574"/>
      <c r="O8" s="574"/>
      <c r="P8" s="574"/>
      <c r="Q8" s="339">
        <f t="shared" si="57"/>
        <v>15</v>
      </c>
      <c r="R8" s="375" t="s">
        <v>69</v>
      </c>
      <c r="S8" s="374">
        <v>342000</v>
      </c>
      <c r="T8" s="66">
        <v>210000</v>
      </c>
      <c r="U8" s="325"/>
      <c r="V8" s="577"/>
      <c r="W8" s="559">
        <v>240000</v>
      </c>
      <c r="X8" s="619"/>
      <c r="Y8" s="581">
        <v>240000</v>
      </c>
      <c r="Z8" s="577"/>
      <c r="AA8" s="577"/>
      <c r="AB8" s="577"/>
      <c r="AC8" s="577"/>
      <c r="AD8" s="577"/>
      <c r="AE8" s="577"/>
      <c r="AF8" s="51">
        <v>5130000</v>
      </c>
      <c r="AG8" s="323">
        <f t="shared" si="59"/>
        <v>1050000</v>
      </c>
      <c r="AH8" s="323">
        <f t="shared" si="30"/>
        <v>0</v>
      </c>
      <c r="AI8" s="580">
        <f t="shared" si="60"/>
        <v>0</v>
      </c>
      <c r="AJ8" s="580">
        <f t="shared" ref="AJ8:AJ21" si="68">W8*H8</f>
        <v>960000</v>
      </c>
      <c r="AK8" s="616">
        <f t="shared" ref="AK8:AK21" si="69">X8*I8</f>
        <v>0</v>
      </c>
      <c r="AL8" s="616">
        <f t="shared" ref="AL8:AL21" si="70">Y8*J8</f>
        <v>1440000</v>
      </c>
      <c r="AM8" s="580">
        <f t="shared" ref="AM8:AM21" si="71">Z8*K8</f>
        <v>0</v>
      </c>
      <c r="AN8" s="580">
        <f t="shared" ref="AN8:AN21" si="72">AA8*L8</f>
        <v>0</v>
      </c>
      <c r="AO8" s="580">
        <f t="shared" ref="AO8:AO21" si="73">AB8*M8</f>
        <v>0</v>
      </c>
      <c r="AP8" s="580">
        <f t="shared" ref="AP8:AP21" si="74">AC8*N8</f>
        <v>0</v>
      </c>
      <c r="AQ8" s="580">
        <f t="shared" ref="AQ8:AQ21" si="75">AD8*O8</f>
        <v>0</v>
      </c>
      <c r="AR8" s="580">
        <f t="shared" ref="AR8:AR21" si="76">AE8*P8</f>
        <v>0</v>
      </c>
      <c r="AS8" s="324">
        <f t="shared" si="61"/>
        <v>3450000</v>
      </c>
      <c r="AT8" s="323">
        <f t="shared" si="62"/>
        <v>147000</v>
      </c>
      <c r="AU8" s="323">
        <f t="shared" si="63"/>
        <v>0</v>
      </c>
      <c r="AV8" s="323"/>
      <c r="AW8" s="580"/>
      <c r="AX8" s="616"/>
      <c r="AY8" s="580"/>
      <c r="AZ8" s="580"/>
      <c r="BA8" s="580"/>
      <c r="BB8" s="580"/>
      <c r="BC8" s="580"/>
      <c r="BD8" s="580"/>
      <c r="BE8" s="580"/>
      <c r="BF8" s="55">
        <f t="shared" si="42"/>
        <v>147000</v>
      </c>
      <c r="BG8" s="72">
        <f t="shared" si="65"/>
        <v>1533000</v>
      </c>
      <c r="BH8" s="73">
        <f t="shared" si="43"/>
        <v>5130000</v>
      </c>
      <c r="BI8" s="74">
        <f t="shared" si="44"/>
        <v>1533000</v>
      </c>
      <c r="BJ8" s="99">
        <f t="shared" si="45"/>
        <v>1</v>
      </c>
      <c r="BK8" s="557"/>
      <c r="BL8" s="323">
        <f>SUM(AJ8+AL8)-(BS8+BU8)</f>
        <v>2100000</v>
      </c>
      <c r="BM8" s="323">
        <f>210000*10</f>
        <v>2100000</v>
      </c>
      <c r="BN8" s="582">
        <f t="shared" ref="BN8:BN11" si="77">SUM(BL8-BM8)</f>
        <v>0</v>
      </c>
      <c r="BO8" s="561"/>
      <c r="BP8" s="323"/>
      <c r="BQ8" s="323"/>
      <c r="BR8" s="323">
        <f t="shared" si="46"/>
        <v>0</v>
      </c>
      <c r="BS8" s="571">
        <f t="shared" si="47"/>
        <v>120000</v>
      </c>
      <c r="BT8" s="556">
        <f t="shared" si="67"/>
        <v>0</v>
      </c>
      <c r="BU8" s="323">
        <f t="shared" si="48"/>
        <v>180000</v>
      </c>
      <c r="BV8" s="323">
        <f t="shared" si="49"/>
        <v>0</v>
      </c>
      <c r="BW8" s="323">
        <f t="shared" si="50"/>
        <v>0</v>
      </c>
      <c r="BX8" s="323">
        <f t="shared" si="51"/>
        <v>0</v>
      </c>
      <c r="BY8" s="323">
        <f t="shared" si="52"/>
        <v>0</v>
      </c>
      <c r="BZ8" s="323">
        <f t="shared" si="53"/>
        <v>0</v>
      </c>
      <c r="CA8" s="323">
        <f t="shared" si="54"/>
        <v>0</v>
      </c>
      <c r="CB8" s="55">
        <f t="shared" si="64"/>
        <v>300000</v>
      </c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55">
        <f t="shared" si="56"/>
        <v>0</v>
      </c>
      <c r="CP8" s="334"/>
      <c r="CQ8" s="334"/>
      <c r="CR8" s="334"/>
      <c r="CS8" s="334"/>
      <c r="CT8" s="360"/>
      <c r="CU8" s="349"/>
      <c r="CV8" s="361"/>
      <c r="CW8" s="69"/>
      <c r="CX8" s="69"/>
      <c r="CY8" s="69"/>
      <c r="CZ8" s="69"/>
      <c r="DA8" s="69"/>
      <c r="DB8" s="69"/>
      <c r="DC8" s="69"/>
      <c r="DD8" s="69"/>
      <c r="DE8" s="69"/>
    </row>
    <row r="9" spans="1:127" s="70" customFormat="1" ht="24.75" customHeight="1" x14ac:dyDescent="0.2">
      <c r="A9" s="64"/>
      <c r="B9" s="345" t="s">
        <v>153</v>
      </c>
      <c r="C9" s="65" t="s">
        <v>71</v>
      </c>
      <c r="D9" s="486">
        <v>4000</v>
      </c>
      <c r="E9" s="66"/>
      <c r="F9" s="66"/>
      <c r="G9" s="575"/>
      <c r="H9" s="574"/>
      <c r="I9" s="618"/>
      <c r="J9" s="618"/>
      <c r="K9" s="574"/>
      <c r="L9" s="574"/>
      <c r="M9" s="574"/>
      <c r="N9" s="574"/>
      <c r="O9" s="574"/>
      <c r="P9" s="574"/>
      <c r="Q9" s="421">
        <f t="shared" si="57"/>
        <v>0</v>
      </c>
      <c r="R9" s="375" t="s">
        <v>160</v>
      </c>
      <c r="S9" s="374">
        <v>60</v>
      </c>
      <c r="T9" s="66"/>
      <c r="U9" s="325"/>
      <c r="V9" s="585"/>
      <c r="W9" s="577"/>
      <c r="X9" s="619"/>
      <c r="Y9" s="619"/>
      <c r="Z9" s="577"/>
      <c r="AA9" s="577"/>
      <c r="AB9" s="577"/>
      <c r="AC9" s="577"/>
      <c r="AD9" s="577"/>
      <c r="AE9" s="577"/>
      <c r="AF9" s="51">
        <f t="shared" si="58"/>
        <v>0</v>
      </c>
      <c r="AG9" s="323">
        <f t="shared" si="59"/>
        <v>0</v>
      </c>
      <c r="AH9" s="323">
        <f t="shared" si="30"/>
        <v>0</v>
      </c>
      <c r="AI9" s="580">
        <f t="shared" si="60"/>
        <v>0</v>
      </c>
      <c r="AJ9" s="580">
        <f t="shared" si="68"/>
        <v>0</v>
      </c>
      <c r="AK9" s="616">
        <f t="shared" si="69"/>
        <v>0</v>
      </c>
      <c r="AL9" s="616">
        <f t="shared" si="70"/>
        <v>0</v>
      </c>
      <c r="AM9" s="580">
        <f t="shared" si="71"/>
        <v>0</v>
      </c>
      <c r="AN9" s="580">
        <f t="shared" si="72"/>
        <v>0</v>
      </c>
      <c r="AO9" s="580">
        <f t="shared" si="73"/>
        <v>0</v>
      </c>
      <c r="AP9" s="580">
        <f t="shared" si="74"/>
        <v>0</v>
      </c>
      <c r="AQ9" s="580">
        <f t="shared" si="75"/>
        <v>0</v>
      </c>
      <c r="AR9" s="580">
        <f t="shared" si="76"/>
        <v>0</v>
      </c>
      <c r="AS9" s="324">
        <f t="shared" si="61"/>
        <v>0</v>
      </c>
      <c r="AT9" s="323">
        <f t="shared" si="62"/>
        <v>0</v>
      </c>
      <c r="AU9" s="323">
        <f t="shared" si="63"/>
        <v>0</v>
      </c>
      <c r="AV9" s="323"/>
      <c r="AW9" s="580">
        <f t="shared" si="41"/>
        <v>0</v>
      </c>
      <c r="AX9" s="616"/>
      <c r="AY9" s="580"/>
      <c r="AZ9" s="580"/>
      <c r="BA9" s="580"/>
      <c r="BB9" s="580"/>
      <c r="BC9" s="580"/>
      <c r="BD9" s="580"/>
      <c r="BE9" s="580"/>
      <c r="BF9" s="55">
        <f t="shared" si="42"/>
        <v>0</v>
      </c>
      <c r="BG9" s="72">
        <f t="shared" si="65"/>
        <v>0</v>
      </c>
      <c r="BH9" s="73">
        <f t="shared" si="43"/>
        <v>240000</v>
      </c>
      <c r="BI9" s="74">
        <f t="shared" si="44"/>
        <v>240000</v>
      </c>
      <c r="BJ9" s="99">
        <f t="shared" si="45"/>
        <v>0</v>
      </c>
      <c r="BK9" s="557"/>
      <c r="BL9" s="323">
        <f t="shared" ref="BL9:BL11" si="78">SUM(AI9+AJ9)-(BR9+BS9)</f>
        <v>0</v>
      </c>
      <c r="BM9" s="323">
        <f t="shared" ref="BM9:BM11" si="79">168750*(G9+H9)</f>
        <v>0</v>
      </c>
      <c r="BN9" s="582">
        <f t="shared" si="77"/>
        <v>0</v>
      </c>
      <c r="BO9" s="561"/>
      <c r="BP9" s="323"/>
      <c r="BQ9" s="323"/>
      <c r="BR9" s="323">
        <f t="shared" si="46"/>
        <v>0</v>
      </c>
      <c r="BS9" s="571">
        <f t="shared" si="47"/>
        <v>0</v>
      </c>
      <c r="BT9" s="556">
        <f t="shared" si="67"/>
        <v>0</v>
      </c>
      <c r="BU9" s="323">
        <f t="shared" si="48"/>
        <v>0</v>
      </c>
      <c r="BV9" s="323">
        <f t="shared" si="49"/>
        <v>0</v>
      </c>
      <c r="BW9" s="323">
        <f t="shared" si="50"/>
        <v>0</v>
      </c>
      <c r="BX9" s="323">
        <f t="shared" si="51"/>
        <v>0</v>
      </c>
      <c r="BY9" s="323">
        <f t="shared" si="52"/>
        <v>0</v>
      </c>
      <c r="BZ9" s="323">
        <f t="shared" si="53"/>
        <v>0</v>
      </c>
      <c r="CA9" s="323">
        <f t="shared" si="54"/>
        <v>0</v>
      </c>
      <c r="CB9" s="55">
        <f t="shared" si="64"/>
        <v>0</v>
      </c>
      <c r="CC9" s="323"/>
      <c r="CD9" s="323"/>
      <c r="CE9" s="323"/>
      <c r="CF9" s="323"/>
      <c r="CG9" s="323"/>
      <c r="CH9" s="323"/>
      <c r="CI9" s="323"/>
      <c r="CJ9" s="323"/>
      <c r="CK9" s="323"/>
      <c r="CL9" s="323"/>
      <c r="CM9" s="323"/>
      <c r="CN9" s="323"/>
      <c r="CO9" s="55">
        <f t="shared" si="56"/>
        <v>0</v>
      </c>
      <c r="CP9" s="334"/>
      <c r="CQ9" s="334"/>
      <c r="CR9" s="334"/>
      <c r="CS9" s="334"/>
      <c r="CT9" s="360"/>
      <c r="CU9" s="349"/>
      <c r="CV9" s="361"/>
      <c r="CW9" s="69"/>
      <c r="CX9" s="69"/>
      <c r="CY9" s="69"/>
      <c r="CZ9" s="69"/>
      <c r="DA9" s="69"/>
      <c r="DB9" s="69"/>
      <c r="DC9" s="69"/>
      <c r="DD9" s="69"/>
      <c r="DE9" s="69"/>
    </row>
    <row r="10" spans="1:127" s="70" customFormat="1" ht="24.75" customHeight="1" x14ac:dyDescent="0.2">
      <c r="A10" s="64"/>
      <c r="B10" s="345" t="s">
        <v>81</v>
      </c>
      <c r="C10" s="65" t="s">
        <v>71</v>
      </c>
      <c r="D10" s="486">
        <v>6003</v>
      </c>
      <c r="E10" s="66"/>
      <c r="F10" s="66"/>
      <c r="G10" s="574"/>
      <c r="H10" s="574"/>
      <c r="I10" s="618"/>
      <c r="J10" s="618"/>
      <c r="K10" s="574"/>
      <c r="L10" s="574"/>
      <c r="M10" s="574"/>
      <c r="N10" s="574"/>
      <c r="O10" s="574"/>
      <c r="P10" s="574"/>
      <c r="Q10" s="339">
        <f t="shared" si="57"/>
        <v>0</v>
      </c>
      <c r="R10" s="375" t="s">
        <v>161</v>
      </c>
      <c r="S10" s="374">
        <v>920</v>
      </c>
      <c r="T10" s="66"/>
      <c r="U10" s="325"/>
      <c r="V10" s="577"/>
      <c r="W10" s="577"/>
      <c r="X10" s="619"/>
      <c r="Y10" s="619"/>
      <c r="Z10" s="577"/>
      <c r="AA10" s="577"/>
      <c r="AB10" s="577"/>
      <c r="AC10" s="577"/>
      <c r="AD10" s="577"/>
      <c r="AE10" s="577"/>
      <c r="AF10" s="51">
        <f t="shared" si="58"/>
        <v>0</v>
      </c>
      <c r="AG10" s="323">
        <f t="shared" si="59"/>
        <v>0</v>
      </c>
      <c r="AH10" s="323">
        <f t="shared" si="30"/>
        <v>0</v>
      </c>
      <c r="AI10" s="580">
        <f t="shared" si="60"/>
        <v>0</v>
      </c>
      <c r="AJ10" s="580">
        <f t="shared" si="68"/>
        <v>0</v>
      </c>
      <c r="AK10" s="616">
        <f t="shared" si="69"/>
        <v>0</v>
      </c>
      <c r="AL10" s="616">
        <f t="shared" si="70"/>
        <v>0</v>
      </c>
      <c r="AM10" s="580">
        <f t="shared" si="71"/>
        <v>0</v>
      </c>
      <c r="AN10" s="580">
        <f t="shared" si="72"/>
        <v>0</v>
      </c>
      <c r="AO10" s="580">
        <f t="shared" si="73"/>
        <v>0</v>
      </c>
      <c r="AP10" s="580">
        <f t="shared" si="74"/>
        <v>0</v>
      </c>
      <c r="AQ10" s="580">
        <f t="shared" si="75"/>
        <v>0</v>
      </c>
      <c r="AR10" s="580">
        <f t="shared" si="76"/>
        <v>0</v>
      </c>
      <c r="AS10" s="324">
        <f t="shared" si="61"/>
        <v>0</v>
      </c>
      <c r="AT10" s="323">
        <f t="shared" si="62"/>
        <v>0</v>
      </c>
      <c r="AU10" s="323">
        <f t="shared" si="63"/>
        <v>0</v>
      </c>
      <c r="AV10" s="323"/>
      <c r="AW10" s="580">
        <f t="shared" si="41"/>
        <v>0</v>
      </c>
      <c r="AX10" s="616"/>
      <c r="AY10" s="580"/>
      <c r="AZ10" s="580"/>
      <c r="BA10" s="580"/>
      <c r="BB10" s="580"/>
      <c r="BC10" s="580"/>
      <c r="BD10" s="580"/>
      <c r="BE10" s="580"/>
      <c r="BF10" s="55">
        <f t="shared" si="42"/>
        <v>0</v>
      </c>
      <c r="BG10" s="72">
        <f t="shared" si="65"/>
        <v>0</v>
      </c>
      <c r="BH10" s="73">
        <f t="shared" si="43"/>
        <v>5522760</v>
      </c>
      <c r="BI10" s="74">
        <f t="shared" si="44"/>
        <v>5522760</v>
      </c>
      <c r="BJ10" s="99">
        <f t="shared" si="45"/>
        <v>0</v>
      </c>
      <c r="BK10" s="557"/>
      <c r="BL10" s="323">
        <f t="shared" si="78"/>
        <v>0</v>
      </c>
      <c r="BM10" s="323">
        <f t="shared" si="79"/>
        <v>0</v>
      </c>
      <c r="BN10" s="582">
        <f t="shared" si="77"/>
        <v>0</v>
      </c>
      <c r="BO10" s="561"/>
      <c r="BP10" s="323"/>
      <c r="BQ10" s="323"/>
      <c r="BR10" s="323">
        <f t="shared" si="46"/>
        <v>0</v>
      </c>
      <c r="BS10" s="571">
        <f t="shared" si="47"/>
        <v>0</v>
      </c>
      <c r="BT10" s="556">
        <f t="shared" si="67"/>
        <v>0</v>
      </c>
      <c r="BU10" s="323">
        <f t="shared" si="48"/>
        <v>0</v>
      </c>
      <c r="BV10" s="323">
        <f t="shared" si="49"/>
        <v>0</v>
      </c>
      <c r="BW10" s="323">
        <f t="shared" si="50"/>
        <v>0</v>
      </c>
      <c r="BX10" s="323">
        <f t="shared" si="51"/>
        <v>0</v>
      </c>
      <c r="BY10" s="323">
        <f t="shared" si="52"/>
        <v>0</v>
      </c>
      <c r="BZ10" s="323">
        <f t="shared" si="53"/>
        <v>0</v>
      </c>
      <c r="CA10" s="323">
        <f t="shared" si="54"/>
        <v>0</v>
      </c>
      <c r="CB10" s="55">
        <f t="shared" si="64"/>
        <v>0</v>
      </c>
      <c r="CC10" s="323"/>
      <c r="CD10" s="323"/>
      <c r="CE10" s="323"/>
      <c r="CF10" s="323"/>
      <c r="CG10" s="323"/>
      <c r="CH10" s="323"/>
      <c r="CI10" s="323"/>
      <c r="CJ10" s="323"/>
      <c r="CK10" s="323"/>
      <c r="CL10" s="323"/>
      <c r="CM10" s="323"/>
      <c r="CN10" s="323"/>
      <c r="CO10" s="55">
        <f t="shared" si="56"/>
        <v>0</v>
      </c>
      <c r="CP10" s="334"/>
      <c r="CQ10" s="334"/>
      <c r="CR10" s="334"/>
      <c r="CS10" s="334"/>
      <c r="CT10" s="360"/>
      <c r="CU10" s="349"/>
      <c r="CV10" s="361"/>
      <c r="CW10" s="69"/>
      <c r="CX10" s="69"/>
      <c r="CY10" s="69"/>
      <c r="CZ10" s="69"/>
      <c r="DA10" s="69"/>
      <c r="DB10" s="69"/>
      <c r="DC10" s="69"/>
      <c r="DD10" s="69"/>
      <c r="DE10" s="69"/>
    </row>
    <row r="11" spans="1:127" s="70" customFormat="1" ht="24.75" customHeight="1" x14ac:dyDescent="0.2">
      <c r="A11" s="64"/>
      <c r="B11" s="345" t="s">
        <v>154</v>
      </c>
      <c r="C11" s="65" t="s">
        <v>71</v>
      </c>
      <c r="D11" s="487">
        <v>0.42</v>
      </c>
      <c r="E11" s="66"/>
      <c r="F11" s="66"/>
      <c r="G11" s="574"/>
      <c r="H11" s="574"/>
      <c r="I11" s="618"/>
      <c r="J11" s="618"/>
      <c r="K11" s="574"/>
      <c r="L11" s="574"/>
      <c r="M11" s="574"/>
      <c r="N11" s="574"/>
      <c r="O11" s="574"/>
      <c r="P11" s="574"/>
      <c r="Q11" s="545">
        <f>SUM(E11:P11)</f>
        <v>0</v>
      </c>
      <c r="R11" s="375" t="s">
        <v>69</v>
      </c>
      <c r="S11" s="374">
        <v>9120000</v>
      </c>
      <c r="T11" s="66"/>
      <c r="U11" s="325"/>
      <c r="V11" s="577"/>
      <c r="W11" s="577"/>
      <c r="X11" s="619"/>
      <c r="Y11" s="619"/>
      <c r="Z11" s="577"/>
      <c r="AA11" s="577"/>
      <c r="AB11" s="577"/>
      <c r="AC11" s="577"/>
      <c r="AD11" s="577"/>
      <c r="AE11" s="577"/>
      <c r="AF11" s="51">
        <f t="shared" si="58"/>
        <v>0</v>
      </c>
      <c r="AG11" s="323"/>
      <c r="AH11" s="323">
        <f t="shared" si="30"/>
        <v>0</v>
      </c>
      <c r="AI11" s="580">
        <f t="shared" si="60"/>
        <v>0</v>
      </c>
      <c r="AJ11" s="580">
        <f t="shared" si="68"/>
        <v>0</v>
      </c>
      <c r="AK11" s="616">
        <f t="shared" si="69"/>
        <v>0</v>
      </c>
      <c r="AL11" s="616">
        <f t="shared" si="70"/>
        <v>0</v>
      </c>
      <c r="AM11" s="580">
        <f t="shared" si="71"/>
        <v>0</v>
      </c>
      <c r="AN11" s="580">
        <f t="shared" si="72"/>
        <v>0</v>
      </c>
      <c r="AO11" s="580">
        <f t="shared" si="73"/>
        <v>0</v>
      </c>
      <c r="AP11" s="580">
        <f t="shared" si="74"/>
        <v>0</v>
      </c>
      <c r="AQ11" s="580">
        <f t="shared" si="75"/>
        <v>0</v>
      </c>
      <c r="AR11" s="580">
        <f t="shared" si="76"/>
        <v>0</v>
      </c>
      <c r="AS11" s="324">
        <f t="shared" si="61"/>
        <v>0</v>
      </c>
      <c r="AT11" s="323">
        <f t="shared" si="62"/>
        <v>0</v>
      </c>
      <c r="AU11" s="323">
        <f t="shared" si="63"/>
        <v>0</v>
      </c>
      <c r="AV11" s="323"/>
      <c r="AW11" s="580">
        <f t="shared" si="41"/>
        <v>0</v>
      </c>
      <c r="AX11" s="616"/>
      <c r="AY11" s="580"/>
      <c r="AZ11" s="580"/>
      <c r="BA11" s="580"/>
      <c r="BB11" s="580"/>
      <c r="BC11" s="580"/>
      <c r="BD11" s="580"/>
      <c r="BE11" s="580"/>
      <c r="BF11" s="55">
        <f t="shared" si="42"/>
        <v>0</v>
      </c>
      <c r="BG11" s="72">
        <f t="shared" si="65"/>
        <v>0</v>
      </c>
      <c r="BH11" s="73">
        <f t="shared" si="43"/>
        <v>3830400</v>
      </c>
      <c r="BI11" s="74">
        <f t="shared" si="44"/>
        <v>3830400</v>
      </c>
      <c r="BJ11" s="99">
        <f t="shared" si="45"/>
        <v>0</v>
      </c>
      <c r="BK11" s="557"/>
      <c r="BL11" s="323">
        <f t="shared" si="78"/>
        <v>0</v>
      </c>
      <c r="BM11" s="323">
        <f t="shared" si="79"/>
        <v>0</v>
      </c>
      <c r="BN11" s="582">
        <f t="shared" si="77"/>
        <v>0</v>
      </c>
      <c r="BO11" s="561"/>
      <c r="BP11" s="323"/>
      <c r="BQ11" s="323"/>
      <c r="BR11" s="323">
        <f t="shared" si="46"/>
        <v>0</v>
      </c>
      <c r="BS11" s="571">
        <f t="shared" si="47"/>
        <v>0</v>
      </c>
      <c r="BT11" s="556">
        <f t="shared" si="67"/>
        <v>0</v>
      </c>
      <c r="BU11" s="323">
        <f t="shared" si="48"/>
        <v>0</v>
      </c>
      <c r="BV11" s="323">
        <f t="shared" si="49"/>
        <v>0</v>
      </c>
      <c r="BW11" s="323">
        <f t="shared" si="50"/>
        <v>0</v>
      </c>
      <c r="BX11" s="323">
        <f t="shared" si="51"/>
        <v>0</v>
      </c>
      <c r="BY11" s="323">
        <f t="shared" si="52"/>
        <v>0</v>
      </c>
      <c r="BZ11" s="323">
        <f t="shared" si="53"/>
        <v>0</v>
      </c>
      <c r="CA11" s="323">
        <f t="shared" si="54"/>
        <v>0</v>
      </c>
      <c r="CB11" s="55">
        <f t="shared" si="64"/>
        <v>0</v>
      </c>
      <c r="CC11" s="323"/>
      <c r="CD11" s="323"/>
      <c r="CE11" s="323"/>
      <c r="CF11" s="323"/>
      <c r="CG11" s="323"/>
      <c r="CH11" s="323"/>
      <c r="CI11" s="323"/>
      <c r="CJ11" s="323"/>
      <c r="CK11" s="323"/>
      <c r="CL11" s="323"/>
      <c r="CM11" s="323"/>
      <c r="CN11" s="323"/>
      <c r="CO11" s="55">
        <f t="shared" si="56"/>
        <v>0</v>
      </c>
      <c r="CP11" s="334"/>
      <c r="CQ11" s="334"/>
      <c r="CR11" s="334"/>
      <c r="CS11" s="334"/>
      <c r="CT11" s="360"/>
      <c r="CU11" s="349"/>
      <c r="CV11" s="361"/>
      <c r="CW11" s="69"/>
      <c r="CX11" s="69"/>
      <c r="CY11" s="69"/>
      <c r="CZ11" s="69"/>
      <c r="DA11" s="69"/>
      <c r="DB11" s="69"/>
      <c r="DC11" s="69"/>
      <c r="DD11" s="69"/>
      <c r="DE11" s="69"/>
    </row>
    <row r="12" spans="1:127" s="70" customFormat="1" ht="24.75" customHeight="1" x14ac:dyDescent="0.2">
      <c r="A12" s="64"/>
      <c r="B12" s="345" t="s">
        <v>155</v>
      </c>
      <c r="C12" s="65" t="s">
        <v>71</v>
      </c>
      <c r="D12" s="486">
        <v>0.55000000000000004</v>
      </c>
      <c r="E12" s="66"/>
      <c r="F12" s="66"/>
      <c r="G12" s="576">
        <v>0.5</v>
      </c>
      <c r="H12" s="574"/>
      <c r="I12" s="618"/>
      <c r="J12" s="618"/>
      <c r="K12" s="574"/>
      <c r="L12" s="574"/>
      <c r="M12" s="574"/>
      <c r="N12" s="574"/>
      <c r="O12" s="574"/>
      <c r="P12" s="574"/>
      <c r="Q12" s="545">
        <f t="shared" si="57"/>
        <v>0.5</v>
      </c>
      <c r="R12" s="375" t="s">
        <v>69</v>
      </c>
      <c r="S12" s="374">
        <v>2280000</v>
      </c>
      <c r="T12" s="66"/>
      <c r="U12" s="325"/>
      <c r="V12" s="577">
        <v>2200000</v>
      </c>
      <c r="W12" s="577"/>
      <c r="X12" s="619"/>
      <c r="Y12" s="619"/>
      <c r="Z12" s="577"/>
      <c r="AA12" s="577"/>
      <c r="AB12" s="577"/>
      <c r="AC12" s="577"/>
      <c r="AD12" s="577"/>
      <c r="AE12" s="577"/>
      <c r="AF12" s="51">
        <f t="shared" si="58"/>
        <v>1140000</v>
      </c>
      <c r="AG12" s="323">
        <f>T12*E12</f>
        <v>0</v>
      </c>
      <c r="AH12" s="323">
        <f t="shared" si="30"/>
        <v>0</v>
      </c>
      <c r="AI12" s="580">
        <f t="shared" si="60"/>
        <v>1100000</v>
      </c>
      <c r="AJ12" s="580">
        <f t="shared" si="68"/>
        <v>0</v>
      </c>
      <c r="AK12" s="616">
        <f t="shared" si="69"/>
        <v>0</v>
      </c>
      <c r="AL12" s="616">
        <f t="shared" si="70"/>
        <v>0</v>
      </c>
      <c r="AM12" s="580">
        <f t="shared" si="71"/>
        <v>0</v>
      </c>
      <c r="AN12" s="580">
        <f t="shared" si="72"/>
        <v>0</v>
      </c>
      <c r="AO12" s="580">
        <f t="shared" si="73"/>
        <v>0</v>
      </c>
      <c r="AP12" s="580">
        <f t="shared" si="74"/>
        <v>0</v>
      </c>
      <c r="AQ12" s="580">
        <f t="shared" si="75"/>
        <v>0</v>
      </c>
      <c r="AR12" s="580">
        <f t="shared" si="76"/>
        <v>0</v>
      </c>
      <c r="AS12" s="324">
        <f t="shared" si="61"/>
        <v>1100000</v>
      </c>
      <c r="AT12" s="323">
        <f t="shared" si="62"/>
        <v>0</v>
      </c>
      <c r="AU12" s="323">
        <f t="shared" si="63"/>
        <v>0</v>
      </c>
      <c r="AV12" s="323"/>
      <c r="AW12" s="580">
        <f t="shared" si="41"/>
        <v>0</v>
      </c>
      <c r="AX12" s="616"/>
      <c r="AY12" s="580"/>
      <c r="AZ12" s="580"/>
      <c r="BA12" s="580"/>
      <c r="BB12" s="580"/>
      <c r="BC12" s="580"/>
      <c r="BD12" s="580"/>
      <c r="BE12" s="580"/>
      <c r="BF12" s="55">
        <f t="shared" si="42"/>
        <v>0</v>
      </c>
      <c r="BG12" s="72">
        <f t="shared" si="65"/>
        <v>40000</v>
      </c>
      <c r="BH12" s="73">
        <f t="shared" si="43"/>
        <v>1254000</v>
      </c>
      <c r="BI12" s="74">
        <f t="shared" si="44"/>
        <v>154000</v>
      </c>
      <c r="BJ12" s="99">
        <f t="shared" si="45"/>
        <v>0.90909090909090906</v>
      </c>
      <c r="BK12" s="557"/>
      <c r="BL12" s="556"/>
      <c r="BM12" s="556"/>
      <c r="BN12" s="567"/>
      <c r="BO12" s="561"/>
      <c r="BP12" s="323"/>
      <c r="BQ12" s="323"/>
      <c r="BR12" s="323">
        <f t="shared" si="46"/>
        <v>137500</v>
      </c>
      <c r="BS12" s="571">
        <f t="shared" si="47"/>
        <v>0</v>
      </c>
      <c r="BT12" s="556">
        <f t="shared" si="67"/>
        <v>0</v>
      </c>
      <c r="BU12" s="323">
        <f t="shared" si="48"/>
        <v>0</v>
      </c>
      <c r="BV12" s="323">
        <f t="shared" si="49"/>
        <v>0</v>
      </c>
      <c r="BW12" s="323">
        <f t="shared" si="50"/>
        <v>0</v>
      </c>
      <c r="BX12" s="323">
        <f t="shared" si="51"/>
        <v>0</v>
      </c>
      <c r="BY12" s="323">
        <f t="shared" si="52"/>
        <v>0</v>
      </c>
      <c r="BZ12" s="323">
        <f t="shared" si="53"/>
        <v>0</v>
      </c>
      <c r="CA12" s="323">
        <f t="shared" si="54"/>
        <v>0</v>
      </c>
      <c r="CB12" s="55">
        <f t="shared" si="64"/>
        <v>137500</v>
      </c>
      <c r="CC12" s="323"/>
      <c r="CD12" s="323"/>
      <c r="CE12" s="323"/>
      <c r="CF12" s="323"/>
      <c r="CG12" s="323"/>
      <c r="CH12" s="323"/>
      <c r="CI12" s="323"/>
      <c r="CJ12" s="323"/>
      <c r="CK12" s="323"/>
      <c r="CL12" s="323"/>
      <c r="CM12" s="323"/>
      <c r="CN12" s="323"/>
      <c r="CO12" s="55">
        <f t="shared" si="56"/>
        <v>0</v>
      </c>
      <c r="CP12" s="334"/>
      <c r="CQ12" s="334"/>
      <c r="CR12" s="334"/>
      <c r="CS12" s="334"/>
      <c r="CT12" s="360"/>
      <c r="CU12" s="349"/>
      <c r="CV12" s="361"/>
      <c r="CW12" s="69"/>
      <c r="CX12" s="69"/>
      <c r="CY12" s="69"/>
      <c r="CZ12" s="69"/>
      <c r="DA12" s="69"/>
      <c r="DB12" s="69"/>
      <c r="DC12" s="69"/>
      <c r="DD12" s="69"/>
      <c r="DE12" s="69"/>
    </row>
    <row r="13" spans="1:127" s="70" customFormat="1" ht="24.75" customHeight="1" x14ac:dyDescent="0.2">
      <c r="A13" s="64"/>
      <c r="B13" s="345" t="s">
        <v>220</v>
      </c>
      <c r="C13" s="65" t="s">
        <v>71</v>
      </c>
      <c r="D13" s="486">
        <v>26</v>
      </c>
      <c r="E13" s="66"/>
      <c r="F13" s="66"/>
      <c r="G13" s="574"/>
      <c r="H13" s="574">
        <v>3</v>
      </c>
      <c r="I13" s="618">
        <v>10</v>
      </c>
      <c r="J13" s="618"/>
      <c r="K13" s="574"/>
      <c r="L13" s="574"/>
      <c r="M13" s="574"/>
      <c r="N13" s="574"/>
      <c r="O13" s="574"/>
      <c r="P13" s="574"/>
      <c r="Q13" s="339">
        <f t="shared" ref="Q13:Q19" si="80">SUM(E13:P13)</f>
        <v>13</v>
      </c>
      <c r="R13" s="375" t="s">
        <v>162</v>
      </c>
      <c r="S13" s="374">
        <v>28500</v>
      </c>
      <c r="T13" s="66"/>
      <c r="U13" s="433"/>
      <c r="V13" s="577"/>
      <c r="W13" s="578">
        <v>28500</v>
      </c>
      <c r="X13" s="619">
        <v>28500</v>
      </c>
      <c r="Y13" s="619"/>
      <c r="Z13" s="577"/>
      <c r="AA13" s="577"/>
      <c r="AB13" s="577"/>
      <c r="AC13" s="577"/>
      <c r="AD13" s="577"/>
      <c r="AE13" s="577"/>
      <c r="AF13" s="51">
        <f t="shared" si="58"/>
        <v>370500</v>
      </c>
      <c r="AG13" s="323">
        <f>T13*E13</f>
        <v>0</v>
      </c>
      <c r="AH13" s="323">
        <f t="shared" ref="AH13:AH19" si="81">U13*F13</f>
        <v>0</v>
      </c>
      <c r="AI13" s="580">
        <f t="shared" ref="AI13:AI19" si="82">V13*G13</f>
        <v>0</v>
      </c>
      <c r="AJ13" s="580">
        <f t="shared" ref="AJ13:AJ19" si="83">W13*H13</f>
        <v>85500</v>
      </c>
      <c r="AK13" s="616">
        <f t="shared" ref="AK13:AK19" si="84">X13*I13</f>
        <v>285000</v>
      </c>
      <c r="AL13" s="616">
        <f t="shared" ref="AL13:AL19" si="85">Y13*J13</f>
        <v>0</v>
      </c>
      <c r="AM13" s="580">
        <f t="shared" ref="AM13:AM19" si="86">Z13*K13</f>
        <v>0</v>
      </c>
      <c r="AN13" s="580">
        <f t="shared" ref="AN13:AN19" si="87">AA13*L13</f>
        <v>0</v>
      </c>
      <c r="AO13" s="580">
        <f t="shared" ref="AO13:AO19" si="88">AB13*M13</f>
        <v>0</v>
      </c>
      <c r="AP13" s="580">
        <f t="shared" ref="AP13:AP19" si="89">AC13*N13</f>
        <v>0</v>
      </c>
      <c r="AQ13" s="580">
        <f t="shared" ref="AQ13:AQ19" si="90">AD13*O13</f>
        <v>0</v>
      </c>
      <c r="AR13" s="580">
        <f t="shared" ref="AR13:AR19" si="91">AE13*P13</f>
        <v>0</v>
      </c>
      <c r="AS13" s="324">
        <f>SUM(AG13:AR13)</f>
        <v>370500</v>
      </c>
      <c r="AT13" s="323">
        <f t="shared" si="62"/>
        <v>0</v>
      </c>
      <c r="AU13" s="323">
        <f t="shared" ref="AU13:AU18" si="92">SUM(AH13*14%)</f>
        <v>0</v>
      </c>
      <c r="AV13" s="323"/>
      <c r="AW13" s="580">
        <f>SUM(AJ13*12.5%)</f>
        <v>10687.5</v>
      </c>
      <c r="AX13" s="616">
        <f>SUM(AK13*12.5%)</f>
        <v>35625</v>
      </c>
      <c r="AY13" s="580"/>
      <c r="AZ13" s="580"/>
      <c r="BA13" s="580"/>
      <c r="BB13" s="580"/>
      <c r="BC13" s="580"/>
      <c r="BD13" s="580"/>
      <c r="BE13" s="580"/>
      <c r="BF13" s="55">
        <f t="shared" ref="BF13:BF19" si="93">SUM(AT13:BE13)</f>
        <v>46312.5</v>
      </c>
      <c r="BG13" s="72">
        <f>AF13-AS13</f>
        <v>0</v>
      </c>
      <c r="BH13" s="73">
        <f t="shared" si="43"/>
        <v>741000</v>
      </c>
      <c r="BI13" s="74">
        <f>BH13-AS13</f>
        <v>370500</v>
      </c>
      <c r="BJ13" s="99">
        <f t="shared" ref="BJ13:BJ19" si="94">SUM(Q13/D13)</f>
        <v>0.5</v>
      </c>
      <c r="BK13" s="557"/>
      <c r="BL13" s="556">
        <f>SUM(AJ13-AW13)</f>
        <v>74812.5</v>
      </c>
      <c r="BM13" s="556">
        <f>22000*3</f>
        <v>66000</v>
      </c>
      <c r="BN13" s="567">
        <f t="shared" si="66"/>
        <v>8812.5</v>
      </c>
      <c r="BO13" s="561"/>
      <c r="BP13" s="323"/>
      <c r="BQ13" s="323"/>
      <c r="BR13" s="323">
        <f t="shared" si="46"/>
        <v>0</v>
      </c>
      <c r="BS13" s="571">
        <f t="shared" si="47"/>
        <v>10687.5</v>
      </c>
      <c r="BT13" s="556">
        <f t="shared" si="67"/>
        <v>35625</v>
      </c>
      <c r="BU13" s="323">
        <f t="shared" si="48"/>
        <v>0</v>
      </c>
      <c r="BV13" s="323">
        <f t="shared" si="49"/>
        <v>0</v>
      </c>
      <c r="BW13" s="323">
        <f t="shared" si="50"/>
        <v>0</v>
      </c>
      <c r="BX13" s="323">
        <f t="shared" si="51"/>
        <v>0</v>
      </c>
      <c r="BY13" s="323">
        <f t="shared" si="52"/>
        <v>0</v>
      </c>
      <c r="BZ13" s="323">
        <f t="shared" si="53"/>
        <v>0</v>
      </c>
      <c r="CA13" s="323">
        <f t="shared" si="54"/>
        <v>0</v>
      </c>
      <c r="CB13" s="55">
        <f t="shared" si="64"/>
        <v>46312.5</v>
      </c>
      <c r="CC13" s="323"/>
      <c r="CD13" s="323"/>
      <c r="CE13" s="323"/>
      <c r="CF13" s="323"/>
      <c r="CG13" s="323"/>
      <c r="CH13" s="323"/>
      <c r="CI13" s="323"/>
      <c r="CJ13" s="323"/>
      <c r="CK13" s="323"/>
      <c r="CL13" s="323"/>
      <c r="CM13" s="323"/>
      <c r="CN13" s="323"/>
      <c r="CO13" s="55">
        <f t="shared" si="56"/>
        <v>0</v>
      </c>
      <c r="CP13" s="334"/>
      <c r="CQ13" s="334"/>
      <c r="CR13" s="334"/>
      <c r="CS13" s="334"/>
      <c r="CT13" s="360"/>
      <c r="CU13" s="349"/>
      <c r="CV13" s="361"/>
      <c r="CW13" s="69"/>
      <c r="CX13" s="69"/>
      <c r="CY13" s="69"/>
      <c r="CZ13" s="69"/>
      <c r="DA13" s="69"/>
      <c r="DB13" s="69"/>
      <c r="DC13" s="69"/>
      <c r="DD13" s="69"/>
      <c r="DE13" s="69"/>
    </row>
    <row r="14" spans="1:127" s="70" customFormat="1" ht="24.75" customHeight="1" x14ac:dyDescent="0.2">
      <c r="A14" s="64"/>
      <c r="B14" s="430" t="s">
        <v>156</v>
      </c>
      <c r="C14" s="65" t="s">
        <v>71</v>
      </c>
      <c r="D14" s="486">
        <v>5</v>
      </c>
      <c r="E14" s="66"/>
      <c r="F14" s="66"/>
      <c r="G14" s="559"/>
      <c r="H14" s="574">
        <v>5</v>
      </c>
      <c r="I14" s="618"/>
      <c r="J14" s="618"/>
      <c r="K14" s="574"/>
      <c r="L14" s="574"/>
      <c r="M14" s="574"/>
      <c r="N14" s="574"/>
      <c r="O14" s="574"/>
      <c r="P14" s="574"/>
      <c r="Q14" s="339">
        <f t="shared" si="80"/>
        <v>5</v>
      </c>
      <c r="R14" s="375" t="s">
        <v>163</v>
      </c>
      <c r="S14" s="374">
        <v>136800</v>
      </c>
      <c r="T14" s="66"/>
      <c r="U14" s="433"/>
      <c r="V14" s="558"/>
      <c r="W14" s="578">
        <v>120000</v>
      </c>
      <c r="X14" s="619"/>
      <c r="Y14" s="619"/>
      <c r="Z14" s="577"/>
      <c r="AA14" s="577"/>
      <c r="AB14" s="577"/>
      <c r="AC14" s="577"/>
      <c r="AD14" s="577"/>
      <c r="AE14" s="577"/>
      <c r="AF14" s="51">
        <f t="shared" si="58"/>
        <v>684000</v>
      </c>
      <c r="AG14" s="323">
        <f>T14*E14</f>
        <v>0</v>
      </c>
      <c r="AH14" s="323">
        <f t="shared" si="81"/>
        <v>0</v>
      </c>
      <c r="AI14" s="580">
        <f t="shared" si="82"/>
        <v>0</v>
      </c>
      <c r="AJ14" s="580">
        <f t="shared" si="83"/>
        <v>600000</v>
      </c>
      <c r="AK14" s="616">
        <f t="shared" si="84"/>
        <v>0</v>
      </c>
      <c r="AL14" s="616">
        <f t="shared" si="85"/>
        <v>0</v>
      </c>
      <c r="AM14" s="580">
        <f t="shared" si="86"/>
        <v>0</v>
      </c>
      <c r="AN14" s="580">
        <f t="shared" si="87"/>
        <v>0</v>
      </c>
      <c r="AO14" s="580">
        <f t="shared" si="88"/>
        <v>0</v>
      </c>
      <c r="AP14" s="580">
        <f t="shared" si="89"/>
        <v>0</v>
      </c>
      <c r="AQ14" s="580">
        <f t="shared" si="90"/>
        <v>0</v>
      </c>
      <c r="AR14" s="580">
        <f t="shared" si="91"/>
        <v>0</v>
      </c>
      <c r="AS14" s="324">
        <f t="shared" si="61"/>
        <v>600000</v>
      </c>
      <c r="AT14" s="323">
        <f t="shared" si="62"/>
        <v>0</v>
      </c>
      <c r="AU14" s="323">
        <f t="shared" si="92"/>
        <v>0</v>
      </c>
      <c r="AV14" s="323"/>
      <c r="AW14" s="580">
        <f>SUM(AJ14*12.5%)</f>
        <v>75000</v>
      </c>
      <c r="AX14" s="616"/>
      <c r="AY14" s="580"/>
      <c r="AZ14" s="580"/>
      <c r="BA14" s="580"/>
      <c r="BB14" s="580"/>
      <c r="BC14" s="580"/>
      <c r="BD14" s="580"/>
      <c r="BE14" s="580"/>
      <c r="BF14" s="55">
        <f t="shared" si="93"/>
        <v>75000</v>
      </c>
      <c r="BG14" s="72">
        <f>AF14-AS14</f>
        <v>84000</v>
      </c>
      <c r="BH14" s="73">
        <f t="shared" si="43"/>
        <v>684000</v>
      </c>
      <c r="BI14" s="74">
        <f>BH14-AS14</f>
        <v>84000</v>
      </c>
      <c r="BJ14" s="99">
        <f t="shared" si="94"/>
        <v>1</v>
      </c>
      <c r="BK14" s="557"/>
      <c r="BL14" s="556">
        <f>SUM(AJ14-AW14)</f>
        <v>525000</v>
      </c>
      <c r="BM14" s="556">
        <f>95000*5</f>
        <v>475000</v>
      </c>
      <c r="BN14" s="567">
        <f t="shared" ref="BN14" si="95">SUM(BL14-BM14)</f>
        <v>50000</v>
      </c>
      <c r="BO14" s="561"/>
      <c r="BP14" s="323"/>
      <c r="BQ14" s="323"/>
      <c r="BR14" s="323">
        <f t="shared" si="46"/>
        <v>0</v>
      </c>
      <c r="BS14" s="571">
        <f>SUM(AJ14*12.5%)</f>
        <v>75000</v>
      </c>
      <c r="BT14" s="556">
        <f t="shared" si="67"/>
        <v>0</v>
      </c>
      <c r="BU14" s="323">
        <f t="shared" si="48"/>
        <v>0</v>
      </c>
      <c r="BV14" s="323">
        <f t="shared" si="49"/>
        <v>0</v>
      </c>
      <c r="BW14" s="323">
        <f t="shared" si="50"/>
        <v>0</v>
      </c>
      <c r="BX14" s="323">
        <f t="shared" si="51"/>
        <v>0</v>
      </c>
      <c r="BY14" s="323">
        <f t="shared" si="52"/>
        <v>0</v>
      </c>
      <c r="BZ14" s="323">
        <f t="shared" si="53"/>
        <v>0</v>
      </c>
      <c r="CA14" s="323">
        <f t="shared" si="54"/>
        <v>0</v>
      </c>
      <c r="CB14" s="55">
        <f t="shared" si="64"/>
        <v>75000</v>
      </c>
      <c r="CC14" s="323"/>
      <c r="CD14" s="323"/>
      <c r="CE14" s="323"/>
      <c r="CF14" s="323"/>
      <c r="CG14" s="323"/>
      <c r="CH14" s="323"/>
      <c r="CI14" s="323"/>
      <c r="CJ14" s="323"/>
      <c r="CK14" s="323"/>
      <c r="CL14" s="323"/>
      <c r="CM14" s="323"/>
      <c r="CN14" s="323"/>
      <c r="CO14" s="55">
        <f t="shared" si="56"/>
        <v>0</v>
      </c>
      <c r="CP14" s="334"/>
      <c r="CQ14" s="334"/>
      <c r="CR14" s="334"/>
      <c r="CS14" s="334"/>
      <c r="CT14" s="360"/>
      <c r="CU14" s="349"/>
      <c r="CV14" s="361"/>
      <c r="CW14" s="69"/>
      <c r="CX14" s="69"/>
      <c r="CY14" s="69"/>
      <c r="CZ14" s="69"/>
      <c r="DA14" s="69"/>
      <c r="DB14" s="69"/>
      <c r="DC14" s="69"/>
      <c r="DD14" s="69"/>
      <c r="DE14" s="69"/>
    </row>
    <row r="15" spans="1:127" s="70" customFormat="1" ht="24.75" customHeight="1" x14ac:dyDescent="0.2">
      <c r="A15" s="64"/>
      <c r="B15" s="345" t="s">
        <v>157</v>
      </c>
      <c r="C15" s="65" t="s">
        <v>71</v>
      </c>
      <c r="D15" s="486">
        <v>24</v>
      </c>
      <c r="E15" s="66"/>
      <c r="F15" s="66"/>
      <c r="G15" s="559"/>
      <c r="H15" s="574"/>
      <c r="I15" s="618">
        <v>15</v>
      </c>
      <c r="J15" s="618">
        <v>5</v>
      </c>
      <c r="K15" s="574"/>
      <c r="L15" s="574"/>
      <c r="M15" s="574"/>
      <c r="N15" s="574"/>
      <c r="O15" s="574"/>
      <c r="P15" s="574"/>
      <c r="Q15" s="339">
        <f t="shared" si="80"/>
        <v>20</v>
      </c>
      <c r="R15" s="375" t="s">
        <v>164</v>
      </c>
      <c r="S15" s="374">
        <v>28500</v>
      </c>
      <c r="T15" s="66"/>
      <c r="U15" s="433"/>
      <c r="V15" s="577"/>
      <c r="W15" s="577"/>
      <c r="X15" s="619">
        <v>23000</v>
      </c>
      <c r="Y15" s="619">
        <v>23000</v>
      </c>
      <c r="Z15" s="577"/>
      <c r="AA15" s="577"/>
      <c r="AB15" s="577"/>
      <c r="AC15" s="577"/>
      <c r="AD15" s="577"/>
      <c r="AE15" s="577"/>
      <c r="AF15" s="51">
        <f t="shared" si="58"/>
        <v>570000</v>
      </c>
      <c r="AG15" s="323">
        <f t="shared" ref="AG15:AG18" si="96">T15*E15</f>
        <v>0</v>
      </c>
      <c r="AH15" s="323">
        <f t="shared" si="81"/>
        <v>0</v>
      </c>
      <c r="AI15" s="580">
        <f t="shared" si="82"/>
        <v>0</v>
      </c>
      <c r="AJ15" s="580">
        <f t="shared" si="83"/>
        <v>0</v>
      </c>
      <c r="AK15" s="616">
        <f t="shared" si="84"/>
        <v>345000</v>
      </c>
      <c r="AL15" s="616">
        <f t="shared" si="85"/>
        <v>115000</v>
      </c>
      <c r="AM15" s="580">
        <f t="shared" si="86"/>
        <v>0</v>
      </c>
      <c r="AN15" s="580">
        <f t="shared" si="87"/>
        <v>0</v>
      </c>
      <c r="AO15" s="580">
        <f t="shared" si="88"/>
        <v>0</v>
      </c>
      <c r="AP15" s="580">
        <f t="shared" si="89"/>
        <v>0</v>
      </c>
      <c r="AQ15" s="580">
        <f t="shared" si="90"/>
        <v>0</v>
      </c>
      <c r="AR15" s="580">
        <f t="shared" si="91"/>
        <v>0</v>
      </c>
      <c r="AS15" s="324">
        <f t="shared" si="61"/>
        <v>460000</v>
      </c>
      <c r="AT15" s="323">
        <f t="shared" si="62"/>
        <v>0</v>
      </c>
      <c r="AU15" s="323">
        <f t="shared" si="92"/>
        <v>0</v>
      </c>
      <c r="AV15" s="323"/>
      <c r="AW15" s="616">
        <f>SUM(AJ15*12.5%)</f>
        <v>0</v>
      </c>
      <c r="AX15" s="616">
        <f>SUM(AK15*12.5%)</f>
        <v>43125</v>
      </c>
      <c r="AY15" s="616">
        <f>SUM(AL15*12.5%)</f>
        <v>14375</v>
      </c>
      <c r="AZ15" s="580"/>
      <c r="BA15" s="580"/>
      <c r="BB15" s="580"/>
      <c r="BC15" s="580"/>
      <c r="BD15" s="580"/>
      <c r="BE15" s="580"/>
      <c r="BF15" s="55">
        <f t="shared" si="93"/>
        <v>57500</v>
      </c>
      <c r="BG15" s="72">
        <f>AF15-AS15</f>
        <v>110000</v>
      </c>
      <c r="BH15" s="73">
        <f t="shared" si="43"/>
        <v>684000</v>
      </c>
      <c r="BI15" s="74">
        <f>BH15-AS15</f>
        <v>224000</v>
      </c>
      <c r="BJ15" s="99">
        <f t="shared" si="94"/>
        <v>0.83333333333333337</v>
      </c>
      <c r="BK15" s="557">
        <f>SUM(AX15:AY15)</f>
        <v>57500</v>
      </c>
      <c r="BL15" s="556">
        <f>SUM(AK15-AX15)</f>
        <v>301875</v>
      </c>
      <c r="BM15" s="556">
        <f>15*20000</f>
        <v>300000</v>
      </c>
      <c r="BN15" s="567">
        <f t="shared" ref="BN15" si="97">SUM(BL15-BM15)</f>
        <v>1875</v>
      </c>
      <c r="BO15" s="561"/>
      <c r="BP15" s="323"/>
      <c r="BQ15" s="323"/>
      <c r="BR15" s="323">
        <f t="shared" si="46"/>
        <v>0</v>
      </c>
      <c r="BS15" s="571">
        <f t="shared" si="47"/>
        <v>0</v>
      </c>
      <c r="BT15" s="556">
        <f t="shared" si="67"/>
        <v>43125</v>
      </c>
      <c r="BU15" s="323">
        <f t="shared" si="48"/>
        <v>14375</v>
      </c>
      <c r="BV15" s="323">
        <f t="shared" si="49"/>
        <v>0</v>
      </c>
      <c r="BW15" s="323">
        <f t="shared" si="50"/>
        <v>0</v>
      </c>
      <c r="BX15" s="323">
        <f t="shared" si="51"/>
        <v>0</v>
      </c>
      <c r="BY15" s="323">
        <f t="shared" si="52"/>
        <v>0</v>
      </c>
      <c r="BZ15" s="323">
        <f t="shared" si="53"/>
        <v>0</v>
      </c>
      <c r="CA15" s="323">
        <f t="shared" si="54"/>
        <v>0</v>
      </c>
      <c r="CB15" s="55">
        <f t="shared" si="64"/>
        <v>57500</v>
      </c>
      <c r="CC15" s="323"/>
      <c r="CD15" s="323"/>
      <c r="CE15" s="323"/>
      <c r="CF15" s="323"/>
      <c r="CG15" s="323"/>
      <c r="CH15" s="323"/>
      <c r="CI15" s="323"/>
      <c r="CJ15" s="323"/>
      <c r="CK15" s="323"/>
      <c r="CL15" s="323"/>
      <c r="CM15" s="323"/>
      <c r="CN15" s="323"/>
      <c r="CO15" s="55">
        <f t="shared" si="56"/>
        <v>0</v>
      </c>
      <c r="CP15" s="334"/>
      <c r="CQ15" s="334"/>
      <c r="CR15" s="334"/>
      <c r="CS15" s="334"/>
      <c r="CT15" s="360"/>
      <c r="CU15" s="349"/>
      <c r="CV15" s="361"/>
      <c r="CW15" s="69"/>
      <c r="CX15" s="69"/>
      <c r="CY15" s="69"/>
      <c r="CZ15" s="69"/>
      <c r="DA15" s="69"/>
      <c r="DB15" s="69"/>
      <c r="DC15" s="69"/>
      <c r="DD15" s="69"/>
      <c r="DE15" s="69"/>
    </row>
    <row r="16" spans="1:127" s="70" customFormat="1" ht="24.75" customHeight="1" x14ac:dyDescent="0.2">
      <c r="A16" s="64"/>
      <c r="B16" s="345" t="s">
        <v>158</v>
      </c>
      <c r="C16" s="65" t="s">
        <v>71</v>
      </c>
      <c r="D16" s="486">
        <v>262</v>
      </c>
      <c r="E16" s="66">
        <v>150</v>
      </c>
      <c r="F16" s="66"/>
      <c r="G16" s="575"/>
      <c r="H16" s="574">
        <v>100</v>
      </c>
      <c r="I16" s="618">
        <v>12</v>
      </c>
      <c r="J16" s="618"/>
      <c r="K16" s="574"/>
      <c r="L16" s="574"/>
      <c r="M16" s="574"/>
      <c r="N16" s="574"/>
      <c r="O16" s="574"/>
      <c r="P16" s="574"/>
      <c r="Q16" s="339">
        <f t="shared" si="80"/>
        <v>262</v>
      </c>
      <c r="R16" s="375" t="s">
        <v>164</v>
      </c>
      <c r="S16" s="374">
        <v>136800</v>
      </c>
      <c r="T16" s="66">
        <v>105000</v>
      </c>
      <c r="U16" s="325"/>
      <c r="V16" s="577"/>
      <c r="W16" s="559">
        <v>120000</v>
      </c>
      <c r="X16" s="581">
        <v>120000</v>
      </c>
      <c r="Y16" s="619"/>
      <c r="Z16" s="577"/>
      <c r="AA16" s="577"/>
      <c r="AB16" s="577"/>
      <c r="AC16" s="577"/>
      <c r="AD16" s="577"/>
      <c r="AE16" s="577"/>
      <c r="AF16" s="51">
        <f t="shared" si="58"/>
        <v>35841600</v>
      </c>
      <c r="AG16" s="323">
        <f t="shared" si="96"/>
        <v>15750000</v>
      </c>
      <c r="AH16" s="323">
        <f t="shared" si="81"/>
        <v>0</v>
      </c>
      <c r="AI16" s="580">
        <f t="shared" si="82"/>
        <v>0</v>
      </c>
      <c r="AJ16" s="580">
        <f t="shared" si="83"/>
        <v>12000000</v>
      </c>
      <c r="AK16" s="616">
        <f t="shared" si="84"/>
        <v>1440000</v>
      </c>
      <c r="AL16" s="616">
        <f t="shared" si="85"/>
        <v>0</v>
      </c>
      <c r="AM16" s="580">
        <f t="shared" si="86"/>
        <v>0</v>
      </c>
      <c r="AN16" s="580">
        <f t="shared" si="87"/>
        <v>0</v>
      </c>
      <c r="AO16" s="580">
        <f t="shared" si="88"/>
        <v>0</v>
      </c>
      <c r="AP16" s="580">
        <f t="shared" si="89"/>
        <v>0</v>
      </c>
      <c r="AQ16" s="580">
        <f t="shared" si="90"/>
        <v>0</v>
      </c>
      <c r="AR16" s="580">
        <f t="shared" si="91"/>
        <v>0</v>
      </c>
      <c r="AS16" s="324">
        <f t="shared" si="61"/>
        <v>29190000</v>
      </c>
      <c r="AT16" s="323">
        <f t="shared" si="62"/>
        <v>2205000</v>
      </c>
      <c r="AU16" s="323">
        <f t="shared" si="92"/>
        <v>0</v>
      </c>
      <c r="AV16" s="323"/>
      <c r="AW16" s="580"/>
      <c r="AX16" s="616"/>
      <c r="AY16" s="580"/>
      <c r="AZ16" s="580"/>
      <c r="BA16" s="580"/>
      <c r="BB16" s="580"/>
      <c r="BC16" s="580"/>
      <c r="BD16" s="580"/>
      <c r="BE16" s="580"/>
      <c r="BF16" s="55">
        <f t="shared" si="93"/>
        <v>2205000</v>
      </c>
      <c r="BG16" s="72">
        <f t="shared" ref="BG16:BG19" si="98">AF16-AS16-BF16</f>
        <v>4446600</v>
      </c>
      <c r="BH16" s="73">
        <f t="shared" si="43"/>
        <v>35841600</v>
      </c>
      <c r="BI16" s="74">
        <f t="shared" ref="BI16:BI19" si="99">BH16-AS16-BF16</f>
        <v>4446600</v>
      </c>
      <c r="BJ16" s="99">
        <f t="shared" si="94"/>
        <v>1</v>
      </c>
      <c r="BK16" s="557"/>
      <c r="BL16" s="323">
        <f>SUM(AJ16+AK16)-(BS16+BT16)</f>
        <v>11760000</v>
      </c>
      <c r="BM16" s="323">
        <f>105000*112</f>
        <v>11760000</v>
      </c>
      <c r="BN16" s="582">
        <f>SUM(BL16-BM16)</f>
        <v>0</v>
      </c>
      <c r="BO16" s="561"/>
      <c r="BP16" s="323"/>
      <c r="BQ16" s="323"/>
      <c r="BR16" s="323">
        <f t="shared" si="46"/>
        <v>0</v>
      </c>
      <c r="BS16" s="571">
        <f t="shared" si="47"/>
        <v>1500000</v>
      </c>
      <c r="BT16" s="556">
        <f>SUM(AK16*12.5%)</f>
        <v>180000</v>
      </c>
      <c r="BU16" s="323">
        <f t="shared" si="48"/>
        <v>0</v>
      </c>
      <c r="BV16" s="323">
        <f t="shared" si="49"/>
        <v>0</v>
      </c>
      <c r="BW16" s="323">
        <f t="shared" si="50"/>
        <v>0</v>
      </c>
      <c r="BX16" s="323">
        <f t="shared" si="51"/>
        <v>0</v>
      </c>
      <c r="BY16" s="323">
        <f t="shared" si="52"/>
        <v>0</v>
      </c>
      <c r="BZ16" s="323">
        <f t="shared" si="53"/>
        <v>0</v>
      </c>
      <c r="CA16" s="323">
        <f t="shared" si="54"/>
        <v>0</v>
      </c>
      <c r="CB16" s="55">
        <f t="shared" si="64"/>
        <v>1680000</v>
      </c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3"/>
      <c r="CN16" s="323"/>
      <c r="CO16" s="55">
        <f t="shared" si="56"/>
        <v>0</v>
      </c>
      <c r="CP16" s="334"/>
      <c r="CQ16" s="334"/>
      <c r="CR16" s="334"/>
      <c r="CS16" s="334"/>
      <c r="CT16" s="360"/>
      <c r="CU16" s="349"/>
      <c r="CV16" s="361"/>
      <c r="CW16" s="69"/>
      <c r="CX16" s="69"/>
      <c r="CY16" s="69"/>
      <c r="CZ16" s="69"/>
      <c r="DA16" s="69"/>
      <c r="DB16" s="69"/>
      <c r="DC16" s="69"/>
      <c r="DD16" s="69"/>
      <c r="DE16" s="69"/>
    </row>
    <row r="17" spans="1:127" s="70" customFormat="1" ht="24.75" customHeight="1" x14ac:dyDescent="0.2">
      <c r="A17" s="64"/>
      <c r="B17" s="345" t="s">
        <v>159</v>
      </c>
      <c r="C17" s="65" t="s">
        <v>71</v>
      </c>
      <c r="D17" s="486">
        <v>188</v>
      </c>
      <c r="E17" s="66">
        <v>100</v>
      </c>
      <c r="F17" s="66"/>
      <c r="G17" s="574"/>
      <c r="H17" s="574"/>
      <c r="I17" s="618">
        <v>76</v>
      </c>
      <c r="J17" s="618"/>
      <c r="K17" s="574"/>
      <c r="L17" s="574"/>
      <c r="M17" s="574"/>
      <c r="N17" s="574"/>
      <c r="O17" s="574"/>
      <c r="P17" s="574"/>
      <c r="Q17" s="339">
        <f t="shared" si="80"/>
        <v>176</v>
      </c>
      <c r="R17" s="375" t="s">
        <v>164</v>
      </c>
      <c r="S17" s="374">
        <v>74100</v>
      </c>
      <c r="T17" s="66">
        <v>50000</v>
      </c>
      <c r="U17" s="325"/>
      <c r="V17" s="577"/>
      <c r="W17" s="559"/>
      <c r="X17" s="619">
        <v>57200</v>
      </c>
      <c r="Y17" s="619"/>
      <c r="Z17" s="577"/>
      <c r="AA17" s="577"/>
      <c r="AB17" s="577"/>
      <c r="AC17" s="577"/>
      <c r="AD17" s="577"/>
      <c r="AE17" s="577"/>
      <c r="AF17" s="51">
        <f t="shared" si="58"/>
        <v>13041600</v>
      </c>
      <c r="AG17" s="323">
        <f t="shared" si="96"/>
        <v>5000000</v>
      </c>
      <c r="AH17" s="323">
        <f t="shared" si="81"/>
        <v>0</v>
      </c>
      <c r="AI17" s="580">
        <f t="shared" si="82"/>
        <v>0</v>
      </c>
      <c r="AJ17" s="580">
        <f t="shared" si="83"/>
        <v>0</v>
      </c>
      <c r="AK17" s="616">
        <f t="shared" si="84"/>
        <v>4347200</v>
      </c>
      <c r="AL17" s="616">
        <f t="shared" si="85"/>
        <v>0</v>
      </c>
      <c r="AM17" s="580">
        <f t="shared" si="86"/>
        <v>0</v>
      </c>
      <c r="AN17" s="580">
        <f t="shared" si="87"/>
        <v>0</v>
      </c>
      <c r="AO17" s="580">
        <f t="shared" si="88"/>
        <v>0</v>
      </c>
      <c r="AP17" s="580">
        <f t="shared" si="89"/>
        <v>0</v>
      </c>
      <c r="AQ17" s="580">
        <f t="shared" si="90"/>
        <v>0</v>
      </c>
      <c r="AR17" s="580">
        <f t="shared" si="91"/>
        <v>0</v>
      </c>
      <c r="AS17" s="324">
        <f t="shared" si="61"/>
        <v>9347200</v>
      </c>
      <c r="AT17" s="323">
        <f t="shared" si="62"/>
        <v>700000.00000000012</v>
      </c>
      <c r="AU17" s="323">
        <f t="shared" si="92"/>
        <v>0</v>
      </c>
      <c r="AV17" s="323"/>
      <c r="AW17" s="580">
        <f t="shared" ref="AW17:AW20" si="100">SUM(AJ17*12.5%)</f>
        <v>0</v>
      </c>
      <c r="AX17" s="616"/>
      <c r="AY17" s="580"/>
      <c r="AZ17" s="580"/>
      <c r="BA17" s="580"/>
      <c r="BB17" s="580"/>
      <c r="BC17" s="580"/>
      <c r="BD17" s="580"/>
      <c r="BE17" s="580"/>
      <c r="BF17" s="55">
        <f t="shared" si="93"/>
        <v>700000.00000000012</v>
      </c>
      <c r="BG17" s="72">
        <f t="shared" si="98"/>
        <v>2994400</v>
      </c>
      <c r="BH17" s="73">
        <f t="shared" si="43"/>
        <v>13930800</v>
      </c>
      <c r="BI17" s="74">
        <f t="shared" si="99"/>
        <v>3883600</v>
      </c>
      <c r="BJ17" s="99">
        <f t="shared" si="94"/>
        <v>0.93617021276595747</v>
      </c>
      <c r="BK17" s="557"/>
      <c r="BL17" s="323">
        <f>SUM(AJ17+AK17)-(BS17+BT17)</f>
        <v>3803800</v>
      </c>
      <c r="BM17" s="323">
        <f>50000*76</f>
        <v>3800000</v>
      </c>
      <c r="BN17" s="582">
        <f t="shared" ref="BN17" si="101">SUM(BL17-BM17)</f>
        <v>3800</v>
      </c>
      <c r="BO17" s="561"/>
      <c r="BP17" s="323"/>
      <c r="BQ17" s="323"/>
      <c r="BR17" s="323">
        <f t="shared" si="46"/>
        <v>0</v>
      </c>
      <c r="BS17" s="571">
        <f t="shared" si="47"/>
        <v>0</v>
      </c>
      <c r="BT17" s="556">
        <f>SUM(AK17*12.5%)</f>
        <v>543400</v>
      </c>
      <c r="BU17" s="323">
        <f t="shared" si="48"/>
        <v>0</v>
      </c>
      <c r="BV17" s="323">
        <f t="shared" si="49"/>
        <v>0</v>
      </c>
      <c r="BW17" s="323">
        <f t="shared" si="50"/>
        <v>0</v>
      </c>
      <c r="BX17" s="323">
        <f t="shared" si="51"/>
        <v>0</v>
      </c>
      <c r="BY17" s="323">
        <f t="shared" si="52"/>
        <v>0</v>
      </c>
      <c r="BZ17" s="323">
        <f t="shared" si="53"/>
        <v>0</v>
      </c>
      <c r="CA17" s="323">
        <f t="shared" si="54"/>
        <v>0</v>
      </c>
      <c r="CB17" s="55">
        <f t="shared" si="64"/>
        <v>543400</v>
      </c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55">
        <f t="shared" si="56"/>
        <v>0</v>
      </c>
      <c r="CP17" s="334"/>
      <c r="CQ17" s="334"/>
      <c r="CR17" s="334"/>
      <c r="CS17" s="334"/>
      <c r="CT17" s="360"/>
      <c r="CU17" s="349"/>
      <c r="CV17" s="361"/>
      <c r="CW17" s="69"/>
      <c r="CX17" s="69"/>
      <c r="CY17" s="69"/>
      <c r="CZ17" s="69"/>
      <c r="DA17" s="69"/>
      <c r="DB17" s="69"/>
      <c r="DC17" s="69"/>
      <c r="DD17" s="69"/>
      <c r="DE17" s="69"/>
    </row>
    <row r="18" spans="1:127" s="70" customFormat="1" ht="24.75" customHeight="1" x14ac:dyDescent="0.2">
      <c r="A18" s="64"/>
      <c r="B18" s="345" t="s">
        <v>64</v>
      </c>
      <c r="C18" s="65" t="s">
        <v>71</v>
      </c>
      <c r="D18" s="487">
        <v>49</v>
      </c>
      <c r="E18" s="66">
        <v>20</v>
      </c>
      <c r="F18" s="66"/>
      <c r="G18" s="574"/>
      <c r="H18" s="574">
        <v>20</v>
      </c>
      <c r="I18" s="618">
        <v>9</v>
      </c>
      <c r="J18" s="618"/>
      <c r="K18" s="574"/>
      <c r="L18" s="574"/>
      <c r="M18" s="574"/>
      <c r="N18" s="574"/>
      <c r="O18" s="574"/>
      <c r="P18" s="574"/>
      <c r="Q18" s="339">
        <f t="shared" si="80"/>
        <v>49</v>
      </c>
      <c r="R18" s="375" t="s">
        <v>1</v>
      </c>
      <c r="S18" s="374">
        <v>28500</v>
      </c>
      <c r="T18" s="66">
        <v>20000</v>
      </c>
      <c r="U18" s="325"/>
      <c r="V18" s="577"/>
      <c r="W18" s="559">
        <v>23000</v>
      </c>
      <c r="X18" s="581">
        <v>23000</v>
      </c>
      <c r="Y18" s="619"/>
      <c r="Z18" s="577"/>
      <c r="AA18" s="577"/>
      <c r="AB18" s="577"/>
      <c r="AC18" s="577"/>
      <c r="AD18" s="577"/>
      <c r="AE18" s="577"/>
      <c r="AF18" s="51">
        <f t="shared" si="58"/>
        <v>1396500</v>
      </c>
      <c r="AG18" s="323">
        <f t="shared" si="96"/>
        <v>400000</v>
      </c>
      <c r="AH18" s="323">
        <f t="shared" si="81"/>
        <v>0</v>
      </c>
      <c r="AI18" s="580">
        <f t="shared" si="82"/>
        <v>0</v>
      </c>
      <c r="AJ18" s="580">
        <f t="shared" si="83"/>
        <v>460000</v>
      </c>
      <c r="AK18" s="616">
        <f t="shared" si="84"/>
        <v>207000</v>
      </c>
      <c r="AL18" s="616">
        <f t="shared" si="85"/>
        <v>0</v>
      </c>
      <c r="AM18" s="580">
        <f t="shared" si="86"/>
        <v>0</v>
      </c>
      <c r="AN18" s="580">
        <f t="shared" si="87"/>
        <v>0</v>
      </c>
      <c r="AO18" s="580">
        <f t="shared" si="88"/>
        <v>0</v>
      </c>
      <c r="AP18" s="580">
        <f t="shared" si="89"/>
        <v>0</v>
      </c>
      <c r="AQ18" s="580">
        <f t="shared" si="90"/>
        <v>0</v>
      </c>
      <c r="AR18" s="580">
        <f t="shared" si="91"/>
        <v>0</v>
      </c>
      <c r="AS18" s="324">
        <f t="shared" si="61"/>
        <v>1067000</v>
      </c>
      <c r="AT18" s="323">
        <f t="shared" si="62"/>
        <v>56000.000000000007</v>
      </c>
      <c r="AU18" s="323">
        <f t="shared" si="92"/>
        <v>0</v>
      </c>
      <c r="AV18" s="323"/>
      <c r="AW18" s="580"/>
      <c r="AX18" s="616"/>
      <c r="AY18" s="580"/>
      <c r="AZ18" s="580"/>
      <c r="BA18" s="580"/>
      <c r="BB18" s="580"/>
      <c r="BC18" s="580"/>
      <c r="BD18" s="580"/>
      <c r="BE18" s="580"/>
      <c r="BF18" s="55">
        <f t="shared" si="93"/>
        <v>56000.000000000007</v>
      </c>
      <c r="BG18" s="72">
        <f t="shared" si="98"/>
        <v>273500</v>
      </c>
      <c r="BH18" s="73">
        <f t="shared" si="43"/>
        <v>1396500</v>
      </c>
      <c r="BI18" s="74">
        <f t="shared" si="99"/>
        <v>273500</v>
      </c>
      <c r="BJ18" s="99">
        <f t="shared" si="94"/>
        <v>1</v>
      </c>
      <c r="BK18" s="557"/>
      <c r="BL18" s="323">
        <f>SUM(AK18)-(BT18)</f>
        <v>181125</v>
      </c>
      <c r="BM18" s="323">
        <f>20000*9</f>
        <v>180000</v>
      </c>
      <c r="BN18" s="582">
        <f t="shared" ref="BN18" si="102">SUM(BL18-BM18)</f>
        <v>1125</v>
      </c>
      <c r="BO18" s="561"/>
      <c r="BP18" s="323"/>
      <c r="BQ18" s="323"/>
      <c r="BR18" s="323">
        <f t="shared" si="46"/>
        <v>0</v>
      </c>
      <c r="BS18" s="571">
        <f t="shared" si="47"/>
        <v>57500</v>
      </c>
      <c r="BT18" s="556">
        <f t="shared" si="67"/>
        <v>25875</v>
      </c>
      <c r="BU18" s="323">
        <f t="shared" si="48"/>
        <v>0</v>
      </c>
      <c r="BV18" s="323">
        <f t="shared" si="49"/>
        <v>0</v>
      </c>
      <c r="BW18" s="323">
        <f t="shared" si="50"/>
        <v>0</v>
      </c>
      <c r="BX18" s="323">
        <f t="shared" si="51"/>
        <v>0</v>
      </c>
      <c r="BY18" s="323">
        <f t="shared" si="52"/>
        <v>0</v>
      </c>
      <c r="BZ18" s="323">
        <f t="shared" si="53"/>
        <v>0</v>
      </c>
      <c r="CA18" s="323">
        <f t="shared" si="54"/>
        <v>0</v>
      </c>
      <c r="CB18" s="55">
        <f t="shared" si="64"/>
        <v>83375</v>
      </c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3"/>
      <c r="CN18" s="323"/>
      <c r="CO18" s="55">
        <f t="shared" si="56"/>
        <v>0</v>
      </c>
      <c r="CP18" s="334"/>
      <c r="CQ18" s="334"/>
      <c r="CR18" s="334"/>
      <c r="CS18" s="334"/>
      <c r="CT18" s="360"/>
      <c r="CU18" s="349"/>
      <c r="CV18" s="361"/>
      <c r="CW18" s="69"/>
      <c r="CX18" s="69"/>
      <c r="CY18" s="69"/>
      <c r="CZ18" s="69"/>
      <c r="DA18" s="69"/>
      <c r="DB18" s="69"/>
      <c r="DC18" s="69"/>
      <c r="DD18" s="69"/>
      <c r="DE18" s="69"/>
    </row>
    <row r="19" spans="1:127" s="70" customFormat="1" ht="24.75" customHeight="1" x14ac:dyDescent="0.2">
      <c r="A19" s="64"/>
      <c r="B19" s="345" t="s">
        <v>68</v>
      </c>
      <c r="C19" s="65" t="s">
        <v>71</v>
      </c>
      <c r="D19" s="486">
        <v>1</v>
      </c>
      <c r="E19" s="66"/>
      <c r="F19" s="66">
        <v>1</v>
      </c>
      <c r="G19" s="574"/>
      <c r="H19" s="574"/>
      <c r="I19" s="618"/>
      <c r="J19" s="618"/>
      <c r="K19" s="574"/>
      <c r="L19" s="574"/>
      <c r="M19" s="574"/>
      <c r="N19" s="574"/>
      <c r="O19" s="574"/>
      <c r="P19" s="574"/>
      <c r="Q19" s="339">
        <f t="shared" si="80"/>
        <v>1</v>
      </c>
      <c r="R19" s="375" t="s">
        <v>25</v>
      </c>
      <c r="S19" s="374">
        <v>150000</v>
      </c>
      <c r="T19" s="376"/>
      <c r="U19" s="325">
        <v>120000</v>
      </c>
      <c r="V19" s="577"/>
      <c r="W19" s="577"/>
      <c r="X19" s="619"/>
      <c r="Y19" s="619"/>
      <c r="Z19" s="577"/>
      <c r="AA19" s="577"/>
      <c r="AB19" s="577"/>
      <c r="AC19" s="577"/>
      <c r="AD19" s="577"/>
      <c r="AE19" s="577"/>
      <c r="AF19" s="51">
        <f t="shared" si="58"/>
        <v>150000</v>
      </c>
      <c r="AG19" s="323">
        <f>T19*E19</f>
        <v>0</v>
      </c>
      <c r="AH19" s="323">
        <f t="shared" si="81"/>
        <v>120000</v>
      </c>
      <c r="AI19" s="580">
        <f t="shared" si="82"/>
        <v>0</v>
      </c>
      <c r="AJ19" s="580">
        <f t="shared" si="83"/>
        <v>0</v>
      </c>
      <c r="AK19" s="616">
        <f t="shared" si="84"/>
        <v>0</v>
      </c>
      <c r="AL19" s="616">
        <f t="shared" si="85"/>
        <v>0</v>
      </c>
      <c r="AM19" s="580">
        <f t="shared" si="86"/>
        <v>0</v>
      </c>
      <c r="AN19" s="580">
        <f t="shared" si="87"/>
        <v>0</v>
      </c>
      <c r="AO19" s="580">
        <f t="shared" si="88"/>
        <v>0</v>
      </c>
      <c r="AP19" s="580">
        <f t="shared" si="89"/>
        <v>0</v>
      </c>
      <c r="AQ19" s="580">
        <f t="shared" si="90"/>
        <v>0</v>
      </c>
      <c r="AR19" s="580">
        <f t="shared" si="91"/>
        <v>0</v>
      </c>
      <c r="AS19" s="324">
        <f t="shared" si="61"/>
        <v>120000</v>
      </c>
      <c r="AT19" s="323">
        <f t="shared" si="62"/>
        <v>0</v>
      </c>
      <c r="AU19" s="323">
        <f>SUM(AH19*4%)</f>
        <v>4800</v>
      </c>
      <c r="AV19" s="323"/>
      <c r="AW19" s="580">
        <f t="shared" si="100"/>
        <v>0</v>
      </c>
      <c r="AX19" s="616"/>
      <c r="AY19" s="580"/>
      <c r="AZ19" s="580"/>
      <c r="BA19" s="580"/>
      <c r="BB19" s="580"/>
      <c r="BC19" s="580"/>
      <c r="BD19" s="580"/>
      <c r="BE19" s="580"/>
      <c r="BF19" s="55">
        <f t="shared" si="93"/>
        <v>4800</v>
      </c>
      <c r="BG19" s="72">
        <f t="shared" si="98"/>
        <v>25200</v>
      </c>
      <c r="BH19" s="73">
        <f t="shared" si="43"/>
        <v>150000</v>
      </c>
      <c r="BI19" s="74">
        <f t="shared" si="99"/>
        <v>25200</v>
      </c>
      <c r="BJ19" s="99">
        <f t="shared" si="94"/>
        <v>1</v>
      </c>
      <c r="BK19" s="557"/>
      <c r="BL19" s="323"/>
      <c r="BM19" s="323"/>
      <c r="BN19" s="582"/>
      <c r="BO19" s="561"/>
      <c r="BP19" s="323"/>
      <c r="BQ19" s="323"/>
      <c r="BR19" s="323">
        <f t="shared" si="46"/>
        <v>0</v>
      </c>
      <c r="BS19" s="571">
        <f t="shared" si="47"/>
        <v>0</v>
      </c>
      <c r="BT19" s="556">
        <f t="shared" si="67"/>
        <v>0</v>
      </c>
      <c r="BU19" s="323">
        <f t="shared" si="48"/>
        <v>0</v>
      </c>
      <c r="BV19" s="323">
        <f t="shared" si="49"/>
        <v>0</v>
      </c>
      <c r="BW19" s="323">
        <f t="shared" si="50"/>
        <v>0</v>
      </c>
      <c r="BX19" s="323">
        <f t="shared" si="51"/>
        <v>0</v>
      </c>
      <c r="BY19" s="323">
        <f t="shared" si="52"/>
        <v>0</v>
      </c>
      <c r="BZ19" s="323">
        <f t="shared" si="53"/>
        <v>0</v>
      </c>
      <c r="CA19" s="323">
        <f t="shared" si="54"/>
        <v>0</v>
      </c>
      <c r="CB19" s="55">
        <f t="shared" si="64"/>
        <v>0</v>
      </c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55">
        <f t="shared" si="56"/>
        <v>0</v>
      </c>
      <c r="CP19" s="334"/>
      <c r="CQ19" s="334"/>
      <c r="CR19" s="334"/>
      <c r="CS19" s="334"/>
      <c r="CT19" s="360"/>
      <c r="CU19" s="349"/>
      <c r="CV19" s="361"/>
      <c r="CW19" s="69"/>
      <c r="CX19" s="69"/>
      <c r="CY19" s="69"/>
      <c r="CZ19" s="69"/>
      <c r="DA19" s="69"/>
      <c r="DB19" s="69"/>
      <c r="DC19" s="69"/>
      <c r="DD19" s="69"/>
      <c r="DE19" s="69"/>
    </row>
    <row r="20" spans="1:127" s="70" customFormat="1" ht="24.75" customHeight="1" x14ac:dyDescent="0.2">
      <c r="A20" s="64"/>
      <c r="B20" s="345" t="s">
        <v>12</v>
      </c>
      <c r="C20" s="65" t="s">
        <v>71</v>
      </c>
      <c r="D20" s="486">
        <v>1</v>
      </c>
      <c r="E20" s="66"/>
      <c r="F20" s="66"/>
      <c r="G20" s="574"/>
      <c r="H20" s="574"/>
      <c r="I20" s="618"/>
      <c r="J20" s="618"/>
      <c r="K20" s="574"/>
      <c r="L20" s="574"/>
      <c r="M20" s="574"/>
      <c r="N20" s="574"/>
      <c r="O20" s="574"/>
      <c r="P20" s="574"/>
      <c r="Q20" s="339">
        <f t="shared" ref="Q20" si="103">SUM(E20:P20)</f>
        <v>0</v>
      </c>
      <c r="R20" s="375" t="s">
        <v>15</v>
      </c>
      <c r="S20" s="374">
        <v>550000</v>
      </c>
      <c r="T20" s="436"/>
      <c r="U20" s="433"/>
      <c r="V20" s="577"/>
      <c r="W20" s="577"/>
      <c r="X20" s="619"/>
      <c r="Y20" s="619"/>
      <c r="Z20" s="577"/>
      <c r="AA20" s="577"/>
      <c r="AB20" s="577"/>
      <c r="AC20" s="577"/>
      <c r="AD20" s="577"/>
      <c r="AE20" s="577"/>
      <c r="AF20" s="51">
        <f t="shared" si="58"/>
        <v>0</v>
      </c>
      <c r="AG20" s="323">
        <f>T20*E20</f>
        <v>0</v>
      </c>
      <c r="AH20" s="323">
        <f t="shared" ref="AH20" si="104">U20*F20</f>
        <v>0</v>
      </c>
      <c r="AI20" s="580">
        <f t="shared" ref="AI20" si="105">V20*G20</f>
        <v>0</v>
      </c>
      <c r="AJ20" s="580">
        <f t="shared" ref="AJ20" si="106">W20*H20</f>
        <v>0</v>
      </c>
      <c r="AK20" s="616">
        <f t="shared" ref="AK20" si="107">X20*I20</f>
        <v>0</v>
      </c>
      <c r="AL20" s="616">
        <f t="shared" ref="AL20" si="108">Y20*J20</f>
        <v>0</v>
      </c>
      <c r="AM20" s="580">
        <f t="shared" ref="AM20" si="109">Z20*K20</f>
        <v>0</v>
      </c>
      <c r="AN20" s="580">
        <f t="shared" ref="AN20" si="110">AA20*L20</f>
        <v>0</v>
      </c>
      <c r="AO20" s="580">
        <f t="shared" ref="AO20" si="111">AB20*M20</f>
        <v>0</v>
      </c>
      <c r="AP20" s="580">
        <f t="shared" ref="AP20" si="112">AC20*N20</f>
        <v>0</v>
      </c>
      <c r="AQ20" s="580">
        <f t="shared" ref="AQ20" si="113">AD20*O20</f>
        <v>0</v>
      </c>
      <c r="AR20" s="580">
        <f t="shared" ref="AR20" si="114">AE20*P20</f>
        <v>0</v>
      </c>
      <c r="AS20" s="324">
        <f t="shared" si="61"/>
        <v>0</v>
      </c>
      <c r="AT20" s="323">
        <f t="shared" si="62"/>
        <v>0</v>
      </c>
      <c r="AU20" s="323">
        <f t="shared" ref="AU20" si="115">SUM(AH20*14%)</f>
        <v>0</v>
      </c>
      <c r="AV20" s="323"/>
      <c r="AW20" s="580">
        <f t="shared" si="100"/>
        <v>0</v>
      </c>
      <c r="AX20" s="616"/>
      <c r="AY20" s="580"/>
      <c r="AZ20" s="580"/>
      <c r="BA20" s="580"/>
      <c r="BB20" s="580"/>
      <c r="BC20" s="580"/>
      <c r="BD20" s="580"/>
      <c r="BE20" s="580"/>
      <c r="BF20" s="55">
        <f t="shared" ref="BF20" si="116">SUM(AT20:BE20)</f>
        <v>0</v>
      </c>
      <c r="BG20" s="72">
        <f t="shared" ref="BG20" si="117">AF20-AS20-BF20</f>
        <v>0</v>
      </c>
      <c r="BH20" s="73">
        <f t="shared" si="43"/>
        <v>550000</v>
      </c>
      <c r="BI20" s="74">
        <f t="shared" ref="BI20" si="118">BH20-AS20-BF20</f>
        <v>550000</v>
      </c>
      <c r="BJ20" s="99">
        <f t="shared" ref="BJ20" si="119">SUM(Q20/D20)</f>
        <v>0</v>
      </c>
      <c r="BK20" s="557"/>
      <c r="BL20" s="323"/>
      <c r="BM20" s="323"/>
      <c r="BN20" s="582"/>
      <c r="BO20" s="561"/>
      <c r="BP20" s="323"/>
      <c r="BQ20" s="323"/>
      <c r="BR20" s="323">
        <f t="shared" si="46"/>
        <v>0</v>
      </c>
      <c r="BS20" s="571">
        <f t="shared" si="47"/>
        <v>0</v>
      </c>
      <c r="BT20" s="556">
        <f t="shared" si="67"/>
        <v>0</v>
      </c>
      <c r="BU20" s="323">
        <f t="shared" si="48"/>
        <v>0</v>
      </c>
      <c r="BV20" s="323">
        <f t="shared" si="49"/>
        <v>0</v>
      </c>
      <c r="BW20" s="323">
        <f t="shared" si="50"/>
        <v>0</v>
      </c>
      <c r="BX20" s="323">
        <f t="shared" si="51"/>
        <v>0</v>
      </c>
      <c r="BY20" s="323">
        <f t="shared" si="52"/>
        <v>0</v>
      </c>
      <c r="BZ20" s="323">
        <f t="shared" si="53"/>
        <v>0</v>
      </c>
      <c r="CA20" s="323">
        <f t="shared" si="54"/>
        <v>0</v>
      </c>
      <c r="CB20" s="55">
        <f t="shared" si="64"/>
        <v>0</v>
      </c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3"/>
      <c r="CN20" s="323"/>
      <c r="CO20" s="55">
        <f t="shared" si="56"/>
        <v>0</v>
      </c>
      <c r="CP20" s="334"/>
      <c r="CQ20" s="334"/>
      <c r="CR20" s="334"/>
      <c r="CS20" s="334"/>
      <c r="CT20" s="360"/>
      <c r="CU20" s="349"/>
      <c r="CV20" s="361"/>
      <c r="CW20" s="69"/>
      <c r="CX20" s="69"/>
      <c r="CY20" s="69"/>
      <c r="CZ20" s="69"/>
      <c r="DA20" s="69"/>
      <c r="DB20" s="69"/>
      <c r="DC20" s="69"/>
      <c r="DD20" s="69"/>
      <c r="DE20" s="69"/>
    </row>
    <row r="21" spans="1:127" s="70" customFormat="1" ht="24.75" customHeight="1" x14ac:dyDescent="0.2">
      <c r="A21" s="64"/>
      <c r="B21" s="345" t="s">
        <v>167</v>
      </c>
      <c r="C21" s="65" t="s">
        <v>71</v>
      </c>
      <c r="D21" s="299">
        <v>1</v>
      </c>
      <c r="E21" s="66"/>
      <c r="F21" s="66"/>
      <c r="G21" s="574"/>
      <c r="H21" s="574"/>
      <c r="I21" s="618">
        <v>1</v>
      </c>
      <c r="J21" s="618"/>
      <c r="K21" s="574"/>
      <c r="L21" s="574"/>
      <c r="M21" s="574"/>
      <c r="N21" s="574"/>
      <c r="O21" s="574"/>
      <c r="P21" s="574"/>
      <c r="Q21" s="339">
        <f t="shared" si="57"/>
        <v>1</v>
      </c>
      <c r="R21" s="375" t="s">
        <v>70</v>
      </c>
      <c r="S21" s="374">
        <v>765356</v>
      </c>
      <c r="T21" s="433"/>
      <c r="U21" s="433"/>
      <c r="V21" s="577"/>
      <c r="W21" s="577"/>
      <c r="X21" s="619">
        <v>765000</v>
      </c>
      <c r="Y21" s="619"/>
      <c r="Z21" s="577"/>
      <c r="AA21" s="577"/>
      <c r="AB21" s="577"/>
      <c r="AC21" s="577"/>
      <c r="AD21" s="577"/>
      <c r="AE21" s="577"/>
      <c r="AF21" s="51">
        <f t="shared" si="58"/>
        <v>765356</v>
      </c>
      <c r="AG21" s="323">
        <f t="shared" si="59"/>
        <v>0</v>
      </c>
      <c r="AH21" s="323">
        <f t="shared" si="30"/>
        <v>0</v>
      </c>
      <c r="AI21" s="580">
        <f t="shared" si="60"/>
        <v>0</v>
      </c>
      <c r="AJ21" s="580">
        <f t="shared" si="68"/>
        <v>0</v>
      </c>
      <c r="AK21" s="616">
        <f t="shared" si="69"/>
        <v>765000</v>
      </c>
      <c r="AL21" s="616">
        <f t="shared" si="70"/>
        <v>0</v>
      </c>
      <c r="AM21" s="580">
        <f t="shared" si="71"/>
        <v>0</v>
      </c>
      <c r="AN21" s="580">
        <f t="shared" si="72"/>
        <v>0</v>
      </c>
      <c r="AO21" s="580">
        <f t="shared" si="73"/>
        <v>0</v>
      </c>
      <c r="AP21" s="580">
        <f t="shared" si="74"/>
        <v>0</v>
      </c>
      <c r="AQ21" s="580">
        <f t="shared" si="75"/>
        <v>0</v>
      </c>
      <c r="AR21" s="580">
        <f t="shared" si="76"/>
        <v>0</v>
      </c>
      <c r="AS21" s="324">
        <f t="shared" si="61"/>
        <v>765000</v>
      </c>
      <c r="AT21" s="323">
        <f t="shared" si="62"/>
        <v>0</v>
      </c>
      <c r="AU21" s="323"/>
      <c r="AV21" s="323"/>
      <c r="AW21" s="580"/>
      <c r="AX21" s="616"/>
      <c r="AY21" s="580"/>
      <c r="AZ21" s="580"/>
      <c r="BA21" s="580"/>
      <c r="BB21" s="580"/>
      <c r="BC21" s="580"/>
      <c r="BD21" s="580"/>
      <c r="BE21" s="580"/>
      <c r="BF21" s="55">
        <f t="shared" si="42"/>
        <v>0</v>
      </c>
      <c r="BG21" s="72">
        <f>AF21-AS21</f>
        <v>356</v>
      </c>
      <c r="BH21" s="73">
        <f t="shared" si="43"/>
        <v>765356</v>
      </c>
      <c r="BI21" s="723">
        <f t="shared" si="44"/>
        <v>356</v>
      </c>
      <c r="BJ21" s="99">
        <f>SUM(Q21/D21)</f>
        <v>1</v>
      </c>
      <c r="BK21" s="557"/>
      <c r="BL21" s="323"/>
      <c r="BM21" s="323"/>
      <c r="BN21" s="582"/>
      <c r="BO21" s="561"/>
      <c r="BP21" s="323"/>
      <c r="BQ21" s="323"/>
      <c r="BR21" s="323">
        <f t="shared" si="46"/>
        <v>0</v>
      </c>
      <c r="BS21" s="571">
        <f t="shared" si="47"/>
        <v>0</v>
      </c>
      <c r="BT21" s="556">
        <f t="shared" si="67"/>
        <v>95625</v>
      </c>
      <c r="BU21" s="323">
        <f t="shared" si="48"/>
        <v>0</v>
      </c>
      <c r="BV21" s="323">
        <f t="shared" si="49"/>
        <v>0</v>
      </c>
      <c r="BW21" s="323">
        <f t="shared" si="50"/>
        <v>0</v>
      </c>
      <c r="BX21" s="323">
        <f t="shared" si="51"/>
        <v>0</v>
      </c>
      <c r="BY21" s="323">
        <f t="shared" si="52"/>
        <v>0</v>
      </c>
      <c r="BZ21" s="323">
        <f t="shared" si="53"/>
        <v>0</v>
      </c>
      <c r="CA21" s="323">
        <f t="shared" si="54"/>
        <v>0</v>
      </c>
      <c r="CB21" s="55">
        <f t="shared" si="64"/>
        <v>95625</v>
      </c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55">
        <f t="shared" si="56"/>
        <v>0</v>
      </c>
      <c r="CP21" s="334"/>
      <c r="CQ21" s="334"/>
      <c r="CR21" s="334"/>
      <c r="CS21" s="334"/>
      <c r="CT21" s="360"/>
      <c r="CU21" s="349"/>
      <c r="CV21" s="361"/>
      <c r="CW21" s="69"/>
      <c r="CX21" s="69"/>
      <c r="CY21" s="69"/>
      <c r="CZ21" s="69"/>
      <c r="DA21" s="69"/>
      <c r="DB21" s="69"/>
      <c r="DC21" s="69"/>
      <c r="DD21" s="69"/>
      <c r="DE21" s="69"/>
    </row>
    <row r="22" spans="1:127" s="70" customFormat="1" ht="24.75" customHeight="1" thickBot="1" x14ac:dyDescent="0.25">
      <c r="A22" s="64"/>
      <c r="B22" s="345" t="s">
        <v>165</v>
      </c>
      <c r="C22" s="65" t="s">
        <v>71</v>
      </c>
      <c r="D22" s="488">
        <v>3</v>
      </c>
      <c r="E22" s="66"/>
      <c r="F22" s="66"/>
      <c r="G22" s="559"/>
      <c r="H22" s="574">
        <v>3</v>
      </c>
      <c r="I22" s="618"/>
      <c r="J22" s="618"/>
      <c r="K22" s="574"/>
      <c r="L22" s="574"/>
      <c r="M22" s="574"/>
      <c r="N22" s="574"/>
      <c r="O22" s="574"/>
      <c r="P22" s="574"/>
      <c r="Q22" s="339">
        <f t="shared" si="57"/>
        <v>3</v>
      </c>
      <c r="R22" s="114" t="s">
        <v>166</v>
      </c>
      <c r="S22" s="374">
        <v>342000</v>
      </c>
      <c r="T22" s="433"/>
      <c r="U22" s="435"/>
      <c r="V22" s="578"/>
      <c r="W22" s="578">
        <v>342000</v>
      </c>
      <c r="X22" s="619"/>
      <c r="Y22" s="619"/>
      <c r="Z22" s="577"/>
      <c r="AA22" s="577"/>
      <c r="AB22" s="577"/>
      <c r="AC22" s="577"/>
      <c r="AD22" s="577"/>
      <c r="AE22" s="577"/>
      <c r="AF22" s="51">
        <f t="shared" si="58"/>
        <v>1026000</v>
      </c>
      <c r="AG22" s="323">
        <f t="shared" si="59"/>
        <v>0</v>
      </c>
      <c r="AH22" s="323">
        <f t="shared" si="30"/>
        <v>0</v>
      </c>
      <c r="AI22" s="580">
        <f t="shared" si="60"/>
        <v>0</v>
      </c>
      <c r="AJ22" s="580">
        <f>W22*H22</f>
        <v>1026000</v>
      </c>
      <c r="AK22" s="616">
        <f t="shared" ref="AK22" si="120">X22*I22</f>
        <v>0</v>
      </c>
      <c r="AL22" s="616">
        <f t="shared" ref="AL22" si="121">Y22*J22</f>
        <v>0</v>
      </c>
      <c r="AM22" s="580">
        <f t="shared" ref="AM22" si="122">Z22*K22</f>
        <v>0</v>
      </c>
      <c r="AN22" s="580">
        <f t="shared" ref="AN22" si="123">AA22*L22</f>
        <v>0</v>
      </c>
      <c r="AO22" s="580">
        <f t="shared" ref="AO22" si="124">AB22*M22</f>
        <v>0</v>
      </c>
      <c r="AP22" s="580">
        <f t="shared" ref="AP22" si="125">AC22*N22</f>
        <v>0</v>
      </c>
      <c r="AQ22" s="580">
        <f t="shared" ref="AQ22" si="126">AD22*O22</f>
        <v>0</v>
      </c>
      <c r="AR22" s="580">
        <f t="shared" ref="AR22" si="127">AE22*P22</f>
        <v>0</v>
      </c>
      <c r="AS22" s="324">
        <f t="shared" si="61"/>
        <v>1026000</v>
      </c>
      <c r="AT22" s="323">
        <f t="shared" si="62"/>
        <v>0</v>
      </c>
      <c r="AU22" s="323"/>
      <c r="AV22" s="323"/>
      <c r="AW22" s="580">
        <f>SUM(AJ22*2%)</f>
        <v>20520</v>
      </c>
      <c r="AX22" s="616"/>
      <c r="AY22" s="580"/>
      <c r="AZ22" s="580"/>
      <c r="BA22" s="580"/>
      <c r="BB22" s="580"/>
      <c r="BC22" s="580"/>
      <c r="BD22" s="580"/>
      <c r="BE22" s="580"/>
      <c r="BF22" s="55">
        <f t="shared" si="42"/>
        <v>20520</v>
      </c>
      <c r="BG22" s="72">
        <f>AF22-AS22</f>
        <v>0</v>
      </c>
      <c r="BH22" s="73">
        <f t="shared" si="43"/>
        <v>1026000</v>
      </c>
      <c r="BI22" s="74">
        <f>BH22-AS22</f>
        <v>0</v>
      </c>
      <c r="BJ22" s="99">
        <f>SUM(Q22/D22)</f>
        <v>1</v>
      </c>
      <c r="BK22" s="557"/>
      <c r="BL22" s="323">
        <f>SUM(AJ22-AW22)</f>
        <v>1005480</v>
      </c>
      <c r="BM22" s="323">
        <v>1000000</v>
      </c>
      <c r="BN22" s="582">
        <f t="shared" ref="BN22" si="128">SUM(BL22-BM22)</f>
        <v>5480</v>
      </c>
      <c r="BO22" s="561"/>
      <c r="BP22" s="323"/>
      <c r="BQ22" s="323"/>
      <c r="BR22" s="323">
        <f t="shared" si="46"/>
        <v>0</v>
      </c>
      <c r="BS22" s="571">
        <f>SUM(AJ22*12.5%)</f>
        <v>128250</v>
      </c>
      <c r="BT22" s="556">
        <f t="shared" si="67"/>
        <v>0</v>
      </c>
      <c r="BU22" s="323">
        <f t="shared" si="48"/>
        <v>0</v>
      </c>
      <c r="BV22" s="323">
        <f t="shared" si="49"/>
        <v>0</v>
      </c>
      <c r="BW22" s="323">
        <f t="shared" si="50"/>
        <v>0</v>
      </c>
      <c r="BX22" s="323">
        <f t="shared" si="51"/>
        <v>0</v>
      </c>
      <c r="BY22" s="323">
        <f t="shared" si="52"/>
        <v>0</v>
      </c>
      <c r="BZ22" s="323">
        <f t="shared" si="53"/>
        <v>0</v>
      </c>
      <c r="CA22" s="323">
        <f t="shared" si="54"/>
        <v>0</v>
      </c>
      <c r="CB22" s="55">
        <f t="shared" si="64"/>
        <v>128250</v>
      </c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55">
        <f t="shared" si="56"/>
        <v>0</v>
      </c>
      <c r="CP22" s="334"/>
      <c r="CQ22" s="334"/>
      <c r="CR22" s="334"/>
      <c r="CS22" s="334"/>
      <c r="CT22" s="360"/>
      <c r="CU22" s="349"/>
      <c r="CV22" s="361"/>
      <c r="CW22" s="69"/>
      <c r="CX22" s="69"/>
      <c r="CY22" s="69"/>
      <c r="CZ22" s="69"/>
      <c r="DA22" s="69"/>
      <c r="DB22" s="69"/>
      <c r="DC22" s="69"/>
      <c r="DD22" s="69"/>
      <c r="DE22" s="69"/>
    </row>
    <row r="23" spans="1:127" s="894" customFormat="1" ht="24.75" customHeight="1" thickBot="1" x14ac:dyDescent="0.25">
      <c r="A23" s="885"/>
      <c r="B23" s="886" t="s">
        <v>4</v>
      </c>
      <c r="C23" s="886"/>
      <c r="D23" s="885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4"/>
      <c r="R23" s="887"/>
      <c r="S23" s="888"/>
      <c r="T23" s="889"/>
      <c r="U23" s="890"/>
      <c r="V23" s="890"/>
      <c r="W23" s="890"/>
      <c r="X23" s="890"/>
      <c r="Y23" s="890"/>
      <c r="Z23" s="890"/>
      <c r="AA23" s="890"/>
      <c r="AB23" s="890"/>
      <c r="AC23" s="890"/>
      <c r="AD23" s="890"/>
      <c r="AE23" s="890"/>
      <c r="AF23" s="579">
        <f>SUM(AF5:AF22)</f>
        <v>90781556</v>
      </c>
      <c r="AG23" s="579">
        <f t="shared" ref="AG23:AT23" si="129">SUM(AG5:AG22)</f>
        <v>31100000</v>
      </c>
      <c r="AH23" s="579">
        <f t="shared" si="129"/>
        <v>120000</v>
      </c>
      <c r="AI23" s="579">
        <f t="shared" si="129"/>
        <v>8840000</v>
      </c>
      <c r="AJ23" s="579">
        <f>SUM(AJ5:AJ22)</f>
        <v>16691500</v>
      </c>
      <c r="AK23" s="579">
        <f>SUM(AK5:AK22)</f>
        <v>13529200</v>
      </c>
      <c r="AL23" s="579">
        <f>SUM(AL5:AL22)</f>
        <v>3115000</v>
      </c>
      <c r="AM23" s="579">
        <f t="shared" si="129"/>
        <v>0</v>
      </c>
      <c r="AN23" s="579">
        <f t="shared" si="129"/>
        <v>0</v>
      </c>
      <c r="AO23" s="579">
        <f t="shared" si="129"/>
        <v>0</v>
      </c>
      <c r="AP23" s="579">
        <f t="shared" si="129"/>
        <v>0</v>
      </c>
      <c r="AQ23" s="579">
        <f t="shared" si="129"/>
        <v>0</v>
      </c>
      <c r="AR23" s="579">
        <f t="shared" si="129"/>
        <v>0</v>
      </c>
      <c r="AS23" s="579">
        <f>SUM(AS5:AS22)</f>
        <v>73395700</v>
      </c>
      <c r="AT23" s="579">
        <f t="shared" si="129"/>
        <v>4354000</v>
      </c>
      <c r="AU23" s="579">
        <f>SUM(AU5:AU22)</f>
        <v>4800</v>
      </c>
      <c r="AV23" s="579">
        <f t="shared" ref="AV23:AY23" si="130">SUM(AV5:AV22)</f>
        <v>0</v>
      </c>
      <c r="AW23" s="579">
        <f t="shared" si="130"/>
        <v>106207.5</v>
      </c>
      <c r="AX23" s="579">
        <f t="shared" si="130"/>
        <v>78750</v>
      </c>
      <c r="AY23" s="579">
        <f t="shared" si="130"/>
        <v>14375</v>
      </c>
      <c r="AZ23" s="579"/>
      <c r="BA23" s="579"/>
      <c r="BB23" s="579"/>
      <c r="BC23" s="579"/>
      <c r="BD23" s="579"/>
      <c r="BE23" s="579"/>
      <c r="BF23" s="579">
        <f>BF5+BF6+BF7+BF8+BF16+BF17+BF19+BF18</f>
        <v>4358800</v>
      </c>
      <c r="BG23" s="891">
        <f>SUM(BG5:BG22)-BF13-BF14-BF15-BF22</f>
        <v>12827723.5</v>
      </c>
      <c r="BH23" s="579">
        <f>SUM(BH5:BH22)</f>
        <v>107502516</v>
      </c>
      <c r="BI23" s="579">
        <f>SUM(BI5:BI22)</f>
        <v>29748016</v>
      </c>
      <c r="BJ23" s="892">
        <v>1</v>
      </c>
      <c r="BK23" s="557"/>
      <c r="BL23" s="579">
        <f t="shared" ref="BL23:BN23" si="131">SUM(BL5:BL22)</f>
        <v>33262092.5</v>
      </c>
      <c r="BM23" s="579">
        <f t="shared" si="131"/>
        <v>33041000</v>
      </c>
      <c r="BN23" s="579">
        <f t="shared" si="131"/>
        <v>221092.5</v>
      </c>
      <c r="BO23" s="562"/>
      <c r="BP23" s="579"/>
      <c r="BQ23" s="579"/>
      <c r="BR23" s="579">
        <f t="shared" ref="BR23:CB23" si="132">SUM(BR5:BR22)</f>
        <v>1105000</v>
      </c>
      <c r="BS23" s="579">
        <f t="shared" si="132"/>
        <v>2086437.5</v>
      </c>
      <c r="BT23" s="579">
        <f t="shared" si="132"/>
        <v>1691150</v>
      </c>
      <c r="BU23" s="579">
        <f t="shared" si="132"/>
        <v>389375</v>
      </c>
      <c r="BV23" s="579">
        <f t="shared" si="132"/>
        <v>0</v>
      </c>
      <c r="BW23" s="579">
        <f t="shared" si="132"/>
        <v>0</v>
      </c>
      <c r="BX23" s="579">
        <f t="shared" si="132"/>
        <v>0</v>
      </c>
      <c r="BY23" s="579">
        <f t="shared" si="132"/>
        <v>0</v>
      </c>
      <c r="BZ23" s="579">
        <f t="shared" si="132"/>
        <v>0</v>
      </c>
      <c r="CA23" s="579">
        <f t="shared" si="132"/>
        <v>0</v>
      </c>
      <c r="CB23" s="579">
        <f t="shared" si="132"/>
        <v>5271962.5</v>
      </c>
      <c r="CC23" s="579">
        <f t="shared" ref="CC23:CO23" si="133">SUM(CC5:CC22)</f>
        <v>0</v>
      </c>
      <c r="CD23" s="579">
        <f t="shared" si="133"/>
        <v>0</v>
      </c>
      <c r="CE23" s="579">
        <f t="shared" si="133"/>
        <v>0</v>
      </c>
      <c r="CF23" s="579">
        <f t="shared" si="133"/>
        <v>0</v>
      </c>
      <c r="CG23" s="579">
        <f t="shared" si="133"/>
        <v>0</v>
      </c>
      <c r="CH23" s="579">
        <f t="shared" si="133"/>
        <v>0</v>
      </c>
      <c r="CI23" s="579">
        <f t="shared" si="133"/>
        <v>0</v>
      </c>
      <c r="CJ23" s="579">
        <f t="shared" si="133"/>
        <v>0</v>
      </c>
      <c r="CK23" s="579">
        <f t="shared" si="133"/>
        <v>0</v>
      </c>
      <c r="CL23" s="579">
        <f t="shared" si="133"/>
        <v>0</v>
      </c>
      <c r="CM23" s="579">
        <f t="shared" si="133"/>
        <v>0</v>
      </c>
      <c r="CN23" s="579">
        <f t="shared" si="133"/>
        <v>0</v>
      </c>
      <c r="CO23" s="579">
        <f t="shared" si="133"/>
        <v>0</v>
      </c>
      <c r="CP23" s="334"/>
      <c r="CQ23" s="334"/>
      <c r="CR23" s="334"/>
      <c r="CS23" s="334"/>
      <c r="CT23" s="349"/>
      <c r="CU23" s="349"/>
      <c r="CV23" s="361"/>
      <c r="CW23" s="893"/>
      <c r="CX23" s="893"/>
      <c r="CY23" s="893"/>
      <c r="CZ23" s="893"/>
      <c r="DA23" s="893"/>
      <c r="DB23" s="893"/>
      <c r="DC23" s="893"/>
      <c r="DD23" s="893"/>
      <c r="DE23" s="893"/>
    </row>
    <row r="24" spans="1:127" s="16" customFormat="1" ht="24.75" customHeight="1" x14ac:dyDescent="0.2">
      <c r="A24" s="37"/>
      <c r="D24" s="37"/>
      <c r="E24" s="37"/>
      <c r="F24" s="37"/>
      <c r="G24" s="37"/>
      <c r="H24" s="37"/>
      <c r="I24" s="37"/>
      <c r="J24" s="37"/>
      <c r="K24" s="37"/>
      <c r="L24" s="742"/>
      <c r="M24" s="37"/>
      <c r="N24" s="37"/>
      <c r="O24" s="37"/>
      <c r="P24" s="37"/>
      <c r="Q24" s="37"/>
      <c r="R24" s="37"/>
      <c r="S24" s="143"/>
      <c r="T24" s="143"/>
      <c r="AE24" s="28"/>
      <c r="AI24" s="560" t="s">
        <v>234</v>
      </c>
      <c r="AJ24" s="587">
        <v>16781500</v>
      </c>
      <c r="AS24" s="38"/>
      <c r="AW24" s="317"/>
      <c r="BF24" s="39">
        <f>SUM(AS23+BF23)</f>
        <v>77754500</v>
      </c>
      <c r="BG24" s="40">
        <f>AF23-AS23</f>
        <v>17385856</v>
      </c>
      <c r="BH24" s="41">
        <f>SUM(BI23+AS23+BF23)</f>
        <v>107502516</v>
      </c>
      <c r="BI24" s="42">
        <f>SUM(BG23)</f>
        <v>12827723.5</v>
      </c>
      <c r="BJ24" s="28" t="s">
        <v>29</v>
      </c>
      <c r="BN24" s="573">
        <v>82500</v>
      </c>
      <c r="BO24" s="133">
        <v>1</v>
      </c>
      <c r="CB24" s="39"/>
      <c r="CO24" s="39"/>
      <c r="CP24" s="38"/>
      <c r="CQ24" s="38"/>
      <c r="CR24" s="38"/>
      <c r="CS24" s="38"/>
      <c r="CT24" s="363"/>
      <c r="CU24" s="351"/>
      <c r="CV24" s="362"/>
      <c r="CW24" s="18"/>
      <c r="CX24" s="18"/>
      <c r="CY24" s="18"/>
      <c r="CZ24" s="18"/>
      <c r="DA24" s="18"/>
      <c r="DB24" s="18"/>
      <c r="DC24" s="18"/>
      <c r="DD24" s="18"/>
      <c r="DE24" s="18"/>
      <c r="DF24" s="18"/>
    </row>
    <row r="25" spans="1:127" s="16" customFormat="1" ht="24.75" customHeight="1" x14ac:dyDescent="0.2">
      <c r="A25" s="37"/>
      <c r="D25" s="37"/>
      <c r="E25" s="37"/>
      <c r="F25" s="37"/>
      <c r="G25" s="37"/>
      <c r="H25" s="37"/>
      <c r="I25" s="37"/>
      <c r="J25" s="37"/>
      <c r="K25" s="37"/>
      <c r="L25" s="37"/>
      <c r="M25" s="742"/>
      <c r="N25" s="37"/>
      <c r="O25" s="742"/>
      <c r="P25" s="37"/>
      <c r="Q25" s="37"/>
      <c r="R25" s="37"/>
      <c r="S25" s="143"/>
      <c r="T25" s="143"/>
      <c r="V25" s="585"/>
      <c r="X25" s="587">
        <v>2760000</v>
      </c>
      <c r="AE25" s="28"/>
      <c r="AG25" s="317"/>
      <c r="AJ25" s="82">
        <f>SUM(AJ23-AJ24)</f>
        <v>-90000</v>
      </c>
      <c r="AS25" s="28"/>
      <c r="AT25" s="82">
        <f>AS19+AU19</f>
        <v>124800</v>
      </c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>
        <f>SUM(AT25:BE25)</f>
        <v>124800</v>
      </c>
      <c r="BG25" s="28"/>
      <c r="BH25" s="590"/>
      <c r="BI25" s="44">
        <f>SUM(BI23-BI24)</f>
        <v>16920292.5</v>
      </c>
      <c r="BJ25" s="28" t="s">
        <v>28</v>
      </c>
      <c r="BL25" s="82"/>
      <c r="BM25" s="82"/>
      <c r="BN25" s="512">
        <v>86793</v>
      </c>
      <c r="BO25" s="572">
        <v>2</v>
      </c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38"/>
      <c r="CQ25" s="38"/>
      <c r="CR25" s="38"/>
      <c r="CS25" s="38"/>
      <c r="CT25" s="363"/>
      <c r="CU25" s="351"/>
      <c r="CV25" s="362"/>
      <c r="CW25" s="18"/>
      <c r="CX25" s="18"/>
      <c r="CY25" s="18"/>
      <c r="CZ25" s="18"/>
      <c r="DA25" s="18"/>
      <c r="DB25" s="18"/>
      <c r="DC25" s="18"/>
      <c r="DD25" s="18"/>
      <c r="DE25" s="18"/>
      <c r="DF25" s="18"/>
    </row>
    <row r="26" spans="1:127" s="83" customFormat="1" ht="24.75" customHeight="1" x14ac:dyDescent="0.2">
      <c r="A26" s="811" t="s">
        <v>7</v>
      </c>
      <c r="B26" s="812"/>
      <c r="C26" s="83" t="s">
        <v>149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34"/>
      <c r="T26" s="14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17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318"/>
      <c r="AS26" s="338"/>
      <c r="AT26" s="342"/>
      <c r="AU26" s="342"/>
      <c r="AV26" s="318"/>
      <c r="AW26" s="318"/>
      <c r="AX26" s="342"/>
      <c r="AY26" s="341"/>
      <c r="AZ26" s="85"/>
      <c r="BA26" s="85"/>
      <c r="BB26" s="85"/>
      <c r="BC26" s="85"/>
      <c r="BD26" s="85"/>
      <c r="BE26" s="85"/>
      <c r="BF26" s="84"/>
      <c r="BG26" s="84"/>
      <c r="BH26" s="84"/>
      <c r="BI26" s="612"/>
      <c r="BJ26" s="17"/>
      <c r="BK26" s="318"/>
      <c r="BL26" s="318"/>
      <c r="BM26" s="318"/>
      <c r="BN26" s="318">
        <f>SUM(BN23-BN24-BN25)</f>
        <v>51799.5</v>
      </c>
      <c r="BO26" s="85"/>
      <c r="BP26" s="342"/>
      <c r="BQ26" s="342"/>
      <c r="BR26" s="318"/>
      <c r="BS26" s="318"/>
      <c r="BT26" s="342"/>
      <c r="BU26" s="341"/>
      <c r="BV26" s="85"/>
      <c r="BW26" s="85"/>
      <c r="BX26" s="85"/>
      <c r="BY26" s="85"/>
      <c r="BZ26" s="85"/>
      <c r="CA26" s="85"/>
      <c r="CB26" s="84"/>
      <c r="CC26" s="342"/>
      <c r="CD26" s="342"/>
      <c r="CE26" s="318"/>
      <c r="CF26" s="318"/>
      <c r="CG26" s="342"/>
      <c r="CH26" s="341"/>
      <c r="CI26" s="85"/>
      <c r="CJ26" s="85"/>
      <c r="CK26" s="85"/>
      <c r="CL26" s="85"/>
      <c r="CM26" s="85"/>
      <c r="CN26" s="85"/>
      <c r="CO26" s="84"/>
      <c r="CP26" s="320"/>
      <c r="CQ26" s="320"/>
      <c r="CR26" s="320"/>
      <c r="CS26" s="320"/>
      <c r="CT26" s="17"/>
      <c r="CU26" s="347"/>
      <c r="CV26" s="357"/>
      <c r="CW26" s="85"/>
      <c r="CX26" s="85"/>
      <c r="CY26" s="84"/>
      <c r="CZ26" s="84"/>
      <c r="DA26" s="84"/>
      <c r="DB26" s="84"/>
      <c r="DC26" s="88"/>
      <c r="DD26" s="84"/>
      <c r="DE26" s="8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</row>
    <row r="27" spans="1:127" s="7" customFormat="1" ht="48.75" customHeight="1" x14ac:dyDescent="0.2">
      <c r="A27" s="813" t="s">
        <v>8</v>
      </c>
      <c r="B27" s="787" t="s">
        <v>9</v>
      </c>
      <c r="C27" s="787" t="s">
        <v>22</v>
      </c>
      <c r="D27" s="806" t="s">
        <v>10</v>
      </c>
      <c r="E27" s="806"/>
      <c r="F27" s="806"/>
      <c r="G27" s="806"/>
      <c r="H27" s="806"/>
      <c r="I27" s="806"/>
      <c r="J27" s="806"/>
      <c r="K27" s="806"/>
      <c r="L27" s="806"/>
      <c r="M27" s="806"/>
      <c r="N27" s="806"/>
      <c r="O27" s="806"/>
      <c r="P27" s="806"/>
      <c r="Q27" s="806"/>
      <c r="R27" s="787" t="s">
        <v>20</v>
      </c>
      <c r="S27" s="807" t="s">
        <v>17</v>
      </c>
      <c r="T27" s="808"/>
      <c r="U27" s="808"/>
      <c r="V27" s="808"/>
      <c r="W27" s="808"/>
      <c r="X27" s="808"/>
      <c r="Y27" s="808"/>
      <c r="Z27" s="808"/>
      <c r="AA27" s="808"/>
      <c r="AB27" s="808"/>
      <c r="AC27" s="808"/>
      <c r="AD27" s="808"/>
      <c r="AE27" s="809"/>
      <c r="AF27" s="810" t="s">
        <v>5</v>
      </c>
      <c r="AG27" s="810"/>
      <c r="AH27" s="810"/>
      <c r="AI27" s="810"/>
      <c r="AJ27" s="810"/>
      <c r="AK27" s="810"/>
      <c r="AL27" s="810"/>
      <c r="AM27" s="810"/>
      <c r="AN27" s="810"/>
      <c r="AO27" s="810"/>
      <c r="AP27" s="810"/>
      <c r="AQ27" s="810"/>
      <c r="AR27" s="810"/>
      <c r="AS27" s="810"/>
      <c r="AT27" s="800" t="s">
        <v>32</v>
      </c>
      <c r="AU27" s="801"/>
      <c r="AV27" s="801"/>
      <c r="AW27" s="801"/>
      <c r="AX27" s="801"/>
      <c r="AY27" s="801"/>
      <c r="AZ27" s="801"/>
      <c r="BA27" s="801"/>
      <c r="BB27" s="801"/>
      <c r="BC27" s="801"/>
      <c r="BD27" s="801"/>
      <c r="BE27" s="801"/>
      <c r="BF27" s="802"/>
      <c r="BG27" s="787" t="s">
        <v>29</v>
      </c>
      <c r="BH27" s="787" t="s">
        <v>57</v>
      </c>
      <c r="BI27" s="790" t="s">
        <v>30</v>
      </c>
      <c r="BJ27" s="84"/>
      <c r="BK27" s="84"/>
      <c r="BL27" s="84"/>
      <c r="BM27" s="84"/>
      <c r="BN27" s="84"/>
      <c r="BO27" s="84"/>
      <c r="BP27" s="774" t="s">
        <v>32</v>
      </c>
      <c r="BQ27" s="775"/>
      <c r="BR27" s="775"/>
      <c r="BS27" s="775"/>
      <c r="BT27" s="775"/>
      <c r="BU27" s="775"/>
      <c r="BV27" s="775"/>
      <c r="BW27" s="775"/>
      <c r="BX27" s="775"/>
      <c r="BY27" s="775"/>
      <c r="BZ27" s="775"/>
      <c r="CA27" s="775"/>
      <c r="CB27" s="775"/>
      <c r="CC27" s="775"/>
      <c r="CD27" s="775"/>
      <c r="CE27" s="775"/>
      <c r="CF27" s="775"/>
      <c r="CG27" s="775"/>
      <c r="CH27" s="775"/>
      <c r="CI27" s="775"/>
      <c r="CJ27" s="775"/>
      <c r="CK27" s="775"/>
      <c r="CL27" s="775"/>
      <c r="CM27" s="775"/>
      <c r="CN27" s="775"/>
      <c r="CO27" s="776"/>
      <c r="CP27" s="332"/>
      <c r="CQ27" s="332"/>
      <c r="CR27" s="332"/>
      <c r="CS27" s="332"/>
      <c r="CT27" s="17"/>
      <c r="CU27" s="347"/>
      <c r="CV27" s="357"/>
      <c r="CW27" s="17"/>
      <c r="CX27" s="17"/>
      <c r="CY27" s="17"/>
      <c r="CZ27" s="17"/>
      <c r="DA27" s="17"/>
      <c r="DB27" s="17"/>
      <c r="DC27" s="17"/>
      <c r="DD27" s="19"/>
      <c r="DE27" s="19"/>
    </row>
    <row r="28" spans="1:127" s="7" customFormat="1" ht="48.75" customHeight="1" x14ac:dyDescent="0.2">
      <c r="A28" s="814"/>
      <c r="B28" s="788"/>
      <c r="C28" s="788"/>
      <c r="D28" s="797" t="s">
        <v>18</v>
      </c>
      <c r="E28" s="795" t="s">
        <v>19</v>
      </c>
      <c r="F28" s="796"/>
      <c r="G28" s="796"/>
      <c r="H28" s="796"/>
      <c r="I28" s="796"/>
      <c r="J28" s="796"/>
      <c r="K28" s="796"/>
      <c r="L28" s="796"/>
      <c r="M28" s="796"/>
      <c r="N28" s="796"/>
      <c r="O28" s="796"/>
      <c r="P28" s="796"/>
      <c r="Q28" s="796"/>
      <c r="R28" s="788"/>
      <c r="S28" s="793" t="s">
        <v>18</v>
      </c>
      <c r="T28" s="795" t="s">
        <v>19</v>
      </c>
      <c r="U28" s="796"/>
      <c r="V28" s="796"/>
      <c r="W28" s="796"/>
      <c r="X28" s="796"/>
      <c r="Y28" s="796"/>
      <c r="Z28" s="796"/>
      <c r="AA28" s="796"/>
      <c r="AB28" s="796"/>
      <c r="AC28" s="796"/>
      <c r="AD28" s="796"/>
      <c r="AE28" s="799"/>
      <c r="AF28" s="797" t="s">
        <v>18</v>
      </c>
      <c r="AG28" s="795" t="s">
        <v>19</v>
      </c>
      <c r="AH28" s="796"/>
      <c r="AI28" s="796"/>
      <c r="AJ28" s="796"/>
      <c r="AK28" s="796"/>
      <c r="AL28" s="796"/>
      <c r="AM28" s="796"/>
      <c r="AN28" s="796"/>
      <c r="AO28" s="796"/>
      <c r="AP28" s="796"/>
      <c r="AQ28" s="796"/>
      <c r="AR28" s="796"/>
      <c r="AS28" s="799"/>
      <c r="AT28" s="803"/>
      <c r="AU28" s="804"/>
      <c r="AV28" s="804"/>
      <c r="AW28" s="804"/>
      <c r="AX28" s="804"/>
      <c r="AY28" s="804"/>
      <c r="AZ28" s="804"/>
      <c r="BA28" s="804"/>
      <c r="BB28" s="804"/>
      <c r="BC28" s="804"/>
      <c r="BD28" s="804"/>
      <c r="BE28" s="804"/>
      <c r="BF28" s="805"/>
      <c r="BG28" s="788"/>
      <c r="BH28" s="788"/>
      <c r="BI28" s="791"/>
      <c r="BJ28" s="84"/>
      <c r="BK28" s="740">
        <f>BH23+BH34</f>
        <v>140725254</v>
      </c>
      <c r="BL28" s="17"/>
      <c r="BM28" s="17"/>
      <c r="BN28" s="17"/>
      <c r="BO28" s="17"/>
      <c r="BP28" s="778" t="s">
        <v>230</v>
      </c>
      <c r="BQ28" s="779"/>
      <c r="BR28" s="779"/>
      <c r="BS28" s="779"/>
      <c r="BT28" s="779"/>
      <c r="BU28" s="779"/>
      <c r="BV28" s="779"/>
      <c r="BW28" s="779"/>
      <c r="BX28" s="779"/>
      <c r="BY28" s="779"/>
      <c r="BZ28" s="779"/>
      <c r="CA28" s="779"/>
      <c r="CB28" s="780"/>
      <c r="CC28" s="781" t="s">
        <v>231</v>
      </c>
      <c r="CD28" s="782"/>
      <c r="CE28" s="782"/>
      <c r="CF28" s="782"/>
      <c r="CG28" s="782"/>
      <c r="CH28" s="782"/>
      <c r="CI28" s="782"/>
      <c r="CJ28" s="782"/>
      <c r="CK28" s="782"/>
      <c r="CL28" s="782"/>
      <c r="CM28" s="782"/>
      <c r="CN28" s="782"/>
      <c r="CO28" s="783"/>
      <c r="CP28" s="332"/>
      <c r="CQ28" s="332"/>
      <c r="CR28" s="332"/>
      <c r="CS28" s="332"/>
      <c r="CT28" s="17"/>
      <c r="CU28" s="347"/>
      <c r="CV28" s="357"/>
      <c r="CW28" s="17"/>
      <c r="CX28" s="17"/>
      <c r="CY28" s="17"/>
      <c r="CZ28" s="17"/>
      <c r="DA28" s="17"/>
      <c r="DB28" s="17"/>
      <c r="DC28" s="17"/>
      <c r="DD28" s="19"/>
      <c r="DE28" s="19"/>
    </row>
    <row r="29" spans="1:127" s="5" customFormat="1" ht="28.5" customHeight="1" x14ac:dyDescent="0.2">
      <c r="A29" s="815"/>
      <c r="B29" s="789"/>
      <c r="C29" s="789"/>
      <c r="D29" s="798"/>
      <c r="E29" s="20">
        <v>1</v>
      </c>
      <c r="F29" s="20">
        <v>2</v>
      </c>
      <c r="G29" s="20">
        <v>3</v>
      </c>
      <c r="H29" s="20">
        <v>4</v>
      </c>
      <c r="I29" s="20">
        <v>5</v>
      </c>
      <c r="J29" s="20">
        <v>6</v>
      </c>
      <c r="K29" s="20">
        <v>7</v>
      </c>
      <c r="L29" s="20">
        <v>8</v>
      </c>
      <c r="M29" s="20">
        <v>9</v>
      </c>
      <c r="N29" s="20">
        <v>10</v>
      </c>
      <c r="O29" s="20">
        <v>11</v>
      </c>
      <c r="P29" s="20">
        <v>12</v>
      </c>
      <c r="Q29" s="20" t="s">
        <v>21</v>
      </c>
      <c r="R29" s="789"/>
      <c r="S29" s="794"/>
      <c r="T29" s="20">
        <v>1</v>
      </c>
      <c r="U29" s="20">
        <v>2</v>
      </c>
      <c r="V29" s="20">
        <v>3</v>
      </c>
      <c r="W29" s="20">
        <v>4</v>
      </c>
      <c r="X29" s="20">
        <v>5</v>
      </c>
      <c r="Y29" s="20">
        <v>6</v>
      </c>
      <c r="Z29" s="20">
        <v>7</v>
      </c>
      <c r="AA29" s="20">
        <v>8</v>
      </c>
      <c r="AB29" s="20">
        <v>9</v>
      </c>
      <c r="AC29" s="20">
        <v>10</v>
      </c>
      <c r="AD29" s="20">
        <v>11</v>
      </c>
      <c r="AE29" s="20">
        <v>12</v>
      </c>
      <c r="AF29" s="798"/>
      <c r="AG29" s="20">
        <v>1</v>
      </c>
      <c r="AH29" s="20">
        <v>2</v>
      </c>
      <c r="AI29" s="20">
        <v>3</v>
      </c>
      <c r="AJ29" s="20">
        <v>4</v>
      </c>
      <c r="AK29" s="20">
        <v>5</v>
      </c>
      <c r="AL29" s="20">
        <v>6</v>
      </c>
      <c r="AM29" s="20">
        <v>7</v>
      </c>
      <c r="AN29" s="20">
        <v>8</v>
      </c>
      <c r="AO29" s="20">
        <v>9</v>
      </c>
      <c r="AP29" s="20">
        <v>10</v>
      </c>
      <c r="AQ29" s="20">
        <v>11</v>
      </c>
      <c r="AR29" s="20">
        <v>12</v>
      </c>
      <c r="AS29" s="20" t="s">
        <v>13</v>
      </c>
      <c r="AT29" s="111">
        <v>1</v>
      </c>
      <c r="AU29" s="111">
        <v>2</v>
      </c>
      <c r="AV29" s="111">
        <v>3</v>
      </c>
      <c r="AW29" s="111">
        <v>4</v>
      </c>
      <c r="AX29" s="111">
        <v>5</v>
      </c>
      <c r="AY29" s="111">
        <v>6</v>
      </c>
      <c r="AZ29" s="111">
        <v>7</v>
      </c>
      <c r="BA29" s="111">
        <v>8</v>
      </c>
      <c r="BB29" s="111">
        <v>9</v>
      </c>
      <c r="BC29" s="111">
        <v>10</v>
      </c>
      <c r="BD29" s="111">
        <v>11</v>
      </c>
      <c r="BE29" s="111">
        <v>12</v>
      </c>
      <c r="BF29" s="20" t="s">
        <v>13</v>
      </c>
      <c r="BG29" s="789"/>
      <c r="BH29" s="789"/>
      <c r="BI29" s="792"/>
      <c r="BJ29" s="6"/>
      <c r="BK29" s="741">
        <f>BI23+BI34</f>
        <v>34778754</v>
      </c>
      <c r="BL29" s="784" t="s">
        <v>19</v>
      </c>
      <c r="BM29" s="785"/>
      <c r="BN29" s="786"/>
      <c r="BO29" s="337"/>
      <c r="BP29" s="111">
        <v>1</v>
      </c>
      <c r="BQ29" s="111">
        <v>2</v>
      </c>
      <c r="BR29" s="111">
        <v>3</v>
      </c>
      <c r="BS29" s="111">
        <v>4</v>
      </c>
      <c r="BT29" s="111">
        <v>5</v>
      </c>
      <c r="BU29" s="111">
        <v>6</v>
      </c>
      <c r="BV29" s="111">
        <v>7</v>
      </c>
      <c r="BW29" s="111">
        <v>8</v>
      </c>
      <c r="BX29" s="111">
        <v>9</v>
      </c>
      <c r="BY29" s="111">
        <v>10</v>
      </c>
      <c r="BZ29" s="111">
        <v>11</v>
      </c>
      <c r="CA29" s="111">
        <v>12</v>
      </c>
      <c r="CB29" s="20" t="s">
        <v>13</v>
      </c>
      <c r="CC29" s="111">
        <v>1</v>
      </c>
      <c r="CD29" s="111">
        <v>2</v>
      </c>
      <c r="CE29" s="111">
        <v>3</v>
      </c>
      <c r="CF29" s="111">
        <v>4</v>
      </c>
      <c r="CG29" s="111">
        <v>5</v>
      </c>
      <c r="CH29" s="111">
        <v>6</v>
      </c>
      <c r="CI29" s="111">
        <v>7</v>
      </c>
      <c r="CJ29" s="111">
        <v>8</v>
      </c>
      <c r="CK29" s="111">
        <v>9</v>
      </c>
      <c r="CL29" s="111">
        <v>10</v>
      </c>
      <c r="CM29" s="111">
        <v>11</v>
      </c>
      <c r="CN29" s="111">
        <v>12</v>
      </c>
      <c r="CO29" s="20" t="s">
        <v>13</v>
      </c>
      <c r="CP29" s="333"/>
      <c r="CQ29" s="333"/>
      <c r="CR29" s="333"/>
      <c r="CS29" s="333"/>
      <c r="CT29" s="358"/>
      <c r="CU29" s="348"/>
      <c r="CV29" s="359"/>
      <c r="CW29" s="21"/>
      <c r="CX29" s="21"/>
      <c r="CY29" s="21"/>
      <c r="CZ29" s="21"/>
      <c r="DA29" s="21"/>
      <c r="DB29" s="21"/>
      <c r="DC29" s="21"/>
      <c r="DD29" s="21"/>
      <c r="DE29" s="21"/>
    </row>
    <row r="30" spans="1:127" s="70" customFormat="1" ht="24.75" customHeight="1" x14ac:dyDescent="0.2">
      <c r="A30" s="64"/>
      <c r="B30" s="345" t="s">
        <v>167</v>
      </c>
      <c r="C30" s="65" t="s">
        <v>59</v>
      </c>
      <c r="D30" s="299">
        <v>1</v>
      </c>
      <c r="E30" s="559"/>
      <c r="F30" s="581">
        <v>1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339">
        <f t="shared" ref="Q30" si="134">SUM(E30:P30)</f>
        <v>1</v>
      </c>
      <c r="R30" s="375" t="s">
        <v>70</v>
      </c>
      <c r="S30" s="374">
        <v>1952738</v>
      </c>
      <c r="T30" s="558"/>
      <c r="U30" s="620">
        <v>1952000</v>
      </c>
      <c r="V30" s="434"/>
      <c r="W30" s="434"/>
      <c r="X30" s="434"/>
      <c r="Y30" s="322"/>
      <c r="Z30" s="322"/>
      <c r="AA30" s="322"/>
      <c r="AB30" s="322"/>
      <c r="AC30" s="322"/>
      <c r="AD30" s="322"/>
      <c r="AE30" s="322"/>
      <c r="AF30" s="51">
        <f>Q30*S30</f>
        <v>1952738</v>
      </c>
      <c r="AG30" s="580">
        <f t="shared" ref="AG30:AG33" si="135">T30*E30</f>
        <v>0</v>
      </c>
      <c r="AH30" s="570">
        <f t="shared" ref="AH30:AH33" si="136">U30*F30</f>
        <v>1952000</v>
      </c>
      <c r="AI30" s="323">
        <f t="shared" ref="AI30:AI33" si="137">V30*G30</f>
        <v>0</v>
      </c>
      <c r="AJ30" s="323">
        <f t="shared" ref="AJ30:AJ33" si="138">W30*H30</f>
        <v>0</v>
      </c>
      <c r="AK30" s="323">
        <f t="shared" ref="AK30:AK33" si="139">X30*I30</f>
        <v>0</v>
      </c>
      <c r="AL30" s="323">
        <f t="shared" ref="AL30:AL33" si="140">Y30*J30</f>
        <v>0</v>
      </c>
      <c r="AM30" s="323">
        <f t="shared" ref="AM30:AM33" si="141">Z30*K30</f>
        <v>0</v>
      </c>
      <c r="AN30" s="323">
        <f t="shared" ref="AN30:AN33" si="142">AA30*L30</f>
        <v>0</v>
      </c>
      <c r="AO30" s="323">
        <f t="shared" ref="AO30:AO33" si="143">AB30*M30</f>
        <v>0</v>
      </c>
      <c r="AP30" s="323">
        <f t="shared" ref="AP30:AP33" si="144">AC30*N30</f>
        <v>0</v>
      </c>
      <c r="AQ30" s="323">
        <f t="shared" ref="AQ30:AQ33" si="145">AD30*O30</f>
        <v>0</v>
      </c>
      <c r="AR30" s="323">
        <f t="shared" ref="AR30:AR33" si="146">AE30*P30</f>
        <v>0</v>
      </c>
      <c r="AS30" s="324">
        <f t="shared" ref="AS30:AS31" si="147">SUM(AG30:AR30)</f>
        <v>1952000</v>
      </c>
      <c r="AT30" s="323"/>
      <c r="AU30" s="323"/>
      <c r="AV30" s="323"/>
      <c r="AW30" s="323"/>
      <c r="AX30" s="323"/>
      <c r="AY30" s="323"/>
      <c r="AZ30" s="323"/>
      <c r="BA30" s="323"/>
      <c r="BB30" s="323"/>
      <c r="BC30" s="323"/>
      <c r="BD30" s="323"/>
      <c r="BE30" s="323"/>
      <c r="BF30" s="55">
        <f t="shared" ref="BF30:BF33" si="148">SUM(AT30:BE30)</f>
        <v>0</v>
      </c>
      <c r="BG30" s="72">
        <f>AF30-AS30-BF30</f>
        <v>738</v>
      </c>
      <c r="BH30" s="73">
        <f t="shared" ref="BH30:BH33" si="149">S30*D30</f>
        <v>1952738</v>
      </c>
      <c r="BI30" s="74">
        <f t="shared" ref="BI30:BI33" si="150">BH30-AS30-BF30</f>
        <v>738</v>
      </c>
      <c r="BJ30" s="99">
        <f>SUM(Q30/D30)</f>
        <v>1</v>
      </c>
      <c r="BK30" s="565"/>
      <c r="BL30" s="323"/>
      <c r="BM30" s="323"/>
      <c r="BN30" s="323"/>
      <c r="BO30" s="561"/>
      <c r="BP30" s="323">
        <f>SUM(AY30*14%)</f>
        <v>0</v>
      </c>
      <c r="BQ30" s="323"/>
      <c r="BR30" s="323"/>
      <c r="BS30" s="323"/>
      <c r="BT30" s="323"/>
      <c r="BU30" s="323"/>
      <c r="BV30" s="323"/>
      <c r="BW30" s="323"/>
      <c r="BX30" s="323"/>
      <c r="BY30" s="323"/>
      <c r="BZ30" s="323"/>
      <c r="CA30" s="323"/>
      <c r="CB30" s="55">
        <f t="shared" ref="CB30:CB33" si="151">SUM(BP30:CA30)</f>
        <v>0</v>
      </c>
      <c r="CC30" s="323">
        <f>SUM(BQ30*14%)</f>
        <v>0</v>
      </c>
      <c r="CD30" s="323"/>
      <c r="CE30" s="323"/>
      <c r="CF30" s="323"/>
      <c r="CG30" s="323"/>
      <c r="CH30" s="323"/>
      <c r="CI30" s="323"/>
      <c r="CJ30" s="323"/>
      <c r="CK30" s="323"/>
      <c r="CL30" s="323"/>
      <c r="CM30" s="323"/>
      <c r="CN30" s="323"/>
      <c r="CO30" s="55">
        <f t="shared" ref="CO30:CO33" si="152">SUM(CC30:CN30)</f>
        <v>0</v>
      </c>
      <c r="CP30" s="334"/>
      <c r="CQ30" s="334"/>
      <c r="CR30" s="334"/>
      <c r="CS30" s="334"/>
      <c r="CT30" s="360"/>
      <c r="CU30" s="349"/>
      <c r="CV30" s="361"/>
      <c r="CW30" s="69"/>
      <c r="CX30" s="69"/>
      <c r="CY30" s="69"/>
      <c r="CZ30" s="69"/>
      <c r="DA30" s="69"/>
      <c r="DB30" s="69"/>
      <c r="DC30" s="69"/>
      <c r="DD30" s="69"/>
      <c r="DE30" s="69"/>
    </row>
    <row r="31" spans="1:127" s="70" customFormat="1" ht="24.75" customHeight="1" x14ac:dyDescent="0.2">
      <c r="A31" s="64"/>
      <c r="B31" s="345" t="s">
        <v>3</v>
      </c>
      <c r="C31" s="65" t="s">
        <v>59</v>
      </c>
      <c r="D31" s="299">
        <v>211</v>
      </c>
      <c r="E31" s="581">
        <v>90</v>
      </c>
      <c r="F31" s="581">
        <v>90</v>
      </c>
      <c r="G31" s="428"/>
      <c r="H31" s="66"/>
      <c r="I31" s="67"/>
      <c r="J31" s="67"/>
      <c r="K31" s="66"/>
      <c r="L31" s="67"/>
      <c r="M31" s="67"/>
      <c r="N31" s="67"/>
      <c r="O31" s="67"/>
      <c r="P31" s="67"/>
      <c r="Q31" s="339">
        <f t="shared" ref="Q31:Q33" si="153">SUM(E31:P31)</f>
        <v>180</v>
      </c>
      <c r="R31" s="114" t="s">
        <v>11</v>
      </c>
      <c r="S31" s="374">
        <v>100000</v>
      </c>
      <c r="T31" s="578">
        <v>100000</v>
      </c>
      <c r="U31" s="621">
        <v>100000</v>
      </c>
      <c r="V31" s="435"/>
      <c r="W31" s="434"/>
      <c r="X31" s="434"/>
      <c r="Y31" s="322"/>
      <c r="Z31" s="374"/>
      <c r="AA31" s="322"/>
      <c r="AB31" s="322"/>
      <c r="AC31" s="322"/>
      <c r="AD31" s="322"/>
      <c r="AE31" s="322"/>
      <c r="AF31" s="51">
        <f t="shared" ref="AF31:AF33" si="154">Q31*S31</f>
        <v>18000000</v>
      </c>
      <c r="AG31" s="580">
        <f t="shared" si="135"/>
        <v>9000000</v>
      </c>
      <c r="AH31" s="570">
        <f t="shared" si="136"/>
        <v>9000000</v>
      </c>
      <c r="AI31" s="323">
        <f t="shared" si="137"/>
        <v>0</v>
      </c>
      <c r="AJ31" s="323">
        <f t="shared" si="138"/>
        <v>0</v>
      </c>
      <c r="AK31" s="323">
        <f t="shared" si="139"/>
        <v>0</v>
      </c>
      <c r="AL31" s="323">
        <f t="shared" si="140"/>
        <v>0</v>
      </c>
      <c r="AM31" s="323">
        <f t="shared" si="141"/>
        <v>0</v>
      </c>
      <c r="AN31" s="323">
        <f t="shared" si="142"/>
        <v>0</v>
      </c>
      <c r="AO31" s="323">
        <f t="shared" si="143"/>
        <v>0</v>
      </c>
      <c r="AP31" s="323">
        <f t="shared" si="144"/>
        <v>0</v>
      </c>
      <c r="AQ31" s="323">
        <f t="shared" si="145"/>
        <v>0</v>
      </c>
      <c r="AR31" s="323">
        <f t="shared" si="146"/>
        <v>0</v>
      </c>
      <c r="AS31" s="324">
        <f t="shared" si="147"/>
        <v>18000000</v>
      </c>
      <c r="AT31" s="323"/>
      <c r="AU31" s="323"/>
      <c r="AV31" s="323"/>
      <c r="AW31" s="323"/>
      <c r="AX31" s="323"/>
      <c r="AY31" s="323"/>
      <c r="AZ31" s="323"/>
      <c r="BA31" s="323"/>
      <c r="BB31" s="323"/>
      <c r="BC31" s="323"/>
      <c r="BD31" s="323"/>
      <c r="BE31" s="323"/>
      <c r="BF31" s="55">
        <f t="shared" si="148"/>
        <v>0</v>
      </c>
      <c r="BG31" s="72">
        <f t="shared" ref="BG31:BG34" si="155">AF31-AS31-BF31</f>
        <v>0</v>
      </c>
      <c r="BH31" s="73">
        <f t="shared" si="149"/>
        <v>21100000</v>
      </c>
      <c r="BI31" s="74">
        <f t="shared" si="150"/>
        <v>3100000</v>
      </c>
      <c r="BJ31" s="99">
        <f>SUM(Q31/D31)</f>
        <v>0.85308056872037918</v>
      </c>
      <c r="BK31" s="565"/>
      <c r="BL31" s="323"/>
      <c r="BM31" s="323"/>
      <c r="BN31" s="323"/>
      <c r="BO31" s="561"/>
      <c r="BP31" s="323"/>
      <c r="BQ31" s="323"/>
      <c r="BR31" s="323"/>
      <c r="BS31" s="323"/>
      <c r="BT31" s="323"/>
      <c r="BU31" s="323"/>
      <c r="BV31" s="323"/>
      <c r="BW31" s="323"/>
      <c r="BX31" s="323"/>
      <c r="BY31" s="323"/>
      <c r="BZ31" s="323"/>
      <c r="CA31" s="323"/>
      <c r="CB31" s="55">
        <f t="shared" si="151"/>
        <v>0</v>
      </c>
      <c r="CC31" s="323"/>
      <c r="CD31" s="323"/>
      <c r="CE31" s="323"/>
      <c r="CF31" s="323"/>
      <c r="CG31" s="323"/>
      <c r="CH31" s="323"/>
      <c r="CI31" s="323"/>
      <c r="CJ31" s="323"/>
      <c r="CK31" s="323"/>
      <c r="CL31" s="323"/>
      <c r="CM31" s="323"/>
      <c r="CN31" s="323"/>
      <c r="CO31" s="55">
        <f t="shared" si="152"/>
        <v>0</v>
      </c>
      <c r="CP31" s="334"/>
      <c r="CQ31" s="334"/>
      <c r="CR31" s="334"/>
      <c r="CS31" s="334"/>
      <c r="CT31" s="360"/>
      <c r="CU31" s="349"/>
      <c r="CV31" s="361"/>
      <c r="CW31" s="69"/>
      <c r="CX31" s="69"/>
      <c r="CY31" s="69"/>
      <c r="CZ31" s="69"/>
      <c r="DA31" s="69"/>
      <c r="DB31" s="69"/>
      <c r="DC31" s="69"/>
      <c r="DD31" s="69"/>
      <c r="DE31" s="69"/>
    </row>
    <row r="32" spans="1:127" s="70" customFormat="1" ht="24.75" customHeight="1" x14ac:dyDescent="0.2">
      <c r="A32" s="64"/>
      <c r="B32" s="345" t="s">
        <v>66</v>
      </c>
      <c r="C32" s="65" t="s">
        <v>59</v>
      </c>
      <c r="D32" s="299">
        <v>75</v>
      </c>
      <c r="E32" s="581">
        <v>30</v>
      </c>
      <c r="F32" s="581">
        <v>30</v>
      </c>
      <c r="G32" s="428"/>
      <c r="H32" s="66"/>
      <c r="I32" s="67"/>
      <c r="J32" s="67"/>
      <c r="K32" s="66"/>
      <c r="L32" s="67"/>
      <c r="M32" s="67"/>
      <c r="N32" s="67"/>
      <c r="O32" s="67"/>
      <c r="P32" s="67"/>
      <c r="Q32" s="339">
        <f t="shared" si="153"/>
        <v>60</v>
      </c>
      <c r="R32" s="114" t="s">
        <v>11</v>
      </c>
      <c r="S32" s="374">
        <v>120000</v>
      </c>
      <c r="T32" s="578">
        <v>120000</v>
      </c>
      <c r="U32" s="621">
        <v>120000</v>
      </c>
      <c r="V32" s="435"/>
      <c r="W32" s="434"/>
      <c r="X32" s="434"/>
      <c r="Y32" s="322"/>
      <c r="Z32" s="374"/>
      <c r="AA32" s="322"/>
      <c r="AB32" s="322"/>
      <c r="AC32" s="322"/>
      <c r="AD32" s="322"/>
      <c r="AE32" s="322"/>
      <c r="AF32" s="51">
        <f t="shared" si="154"/>
        <v>7200000</v>
      </c>
      <c r="AG32" s="580">
        <f t="shared" si="135"/>
        <v>3600000</v>
      </c>
      <c r="AH32" s="570">
        <f t="shared" si="136"/>
        <v>3600000</v>
      </c>
      <c r="AI32" s="323">
        <f t="shared" si="137"/>
        <v>0</v>
      </c>
      <c r="AJ32" s="323">
        <f t="shared" si="138"/>
        <v>0</v>
      </c>
      <c r="AK32" s="323">
        <f t="shared" si="139"/>
        <v>0</v>
      </c>
      <c r="AL32" s="323">
        <f t="shared" si="140"/>
        <v>0</v>
      </c>
      <c r="AM32" s="323">
        <f t="shared" si="141"/>
        <v>0</v>
      </c>
      <c r="AN32" s="323">
        <f t="shared" si="142"/>
        <v>0</v>
      </c>
      <c r="AO32" s="323">
        <f t="shared" si="143"/>
        <v>0</v>
      </c>
      <c r="AP32" s="323">
        <f t="shared" si="144"/>
        <v>0</v>
      </c>
      <c r="AQ32" s="323">
        <f t="shared" si="145"/>
        <v>0</v>
      </c>
      <c r="AR32" s="323">
        <f t="shared" si="146"/>
        <v>0</v>
      </c>
      <c r="AS32" s="324">
        <f t="shared" ref="AS32:AS33" si="156">SUM(AG32:AR32)</f>
        <v>7200000</v>
      </c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55">
        <f t="shared" si="148"/>
        <v>0</v>
      </c>
      <c r="BG32" s="72">
        <f t="shared" si="155"/>
        <v>0</v>
      </c>
      <c r="BH32" s="73">
        <f t="shared" si="149"/>
        <v>9000000</v>
      </c>
      <c r="BI32" s="74">
        <f t="shared" si="150"/>
        <v>1800000</v>
      </c>
      <c r="BJ32" s="99">
        <f>SUM(Q32/D32)</f>
        <v>0.8</v>
      </c>
      <c r="BK32" s="565"/>
      <c r="BL32" s="323"/>
      <c r="BM32" s="323"/>
      <c r="BN32" s="323"/>
      <c r="BO32" s="561"/>
      <c r="BP32" s="323"/>
      <c r="BQ32" s="323"/>
      <c r="BR32" s="323"/>
      <c r="BS32" s="323"/>
      <c r="BT32" s="323"/>
      <c r="BU32" s="323"/>
      <c r="BV32" s="323"/>
      <c r="BW32" s="323"/>
      <c r="BX32" s="323"/>
      <c r="BY32" s="323"/>
      <c r="BZ32" s="323"/>
      <c r="CA32" s="323"/>
      <c r="CB32" s="55">
        <f t="shared" si="151"/>
        <v>0</v>
      </c>
      <c r="CC32" s="323"/>
      <c r="CD32" s="323"/>
      <c r="CE32" s="323"/>
      <c r="CF32" s="323"/>
      <c r="CG32" s="323"/>
      <c r="CH32" s="323"/>
      <c r="CI32" s="323"/>
      <c r="CJ32" s="323"/>
      <c r="CK32" s="323"/>
      <c r="CL32" s="323"/>
      <c r="CM32" s="323"/>
      <c r="CN32" s="323"/>
      <c r="CO32" s="55">
        <f t="shared" si="152"/>
        <v>0</v>
      </c>
      <c r="CT32" s="364"/>
      <c r="CU32" s="352"/>
      <c r="CV32" s="361"/>
      <c r="CW32" s="69"/>
      <c r="CX32" s="69"/>
      <c r="CY32" s="69"/>
      <c r="CZ32" s="69"/>
      <c r="DA32" s="69"/>
      <c r="DB32" s="69"/>
      <c r="DC32" s="69"/>
      <c r="DD32" s="69"/>
      <c r="DE32" s="69"/>
    </row>
    <row r="33" spans="1:127" s="70" customFormat="1" ht="24.75" customHeight="1" thickBot="1" x14ac:dyDescent="0.25">
      <c r="A33" s="64"/>
      <c r="B33" s="345" t="s">
        <v>67</v>
      </c>
      <c r="C33" s="65" t="s">
        <v>59</v>
      </c>
      <c r="D33" s="299">
        <v>9</v>
      </c>
      <c r="E33" s="559"/>
      <c r="F33" s="581">
        <v>8</v>
      </c>
      <c r="G33" s="429"/>
      <c r="H33" s="67"/>
      <c r="I33" s="67"/>
      <c r="J33" s="67"/>
      <c r="K33" s="67"/>
      <c r="L33" s="67"/>
      <c r="M33" s="67"/>
      <c r="N33" s="67"/>
      <c r="O33" s="67"/>
      <c r="P33" s="67"/>
      <c r="Q33" s="339">
        <f t="shared" si="153"/>
        <v>8</v>
      </c>
      <c r="R33" s="114" t="s">
        <v>11</v>
      </c>
      <c r="S33" s="374">
        <v>130000</v>
      </c>
      <c r="T33" s="558"/>
      <c r="U33" s="620">
        <v>130000</v>
      </c>
      <c r="V33" s="434"/>
      <c r="W33" s="434"/>
      <c r="X33" s="434"/>
      <c r="Y33" s="322"/>
      <c r="Z33" s="322"/>
      <c r="AA33" s="322"/>
      <c r="AB33" s="322"/>
      <c r="AC33" s="322"/>
      <c r="AD33" s="322"/>
      <c r="AE33" s="322"/>
      <c r="AF33" s="51">
        <f t="shared" si="154"/>
        <v>1040000</v>
      </c>
      <c r="AG33" s="580">
        <f t="shared" si="135"/>
        <v>0</v>
      </c>
      <c r="AH33" s="570">
        <f t="shared" si="136"/>
        <v>1040000</v>
      </c>
      <c r="AI33" s="323">
        <f t="shared" si="137"/>
        <v>0</v>
      </c>
      <c r="AJ33" s="323">
        <f t="shared" si="138"/>
        <v>0</v>
      </c>
      <c r="AK33" s="323">
        <f t="shared" si="139"/>
        <v>0</v>
      </c>
      <c r="AL33" s="323">
        <f t="shared" si="140"/>
        <v>0</v>
      </c>
      <c r="AM33" s="323">
        <f t="shared" si="141"/>
        <v>0</v>
      </c>
      <c r="AN33" s="323">
        <f t="shared" si="142"/>
        <v>0</v>
      </c>
      <c r="AO33" s="323">
        <f t="shared" si="143"/>
        <v>0</v>
      </c>
      <c r="AP33" s="323">
        <f t="shared" si="144"/>
        <v>0</v>
      </c>
      <c r="AQ33" s="323">
        <f t="shared" si="145"/>
        <v>0</v>
      </c>
      <c r="AR33" s="323">
        <f t="shared" si="146"/>
        <v>0</v>
      </c>
      <c r="AS33" s="324">
        <f t="shared" si="156"/>
        <v>1040000</v>
      </c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55">
        <f t="shared" si="148"/>
        <v>0</v>
      </c>
      <c r="BG33" s="72">
        <f t="shared" si="155"/>
        <v>0</v>
      </c>
      <c r="BH33" s="73">
        <f t="shared" si="149"/>
        <v>1170000</v>
      </c>
      <c r="BI33" s="74">
        <f t="shared" si="150"/>
        <v>130000</v>
      </c>
      <c r="BJ33" s="99">
        <f>SUM(Q33/D33)</f>
        <v>0.88888888888888884</v>
      </c>
      <c r="BK33" s="565"/>
      <c r="BL33" s="323"/>
      <c r="BM33" s="323"/>
      <c r="BN33" s="323"/>
      <c r="BO33" s="561"/>
      <c r="BP33" s="323">
        <f>SUM(AY33*14%)</f>
        <v>0</v>
      </c>
      <c r="BQ33" s="323"/>
      <c r="BR33" s="323"/>
      <c r="BS33" s="323"/>
      <c r="BT33" s="323"/>
      <c r="BU33" s="323"/>
      <c r="BV33" s="323"/>
      <c r="BW33" s="323"/>
      <c r="BX33" s="323"/>
      <c r="BY33" s="323"/>
      <c r="BZ33" s="323"/>
      <c r="CA33" s="323"/>
      <c r="CB33" s="55">
        <f t="shared" si="151"/>
        <v>0</v>
      </c>
      <c r="CC33" s="323">
        <f>SUM(BQ33*14%)</f>
        <v>0</v>
      </c>
      <c r="CD33" s="323"/>
      <c r="CE33" s="323"/>
      <c r="CF33" s="323"/>
      <c r="CG33" s="323"/>
      <c r="CH33" s="323"/>
      <c r="CI33" s="323"/>
      <c r="CJ33" s="323"/>
      <c r="CK33" s="323"/>
      <c r="CL33" s="323"/>
      <c r="CM33" s="323"/>
      <c r="CN33" s="323"/>
      <c r="CO33" s="55">
        <f t="shared" si="152"/>
        <v>0</v>
      </c>
      <c r="CP33" s="334"/>
      <c r="CQ33" s="334"/>
      <c r="CR33" s="334"/>
      <c r="CS33" s="334"/>
      <c r="CT33" s="360"/>
      <c r="CU33" s="349"/>
      <c r="CV33" s="361"/>
      <c r="CW33" s="69"/>
      <c r="CX33" s="69"/>
      <c r="CY33" s="69"/>
      <c r="CZ33" s="69"/>
      <c r="DA33" s="69"/>
      <c r="DB33" s="69"/>
      <c r="DC33" s="69"/>
      <c r="DD33" s="69"/>
      <c r="DE33" s="69"/>
    </row>
    <row r="34" spans="1:127" s="27" customFormat="1" ht="24.75" customHeight="1" thickBot="1" x14ac:dyDescent="0.25">
      <c r="A34" s="30"/>
      <c r="B34" s="31" t="s">
        <v>4</v>
      </c>
      <c r="C34" s="31"/>
      <c r="D34" s="30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4"/>
      <c r="R34" s="58"/>
      <c r="S34" s="141"/>
      <c r="T34" s="142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8">
        <f t="shared" ref="AF34:BF34" si="157">SUM(AF30:AF33)</f>
        <v>28192738</v>
      </c>
      <c r="AG34" s="737">
        <f t="shared" si="157"/>
        <v>12600000</v>
      </c>
      <c r="AH34" s="737">
        <f t="shared" si="157"/>
        <v>15592000</v>
      </c>
      <c r="AI34" s="78">
        <f t="shared" si="157"/>
        <v>0</v>
      </c>
      <c r="AJ34" s="78">
        <f t="shared" si="157"/>
        <v>0</v>
      </c>
      <c r="AK34" s="78">
        <f t="shared" si="157"/>
        <v>0</v>
      </c>
      <c r="AL34" s="78">
        <f t="shared" si="157"/>
        <v>0</v>
      </c>
      <c r="AM34" s="78">
        <f t="shared" si="157"/>
        <v>0</v>
      </c>
      <c r="AN34" s="78">
        <f t="shared" si="157"/>
        <v>0</v>
      </c>
      <c r="AO34" s="78">
        <f t="shared" si="157"/>
        <v>0</v>
      </c>
      <c r="AP34" s="78">
        <f t="shared" si="157"/>
        <v>0</v>
      </c>
      <c r="AQ34" s="78">
        <f t="shared" si="157"/>
        <v>0</v>
      </c>
      <c r="AR34" s="78">
        <f t="shared" si="157"/>
        <v>0</v>
      </c>
      <c r="AS34" s="78">
        <f t="shared" si="157"/>
        <v>28192000</v>
      </c>
      <c r="AT34" s="78">
        <f t="shared" si="157"/>
        <v>0</v>
      </c>
      <c r="AU34" s="78">
        <f t="shared" si="157"/>
        <v>0</v>
      </c>
      <c r="AV34" s="78">
        <f t="shared" si="157"/>
        <v>0</v>
      </c>
      <c r="AW34" s="78">
        <f t="shared" si="157"/>
        <v>0</v>
      </c>
      <c r="AX34" s="78">
        <f t="shared" si="157"/>
        <v>0</v>
      </c>
      <c r="AY34" s="78">
        <f t="shared" si="157"/>
        <v>0</v>
      </c>
      <c r="AZ34" s="78">
        <f t="shared" si="157"/>
        <v>0</v>
      </c>
      <c r="BA34" s="78">
        <f t="shared" si="157"/>
        <v>0</v>
      </c>
      <c r="BB34" s="78">
        <f t="shared" si="157"/>
        <v>0</v>
      </c>
      <c r="BC34" s="78">
        <f t="shared" si="157"/>
        <v>0</v>
      </c>
      <c r="BD34" s="78">
        <f t="shared" si="157"/>
        <v>0</v>
      </c>
      <c r="BE34" s="78">
        <f t="shared" si="157"/>
        <v>0</v>
      </c>
      <c r="BF34" s="78">
        <f t="shared" si="157"/>
        <v>0</v>
      </c>
      <c r="BG34" s="79">
        <f t="shared" si="155"/>
        <v>738</v>
      </c>
      <c r="BH34" s="78">
        <f>SUM(BH30:BH33)</f>
        <v>33222738</v>
      </c>
      <c r="BI34" s="78">
        <f>SUM(BI30:BI33)</f>
        <v>5030738</v>
      </c>
      <c r="BJ34" s="100">
        <v>1</v>
      </c>
      <c r="BK34" s="566"/>
      <c r="BL34" s="78">
        <f t="shared" ref="BL34" si="158">SUM(BL30:BL33)</f>
        <v>0</v>
      </c>
      <c r="BM34" s="78"/>
      <c r="BN34" s="78"/>
      <c r="BO34" s="562"/>
      <c r="BP34" s="78">
        <f t="shared" ref="BP34:CB34" si="159">SUM(BP30:BP33)</f>
        <v>0</v>
      </c>
      <c r="BQ34" s="78">
        <f t="shared" si="159"/>
        <v>0</v>
      </c>
      <c r="BR34" s="78">
        <f t="shared" si="159"/>
        <v>0</v>
      </c>
      <c r="BS34" s="78">
        <f t="shared" si="159"/>
        <v>0</v>
      </c>
      <c r="BT34" s="78">
        <f t="shared" si="159"/>
        <v>0</v>
      </c>
      <c r="BU34" s="78">
        <f t="shared" si="159"/>
        <v>0</v>
      </c>
      <c r="BV34" s="78">
        <f t="shared" si="159"/>
        <v>0</v>
      </c>
      <c r="BW34" s="78">
        <f t="shared" si="159"/>
        <v>0</v>
      </c>
      <c r="BX34" s="78">
        <f t="shared" si="159"/>
        <v>0</v>
      </c>
      <c r="BY34" s="78">
        <f t="shared" si="159"/>
        <v>0</v>
      </c>
      <c r="BZ34" s="78">
        <f t="shared" si="159"/>
        <v>0</v>
      </c>
      <c r="CA34" s="78">
        <f t="shared" si="159"/>
        <v>0</v>
      </c>
      <c r="CB34" s="78">
        <f t="shared" si="159"/>
        <v>0</v>
      </c>
      <c r="CC34" s="78">
        <f t="shared" ref="CC34:CO34" si="160">SUM(CC30:CC33)</f>
        <v>0</v>
      </c>
      <c r="CD34" s="78">
        <f t="shared" si="160"/>
        <v>0</v>
      </c>
      <c r="CE34" s="78">
        <f t="shared" si="160"/>
        <v>0</v>
      </c>
      <c r="CF34" s="78">
        <f t="shared" si="160"/>
        <v>0</v>
      </c>
      <c r="CG34" s="78">
        <f t="shared" si="160"/>
        <v>0</v>
      </c>
      <c r="CH34" s="78">
        <f t="shared" si="160"/>
        <v>0</v>
      </c>
      <c r="CI34" s="78">
        <f t="shared" si="160"/>
        <v>0</v>
      </c>
      <c r="CJ34" s="78">
        <f t="shared" si="160"/>
        <v>0</v>
      </c>
      <c r="CK34" s="78">
        <f t="shared" si="160"/>
        <v>0</v>
      </c>
      <c r="CL34" s="78">
        <f t="shared" si="160"/>
        <v>0</v>
      </c>
      <c r="CM34" s="78">
        <f t="shared" si="160"/>
        <v>0</v>
      </c>
      <c r="CN34" s="78">
        <f t="shared" si="160"/>
        <v>0</v>
      </c>
      <c r="CO34" s="78">
        <f t="shared" si="160"/>
        <v>0</v>
      </c>
      <c r="CP34" s="330"/>
      <c r="CQ34" s="330"/>
      <c r="CR34" s="330"/>
      <c r="CS34" s="330"/>
      <c r="CT34" s="350"/>
      <c r="CU34" s="350"/>
      <c r="CV34" s="362"/>
      <c r="CW34" s="36"/>
      <c r="CX34" s="36"/>
      <c r="CY34" s="36"/>
      <c r="CZ34" s="36"/>
      <c r="DA34" s="36"/>
      <c r="DB34" s="36"/>
      <c r="DC34" s="36"/>
      <c r="DD34" s="36"/>
      <c r="DE34" s="36"/>
    </row>
    <row r="35" spans="1:127" s="16" customFormat="1" ht="24.75" customHeight="1" x14ac:dyDescent="0.2">
      <c r="A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143"/>
      <c r="T35" s="143"/>
      <c r="AE35" s="28"/>
      <c r="AH35" s="560">
        <f>SUM(AG31:AH33)</f>
        <v>26240000</v>
      </c>
      <c r="AS35" s="38"/>
      <c r="BF35" s="39">
        <f>SUM(AS34+BF34)</f>
        <v>28192000</v>
      </c>
      <c r="BG35" s="40">
        <f>AF34-AS34-BF34</f>
        <v>738</v>
      </c>
      <c r="BH35" s="41">
        <f>SUM(BI34+AS34+BF34)</f>
        <v>33222738</v>
      </c>
      <c r="BI35" s="42">
        <f>SUM(BG34)</f>
        <v>738</v>
      </c>
      <c r="BJ35" s="28" t="s">
        <v>29</v>
      </c>
      <c r="CB35" s="39" t="e">
        <f>SUM(#REF!+CB34)</f>
        <v>#REF!</v>
      </c>
      <c r="CO35" s="39" t="e">
        <f>SUM(#REF!+CO34)</f>
        <v>#REF!</v>
      </c>
      <c r="CP35" s="38"/>
      <c r="CQ35" s="38"/>
      <c r="CR35" s="38"/>
      <c r="CS35" s="38"/>
      <c r="CT35" s="363"/>
      <c r="CU35" s="351"/>
      <c r="CV35" s="362"/>
      <c r="CW35" s="18"/>
      <c r="CX35" s="18"/>
      <c r="CY35" s="18"/>
      <c r="CZ35" s="18"/>
      <c r="DA35" s="18"/>
      <c r="DB35" s="18"/>
      <c r="DC35" s="18"/>
      <c r="DD35" s="18"/>
      <c r="DE35" s="18"/>
      <c r="DF35" s="18"/>
    </row>
    <row r="36" spans="1:127" s="16" customFormat="1" ht="24.75" customHeight="1" x14ac:dyDescent="0.2">
      <c r="A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143"/>
      <c r="T36" s="143"/>
      <c r="AE36" s="28"/>
      <c r="AG36" s="317"/>
      <c r="AH36" s="560">
        <f>SUM(AK23+AH34)</f>
        <v>29121200</v>
      </c>
      <c r="AS36" s="28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>
        <f>SUM(AT36:BE36)</f>
        <v>0</v>
      </c>
      <c r="BG36" s="28"/>
      <c r="BH36" s="590"/>
      <c r="BI36" s="44">
        <f>SUM(BI34-BI35)</f>
        <v>5030000</v>
      </c>
      <c r="BJ36" s="28" t="s">
        <v>28</v>
      </c>
      <c r="BL36" s="82">
        <f>SUM(AO34+BL34)</f>
        <v>0</v>
      </c>
      <c r="BM36" s="82"/>
      <c r="BN36" s="82"/>
      <c r="BO36" s="82"/>
      <c r="BP36" s="622">
        <f t="shared" ref="BP36:CA36" si="161">SUM(AY34+BP34)</f>
        <v>0</v>
      </c>
      <c r="BQ36" s="82">
        <f t="shared" si="161"/>
        <v>0</v>
      </c>
      <c r="BR36" s="82">
        <f t="shared" si="161"/>
        <v>0</v>
      </c>
      <c r="BS36" s="82">
        <f t="shared" si="161"/>
        <v>0</v>
      </c>
      <c r="BT36" s="82">
        <f t="shared" si="161"/>
        <v>0</v>
      </c>
      <c r="BU36" s="82">
        <f t="shared" si="161"/>
        <v>0</v>
      </c>
      <c r="BV36" s="82">
        <f t="shared" si="161"/>
        <v>0</v>
      </c>
      <c r="BW36" s="82">
        <f t="shared" si="161"/>
        <v>0</v>
      </c>
      <c r="BX36" s="82">
        <f t="shared" si="161"/>
        <v>738</v>
      </c>
      <c r="BY36" s="82">
        <f t="shared" si="161"/>
        <v>33222738</v>
      </c>
      <c r="BZ36" s="82">
        <f t="shared" si="161"/>
        <v>5030738</v>
      </c>
      <c r="CA36" s="82">
        <f t="shared" si="161"/>
        <v>1</v>
      </c>
      <c r="CB36" s="82">
        <f>SUM(BP36:CA36)</f>
        <v>38254215</v>
      </c>
      <c r="CC36" s="513">
        <f t="shared" ref="CC36:CN36" si="162">SUM(BQ34+CC34)</f>
        <v>0</v>
      </c>
      <c r="CD36" s="82">
        <f t="shared" si="162"/>
        <v>0</v>
      </c>
      <c r="CE36" s="82">
        <f t="shared" si="162"/>
        <v>0</v>
      </c>
      <c r="CF36" s="82">
        <f t="shared" si="162"/>
        <v>0</v>
      </c>
      <c r="CG36" s="82">
        <f t="shared" si="162"/>
        <v>0</v>
      </c>
      <c r="CH36" s="82">
        <f t="shared" si="162"/>
        <v>0</v>
      </c>
      <c r="CI36" s="82">
        <f t="shared" si="162"/>
        <v>0</v>
      </c>
      <c r="CJ36" s="82">
        <f t="shared" si="162"/>
        <v>0</v>
      </c>
      <c r="CK36" s="82">
        <f t="shared" si="162"/>
        <v>0</v>
      </c>
      <c r="CL36" s="82">
        <f t="shared" si="162"/>
        <v>0</v>
      </c>
      <c r="CM36" s="82">
        <f t="shared" si="162"/>
        <v>0</v>
      </c>
      <c r="CN36" s="82">
        <f t="shared" si="162"/>
        <v>0</v>
      </c>
      <c r="CO36" s="82">
        <f>SUM(CC36:CN36)</f>
        <v>0</v>
      </c>
      <c r="CP36" s="38"/>
      <c r="CQ36" s="38"/>
      <c r="CR36" s="38"/>
      <c r="CS36" s="38"/>
      <c r="CT36" s="363"/>
      <c r="CU36" s="351"/>
      <c r="CV36" s="362"/>
      <c r="CW36" s="18"/>
      <c r="CX36" s="18"/>
      <c r="CY36" s="18"/>
      <c r="CZ36" s="18"/>
      <c r="DA36" s="18"/>
      <c r="DB36" s="18"/>
      <c r="DC36" s="18"/>
      <c r="DD36" s="18"/>
      <c r="DE36" s="18"/>
      <c r="DF36" s="18"/>
    </row>
    <row r="37" spans="1:127" s="16" customFormat="1" ht="24.75" customHeight="1" x14ac:dyDescent="0.2">
      <c r="A37" s="811" t="s">
        <v>7</v>
      </c>
      <c r="B37" s="812"/>
      <c r="C37" s="83" t="s">
        <v>168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34"/>
      <c r="T37" s="14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6"/>
      <c r="AF37" s="17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7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739">
        <f>BF24+BF35</f>
        <v>105946500</v>
      </c>
      <c r="BG37" s="87"/>
      <c r="BH37" s="84"/>
      <c r="BI37" s="88"/>
      <c r="BJ37" s="17"/>
      <c r="BK37" s="85"/>
      <c r="BL37" s="85"/>
      <c r="BM37" s="85"/>
      <c r="BN37" s="85"/>
      <c r="BO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7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7"/>
      <c r="CP37" s="331"/>
      <c r="CQ37" s="331"/>
      <c r="CR37" s="331"/>
      <c r="CS37" s="331"/>
      <c r="CT37" s="17"/>
      <c r="CU37" s="347"/>
      <c r="CV37" s="357"/>
      <c r="CW37" s="85"/>
      <c r="CX37" s="85"/>
      <c r="CY37" s="87"/>
      <c r="CZ37" s="87"/>
      <c r="DA37" s="87"/>
      <c r="DB37" s="84"/>
      <c r="DC37" s="88"/>
      <c r="DD37" s="87"/>
      <c r="DE37" s="87"/>
      <c r="DF37" s="18"/>
      <c r="DG37" s="18"/>
      <c r="DH37" s="18"/>
      <c r="DI37" s="18"/>
      <c r="DJ37" s="18"/>
      <c r="DK37" s="89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</row>
    <row r="38" spans="1:127" s="7" customFormat="1" ht="48.75" customHeight="1" x14ac:dyDescent="0.2">
      <c r="A38" s="813" t="s">
        <v>8</v>
      </c>
      <c r="B38" s="787" t="s">
        <v>9</v>
      </c>
      <c r="C38" s="787" t="s">
        <v>22</v>
      </c>
      <c r="D38" s="806" t="s">
        <v>10</v>
      </c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787" t="s">
        <v>20</v>
      </c>
      <c r="S38" s="807" t="s">
        <v>17</v>
      </c>
      <c r="T38" s="808"/>
      <c r="U38" s="808"/>
      <c r="V38" s="808"/>
      <c r="W38" s="808"/>
      <c r="X38" s="808"/>
      <c r="Y38" s="808"/>
      <c r="Z38" s="808"/>
      <c r="AA38" s="808"/>
      <c r="AB38" s="808"/>
      <c r="AC38" s="808"/>
      <c r="AD38" s="808"/>
      <c r="AE38" s="809"/>
      <c r="AF38" s="810" t="s">
        <v>5</v>
      </c>
      <c r="AG38" s="810"/>
      <c r="AH38" s="810"/>
      <c r="AI38" s="810"/>
      <c r="AJ38" s="810"/>
      <c r="AK38" s="810"/>
      <c r="AL38" s="810"/>
      <c r="AM38" s="810"/>
      <c r="AN38" s="810"/>
      <c r="AO38" s="810"/>
      <c r="AP38" s="810"/>
      <c r="AQ38" s="810"/>
      <c r="AR38" s="810"/>
      <c r="AS38" s="810"/>
      <c r="AT38" s="800" t="s">
        <v>32</v>
      </c>
      <c r="AU38" s="801"/>
      <c r="AV38" s="801"/>
      <c r="AW38" s="801"/>
      <c r="AX38" s="801"/>
      <c r="AY38" s="801"/>
      <c r="AZ38" s="801"/>
      <c r="BA38" s="801"/>
      <c r="BB38" s="801"/>
      <c r="BC38" s="801"/>
      <c r="BD38" s="801"/>
      <c r="BE38" s="801"/>
      <c r="BF38" s="802"/>
      <c r="BG38" s="787" t="s">
        <v>29</v>
      </c>
      <c r="BH38" s="787" t="s">
        <v>57</v>
      </c>
      <c r="BI38" s="790" t="s">
        <v>30</v>
      </c>
      <c r="BJ38" s="84"/>
      <c r="BK38" s="84"/>
      <c r="BL38" s="84"/>
      <c r="BM38" s="84"/>
      <c r="BN38" s="84"/>
      <c r="BO38" s="84"/>
      <c r="BP38" s="774" t="s">
        <v>32</v>
      </c>
      <c r="BQ38" s="775"/>
      <c r="BR38" s="775"/>
      <c r="BS38" s="775"/>
      <c r="BT38" s="775"/>
      <c r="BU38" s="775"/>
      <c r="BV38" s="775"/>
      <c r="BW38" s="775"/>
      <c r="BX38" s="775"/>
      <c r="BY38" s="775"/>
      <c r="BZ38" s="775"/>
      <c r="CA38" s="775"/>
      <c r="CB38" s="775"/>
      <c r="CC38" s="775"/>
      <c r="CD38" s="775"/>
      <c r="CE38" s="775"/>
      <c r="CF38" s="775"/>
      <c r="CG38" s="775"/>
      <c r="CH38" s="775"/>
      <c r="CI38" s="775"/>
      <c r="CJ38" s="775"/>
      <c r="CK38" s="775"/>
      <c r="CL38" s="775"/>
      <c r="CM38" s="775"/>
      <c r="CN38" s="775"/>
      <c r="CO38" s="776"/>
      <c r="CP38" s="332"/>
      <c r="CQ38" s="332"/>
      <c r="CR38" s="332"/>
      <c r="CS38" s="332"/>
      <c r="CT38" s="17"/>
      <c r="CU38" s="347"/>
      <c r="CV38" s="357"/>
      <c r="CW38" s="17"/>
      <c r="CX38" s="17"/>
      <c r="CY38" s="17"/>
      <c r="CZ38" s="17"/>
      <c r="DA38" s="17"/>
      <c r="DB38" s="17"/>
      <c r="DC38" s="17"/>
      <c r="DD38" s="19"/>
      <c r="DE38" s="19"/>
    </row>
    <row r="39" spans="1:127" s="7" customFormat="1" ht="48.75" customHeight="1" x14ac:dyDescent="0.2">
      <c r="A39" s="814"/>
      <c r="B39" s="788"/>
      <c r="C39" s="788"/>
      <c r="D39" s="797" t="s">
        <v>18</v>
      </c>
      <c r="E39" s="795" t="s">
        <v>19</v>
      </c>
      <c r="F39" s="796"/>
      <c r="G39" s="796"/>
      <c r="H39" s="796"/>
      <c r="I39" s="796"/>
      <c r="J39" s="796"/>
      <c r="K39" s="796"/>
      <c r="L39" s="796"/>
      <c r="M39" s="796"/>
      <c r="N39" s="796"/>
      <c r="O39" s="796"/>
      <c r="P39" s="796"/>
      <c r="Q39" s="796"/>
      <c r="R39" s="788"/>
      <c r="S39" s="793" t="s">
        <v>18</v>
      </c>
      <c r="T39" s="795" t="s">
        <v>19</v>
      </c>
      <c r="U39" s="796"/>
      <c r="V39" s="796"/>
      <c r="W39" s="796"/>
      <c r="X39" s="796"/>
      <c r="Y39" s="796"/>
      <c r="Z39" s="796"/>
      <c r="AA39" s="796"/>
      <c r="AB39" s="796"/>
      <c r="AC39" s="796"/>
      <c r="AD39" s="796"/>
      <c r="AE39" s="799"/>
      <c r="AF39" s="797" t="s">
        <v>18</v>
      </c>
      <c r="AG39" s="795" t="s">
        <v>19</v>
      </c>
      <c r="AH39" s="796"/>
      <c r="AI39" s="796"/>
      <c r="AJ39" s="796"/>
      <c r="AK39" s="796"/>
      <c r="AL39" s="796"/>
      <c r="AM39" s="796"/>
      <c r="AN39" s="796"/>
      <c r="AO39" s="796"/>
      <c r="AP39" s="796"/>
      <c r="AQ39" s="796"/>
      <c r="AR39" s="796"/>
      <c r="AS39" s="799"/>
      <c r="AT39" s="803"/>
      <c r="AU39" s="804"/>
      <c r="AV39" s="804"/>
      <c r="AW39" s="804"/>
      <c r="AX39" s="804"/>
      <c r="AY39" s="804"/>
      <c r="AZ39" s="804"/>
      <c r="BA39" s="804"/>
      <c r="BB39" s="804"/>
      <c r="BC39" s="804"/>
      <c r="BD39" s="804"/>
      <c r="BE39" s="804"/>
      <c r="BF39" s="805"/>
      <c r="BG39" s="788"/>
      <c r="BH39" s="788"/>
      <c r="BI39" s="791"/>
      <c r="BJ39" s="84"/>
      <c r="BK39" s="17"/>
      <c r="BL39" s="17"/>
      <c r="BM39" s="17"/>
      <c r="BN39" s="17"/>
      <c r="BO39" s="17"/>
      <c r="BP39" s="778" t="s">
        <v>230</v>
      </c>
      <c r="BQ39" s="779"/>
      <c r="BR39" s="779"/>
      <c r="BS39" s="779"/>
      <c r="BT39" s="779"/>
      <c r="BU39" s="779"/>
      <c r="BV39" s="779"/>
      <c r="BW39" s="779"/>
      <c r="BX39" s="779"/>
      <c r="BY39" s="779"/>
      <c r="BZ39" s="779"/>
      <c r="CA39" s="779"/>
      <c r="CB39" s="780"/>
      <c r="CC39" s="781" t="s">
        <v>231</v>
      </c>
      <c r="CD39" s="782"/>
      <c r="CE39" s="782"/>
      <c r="CF39" s="782"/>
      <c r="CG39" s="782"/>
      <c r="CH39" s="782"/>
      <c r="CI39" s="782"/>
      <c r="CJ39" s="782"/>
      <c r="CK39" s="782"/>
      <c r="CL39" s="782"/>
      <c r="CM39" s="782"/>
      <c r="CN39" s="782"/>
      <c r="CO39" s="783"/>
      <c r="CP39" s="332"/>
      <c r="CQ39" s="332"/>
      <c r="CR39" s="332"/>
      <c r="CS39" s="332"/>
      <c r="CT39" s="17"/>
      <c r="CU39" s="347"/>
      <c r="CV39" s="357"/>
      <c r="CW39" s="17"/>
      <c r="CX39" s="17"/>
      <c r="CY39" s="17"/>
      <c r="CZ39" s="17"/>
      <c r="DA39" s="17"/>
      <c r="DB39" s="17"/>
      <c r="DC39" s="17"/>
      <c r="DD39" s="19"/>
      <c r="DE39" s="19"/>
    </row>
    <row r="40" spans="1:127" s="5" customFormat="1" ht="28.5" customHeight="1" x14ac:dyDescent="0.2">
      <c r="A40" s="815"/>
      <c r="B40" s="789"/>
      <c r="C40" s="789"/>
      <c r="D40" s="798"/>
      <c r="E40" s="20">
        <v>1</v>
      </c>
      <c r="F40" s="20">
        <v>2</v>
      </c>
      <c r="G40" s="20">
        <v>3</v>
      </c>
      <c r="H40" s="20">
        <v>4</v>
      </c>
      <c r="I40" s="20">
        <v>5</v>
      </c>
      <c r="J40" s="20">
        <v>6</v>
      </c>
      <c r="K40" s="20">
        <v>7</v>
      </c>
      <c r="L40" s="20">
        <v>8</v>
      </c>
      <c r="M40" s="20">
        <v>9</v>
      </c>
      <c r="N40" s="20">
        <v>10</v>
      </c>
      <c r="O40" s="20">
        <v>11</v>
      </c>
      <c r="P40" s="20">
        <v>12</v>
      </c>
      <c r="Q40" s="20" t="s">
        <v>21</v>
      </c>
      <c r="R40" s="789"/>
      <c r="S40" s="794"/>
      <c r="T40" s="20">
        <v>1</v>
      </c>
      <c r="U40" s="20">
        <v>2</v>
      </c>
      <c r="V40" s="20">
        <v>3</v>
      </c>
      <c r="W40" s="20">
        <v>4</v>
      </c>
      <c r="X40" s="20">
        <v>5</v>
      </c>
      <c r="Y40" s="20">
        <v>6</v>
      </c>
      <c r="Z40" s="20">
        <v>7</v>
      </c>
      <c r="AA40" s="20">
        <v>8</v>
      </c>
      <c r="AB40" s="20">
        <v>9</v>
      </c>
      <c r="AC40" s="20">
        <v>10</v>
      </c>
      <c r="AD40" s="20">
        <v>11</v>
      </c>
      <c r="AE40" s="20">
        <v>12</v>
      </c>
      <c r="AF40" s="798"/>
      <c r="AG40" s="20">
        <v>1</v>
      </c>
      <c r="AH40" s="20">
        <v>2</v>
      </c>
      <c r="AI40" s="20">
        <v>3</v>
      </c>
      <c r="AJ40" s="20">
        <v>4</v>
      </c>
      <c r="AK40" s="20">
        <v>5</v>
      </c>
      <c r="AL40" s="20">
        <v>6</v>
      </c>
      <c r="AM40" s="20">
        <v>7</v>
      </c>
      <c r="AN40" s="20">
        <v>8</v>
      </c>
      <c r="AO40" s="20">
        <v>9</v>
      </c>
      <c r="AP40" s="20">
        <v>10</v>
      </c>
      <c r="AQ40" s="20">
        <v>11</v>
      </c>
      <c r="AR40" s="20">
        <v>12</v>
      </c>
      <c r="AS40" s="20" t="s">
        <v>13</v>
      </c>
      <c r="AT40" s="111">
        <v>1</v>
      </c>
      <c r="AU40" s="111">
        <v>2</v>
      </c>
      <c r="AV40" s="111">
        <v>3</v>
      </c>
      <c r="AW40" s="111">
        <v>4</v>
      </c>
      <c r="AX40" s="111">
        <v>5</v>
      </c>
      <c r="AY40" s="111">
        <v>6</v>
      </c>
      <c r="AZ40" s="111">
        <v>7</v>
      </c>
      <c r="BA40" s="111">
        <v>8</v>
      </c>
      <c r="BB40" s="111">
        <v>9</v>
      </c>
      <c r="BC40" s="111">
        <v>10</v>
      </c>
      <c r="BD40" s="111">
        <v>11</v>
      </c>
      <c r="BE40" s="111">
        <v>12</v>
      </c>
      <c r="BF40" s="20" t="s">
        <v>13</v>
      </c>
      <c r="BG40" s="789"/>
      <c r="BH40" s="789"/>
      <c r="BI40" s="792"/>
      <c r="BJ40" s="6"/>
      <c r="BK40" s="564"/>
      <c r="BL40" s="111">
        <v>3</v>
      </c>
      <c r="BM40" s="111"/>
      <c r="BN40" s="111"/>
      <c r="BO40" s="337"/>
      <c r="BP40" s="111">
        <v>1</v>
      </c>
      <c r="BQ40" s="111">
        <v>2</v>
      </c>
      <c r="BR40" s="111">
        <v>3</v>
      </c>
      <c r="BS40" s="111">
        <v>4</v>
      </c>
      <c r="BT40" s="111">
        <v>5</v>
      </c>
      <c r="BU40" s="111">
        <v>6</v>
      </c>
      <c r="BV40" s="111">
        <v>7</v>
      </c>
      <c r="BW40" s="111">
        <v>8</v>
      </c>
      <c r="BX40" s="111">
        <v>9</v>
      </c>
      <c r="BY40" s="111">
        <v>10</v>
      </c>
      <c r="BZ40" s="111">
        <v>11</v>
      </c>
      <c r="CA40" s="111">
        <v>12</v>
      </c>
      <c r="CB40" s="20" t="s">
        <v>13</v>
      </c>
      <c r="CC40" s="111">
        <v>1</v>
      </c>
      <c r="CD40" s="111">
        <v>2</v>
      </c>
      <c r="CE40" s="111">
        <v>3</v>
      </c>
      <c r="CF40" s="111">
        <v>4</v>
      </c>
      <c r="CG40" s="111">
        <v>5</v>
      </c>
      <c r="CH40" s="111">
        <v>6</v>
      </c>
      <c r="CI40" s="111">
        <v>7</v>
      </c>
      <c r="CJ40" s="111">
        <v>8</v>
      </c>
      <c r="CK40" s="111">
        <v>9</v>
      </c>
      <c r="CL40" s="111">
        <v>10</v>
      </c>
      <c r="CM40" s="111">
        <v>11</v>
      </c>
      <c r="CN40" s="111">
        <v>12</v>
      </c>
      <c r="CO40" s="20" t="s">
        <v>13</v>
      </c>
      <c r="CP40" s="333"/>
      <c r="CQ40" s="333"/>
      <c r="CR40" s="333"/>
      <c r="CS40" s="333"/>
      <c r="CT40" s="358"/>
      <c r="CU40" s="348"/>
      <c r="CV40" s="359"/>
      <c r="CW40" s="21"/>
      <c r="CX40" s="21"/>
      <c r="CY40" s="21"/>
      <c r="CZ40" s="21"/>
      <c r="DA40" s="21"/>
      <c r="DB40" s="21"/>
      <c r="DC40" s="21"/>
      <c r="DD40" s="21"/>
      <c r="DE40" s="21"/>
    </row>
    <row r="41" spans="1:127" s="70" customFormat="1" ht="24.75" customHeight="1" x14ac:dyDescent="0.2">
      <c r="A41" s="64"/>
      <c r="B41" s="300" t="s">
        <v>169</v>
      </c>
      <c r="C41" s="65"/>
      <c r="D41" s="489"/>
      <c r="E41" s="66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8"/>
      <c r="R41" s="114"/>
      <c r="S41" s="122"/>
      <c r="T41" s="146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51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3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4"/>
      <c r="BG41" s="72"/>
      <c r="BH41" s="73"/>
      <c r="BI41" s="74"/>
      <c r="BJ41" s="99"/>
      <c r="BK41" s="565"/>
      <c r="BL41" s="52"/>
      <c r="BM41" s="52"/>
      <c r="BN41" s="52"/>
      <c r="BO41" s="561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4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4"/>
      <c r="CP41" s="334"/>
      <c r="CQ41" s="334"/>
      <c r="CR41" s="334"/>
      <c r="CS41" s="334"/>
      <c r="CT41" s="360"/>
      <c r="CU41" s="349"/>
      <c r="CV41" s="361"/>
      <c r="CW41" s="69"/>
      <c r="CX41" s="69"/>
      <c r="CY41" s="69"/>
      <c r="CZ41" s="69"/>
      <c r="DA41" s="69"/>
      <c r="DB41" s="69"/>
      <c r="DC41" s="69"/>
      <c r="DD41" s="69"/>
      <c r="DE41" s="69"/>
    </row>
    <row r="42" spans="1:127" s="70" customFormat="1" ht="24.75" customHeight="1" x14ac:dyDescent="0.2">
      <c r="A42" s="64"/>
      <c r="B42" s="126" t="s">
        <v>170</v>
      </c>
      <c r="C42" s="65" t="s">
        <v>73</v>
      </c>
      <c r="D42" s="486">
        <v>4</v>
      </c>
      <c r="E42" s="66">
        <v>4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8">
        <f t="shared" ref="Q42" si="163">SUM(E42:P42)</f>
        <v>4</v>
      </c>
      <c r="R42" s="114" t="s">
        <v>171</v>
      </c>
      <c r="S42" s="374">
        <v>800000</v>
      </c>
      <c r="T42" s="321">
        <v>680000</v>
      </c>
      <c r="U42" s="321"/>
      <c r="V42" s="321"/>
      <c r="W42" s="321"/>
      <c r="X42" s="322"/>
      <c r="Y42" s="321"/>
      <c r="Z42" s="322"/>
      <c r="AA42" s="322"/>
      <c r="AB42" s="322"/>
      <c r="AC42" s="322"/>
      <c r="AD42" s="322"/>
      <c r="AE42" s="322"/>
      <c r="AF42" s="51">
        <f t="shared" ref="AF42:AF43" si="164">SUM(Q42*S42)</f>
        <v>3200000</v>
      </c>
      <c r="AG42" s="323">
        <f t="shared" ref="AG42:AG43" si="165">T42*E42</f>
        <v>2720000</v>
      </c>
      <c r="AH42" s="323">
        <f t="shared" ref="AH42:AH43" si="166">U42*F42</f>
        <v>0</v>
      </c>
      <c r="AI42" s="323">
        <f t="shared" ref="AI42:AI43" si="167">V42*G42</f>
        <v>0</v>
      </c>
      <c r="AJ42" s="323">
        <f t="shared" ref="AJ42:AJ43" si="168">W42*H42</f>
        <v>0</v>
      </c>
      <c r="AK42" s="323">
        <f t="shared" ref="AK42:AK43" si="169">X42*I42</f>
        <v>0</v>
      </c>
      <c r="AL42" s="323">
        <f t="shared" ref="AL42:AL43" si="170">Y42*J42</f>
        <v>0</v>
      </c>
      <c r="AM42" s="323">
        <f t="shared" ref="AM42:AM43" si="171">Z42*K42</f>
        <v>0</v>
      </c>
      <c r="AN42" s="323">
        <f t="shared" ref="AN42:AN43" si="172">AA42*L42</f>
        <v>0</v>
      </c>
      <c r="AO42" s="323">
        <f t="shared" ref="AO42:AO43" si="173">AB42*M42</f>
        <v>0</v>
      </c>
      <c r="AP42" s="323">
        <f t="shared" ref="AP42:AP43" si="174">AC42*N42</f>
        <v>0</v>
      </c>
      <c r="AQ42" s="323">
        <f t="shared" ref="AQ42:AQ43" si="175">AD42*O42</f>
        <v>0</v>
      </c>
      <c r="AR42" s="323">
        <f t="shared" ref="AR42:AR43" si="176">AE42*P42</f>
        <v>0</v>
      </c>
      <c r="AS42" s="324">
        <f t="shared" ref="AS42:AS43" si="177">SUM(AG42:AR42)</f>
        <v>2720000</v>
      </c>
      <c r="AT42" s="323">
        <f>SUM(AG42*14%)</f>
        <v>380800.00000000006</v>
      </c>
      <c r="AU42" s="323">
        <f t="shared" ref="AU42:AU43" si="178">SUM(AH42*14%)</f>
        <v>0</v>
      </c>
      <c r="AV42" s="323">
        <f t="shared" ref="AV42:AV43" si="179">SUM(AI42*14%)</f>
        <v>0</v>
      </c>
      <c r="AW42" s="323">
        <f t="shared" ref="AW42:AW43" si="180">SUM(AJ42*14%)</f>
        <v>0</v>
      </c>
      <c r="AX42" s="323">
        <f t="shared" ref="AX42:AX43" si="181">SUM(AK42*14%)</f>
        <v>0</v>
      </c>
      <c r="AY42" s="323">
        <f t="shared" ref="AY42:AY43" si="182">SUM(AL42*14%)</f>
        <v>0</v>
      </c>
      <c r="AZ42" s="323">
        <f t="shared" ref="AZ42:AZ43" si="183">SUM(AM42*14%)</f>
        <v>0</v>
      </c>
      <c r="BA42" s="323">
        <f t="shared" ref="BA42:BA43" si="184">SUM(AN42*14%)</f>
        <v>0</v>
      </c>
      <c r="BB42" s="323">
        <f t="shared" ref="BB42:BB43" si="185">SUM(AO42*14%)</f>
        <v>0</v>
      </c>
      <c r="BC42" s="323">
        <f t="shared" ref="BC42:BC43" si="186">SUM(AP42*14%)</f>
        <v>0</v>
      </c>
      <c r="BD42" s="323">
        <f t="shared" ref="BD42:BD43" si="187">SUM(AQ42*14%)</f>
        <v>0</v>
      </c>
      <c r="BE42" s="323">
        <f t="shared" ref="BE42:BE43" si="188">SUM(AR42*14%)</f>
        <v>0</v>
      </c>
      <c r="BF42" s="55">
        <f t="shared" ref="BF42:BF43" si="189">SUM(AT42:BE42)</f>
        <v>380800.00000000006</v>
      </c>
      <c r="BG42" s="72">
        <f>AF42-AS42-BF42</f>
        <v>99199.999999999942</v>
      </c>
      <c r="BH42" s="73">
        <f t="shared" ref="BH42:BH43" si="190">S42*D42</f>
        <v>3200000</v>
      </c>
      <c r="BI42" s="74">
        <f t="shared" ref="BI42:BI43" si="191">BH42-AS42-BF42</f>
        <v>99199.999999999942</v>
      </c>
      <c r="BJ42" s="99">
        <f t="shared" ref="BJ42" si="192">SUM(Q42/D42)</f>
        <v>1</v>
      </c>
      <c r="BK42" s="565"/>
      <c r="BL42" s="323">
        <f>SUM(AO42*14%)</f>
        <v>0</v>
      </c>
      <c r="BM42" s="323"/>
      <c r="BN42" s="323"/>
      <c r="BO42" s="561"/>
      <c r="BP42" s="323">
        <f t="shared" ref="BP42:CA43" si="193">SUM(AY42*14%)</f>
        <v>0</v>
      </c>
      <c r="BQ42" s="323">
        <f t="shared" si="193"/>
        <v>0</v>
      </c>
      <c r="BR42" s="323">
        <f t="shared" si="193"/>
        <v>0</v>
      </c>
      <c r="BS42" s="323">
        <f t="shared" si="193"/>
        <v>0</v>
      </c>
      <c r="BT42" s="323">
        <f t="shared" si="193"/>
        <v>0</v>
      </c>
      <c r="BU42" s="323">
        <f t="shared" si="193"/>
        <v>0</v>
      </c>
      <c r="BV42" s="323">
        <f t="shared" si="193"/>
        <v>0</v>
      </c>
      <c r="BW42" s="323">
        <f t="shared" si="193"/>
        <v>53312.000000000015</v>
      </c>
      <c r="BX42" s="323">
        <f t="shared" si="193"/>
        <v>13887.999999999993</v>
      </c>
      <c r="BY42" s="323">
        <f t="shared" si="193"/>
        <v>448000.00000000006</v>
      </c>
      <c r="BZ42" s="323">
        <f t="shared" si="193"/>
        <v>13887.999999999993</v>
      </c>
      <c r="CA42" s="323">
        <f t="shared" si="193"/>
        <v>0.14000000000000001</v>
      </c>
      <c r="CB42" s="55">
        <f t="shared" ref="CB42:CB43" si="194">SUM(BP42:CA42)</f>
        <v>529088.14</v>
      </c>
      <c r="CC42" s="323">
        <f t="shared" ref="CC42:CN43" si="195">SUM(BQ42*14%)</f>
        <v>0</v>
      </c>
      <c r="CD42" s="323">
        <f t="shared" si="195"/>
        <v>0</v>
      </c>
      <c r="CE42" s="323">
        <f t="shared" si="195"/>
        <v>0</v>
      </c>
      <c r="CF42" s="323">
        <f t="shared" si="195"/>
        <v>0</v>
      </c>
      <c r="CG42" s="323">
        <f t="shared" si="195"/>
        <v>0</v>
      </c>
      <c r="CH42" s="323">
        <f t="shared" si="195"/>
        <v>0</v>
      </c>
      <c r="CI42" s="323">
        <f t="shared" si="195"/>
        <v>7463.680000000003</v>
      </c>
      <c r="CJ42" s="323">
        <f t="shared" si="195"/>
        <v>1944.3199999999993</v>
      </c>
      <c r="CK42" s="323">
        <f t="shared" si="195"/>
        <v>62720.000000000015</v>
      </c>
      <c r="CL42" s="323">
        <f t="shared" si="195"/>
        <v>1944.3199999999993</v>
      </c>
      <c r="CM42" s="323">
        <f t="shared" si="195"/>
        <v>1.9600000000000003E-2</v>
      </c>
      <c r="CN42" s="323">
        <f t="shared" si="195"/>
        <v>74072.339600000007</v>
      </c>
      <c r="CO42" s="55">
        <f t="shared" ref="CO42:CO43" si="196">SUM(CC42:CN42)</f>
        <v>148144.67920000001</v>
      </c>
      <c r="CP42" s="334"/>
      <c r="CQ42" s="334"/>
      <c r="CR42" s="334"/>
      <c r="CS42" s="334"/>
      <c r="CT42" s="360"/>
      <c r="CU42" s="349"/>
      <c r="CV42" s="361"/>
      <c r="CW42" s="69"/>
      <c r="CX42" s="69"/>
      <c r="CY42" s="69"/>
      <c r="CZ42" s="69"/>
      <c r="DA42" s="69"/>
      <c r="DB42" s="69"/>
      <c r="DC42" s="69"/>
      <c r="DD42" s="69"/>
      <c r="DE42" s="69"/>
    </row>
    <row r="43" spans="1:127" s="70" customFormat="1" ht="24.75" customHeight="1" thickBot="1" x14ac:dyDescent="0.25">
      <c r="A43" s="64"/>
      <c r="B43" s="126"/>
      <c r="C43" s="65"/>
      <c r="D43" s="489"/>
      <c r="E43" s="66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8"/>
      <c r="R43" s="114"/>
      <c r="S43" s="325"/>
      <c r="T43" s="321"/>
      <c r="U43" s="322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51">
        <f t="shared" si="164"/>
        <v>0</v>
      </c>
      <c r="AG43" s="52">
        <f t="shared" si="165"/>
        <v>0</v>
      </c>
      <c r="AH43" s="52">
        <f t="shared" si="166"/>
        <v>0</v>
      </c>
      <c r="AI43" s="52">
        <f t="shared" si="167"/>
        <v>0</v>
      </c>
      <c r="AJ43" s="52">
        <f t="shared" si="168"/>
        <v>0</v>
      </c>
      <c r="AK43" s="52">
        <f t="shared" si="169"/>
        <v>0</v>
      </c>
      <c r="AL43" s="52">
        <f t="shared" si="170"/>
        <v>0</v>
      </c>
      <c r="AM43" s="52">
        <f t="shared" si="171"/>
        <v>0</v>
      </c>
      <c r="AN43" s="52">
        <f t="shared" si="172"/>
        <v>0</v>
      </c>
      <c r="AO43" s="52">
        <f t="shared" si="173"/>
        <v>0</v>
      </c>
      <c r="AP43" s="52">
        <f t="shared" si="174"/>
        <v>0</v>
      </c>
      <c r="AQ43" s="52">
        <f t="shared" si="175"/>
        <v>0</v>
      </c>
      <c r="AR43" s="52">
        <f t="shared" si="176"/>
        <v>0</v>
      </c>
      <c r="AS43" s="53">
        <f t="shared" si="177"/>
        <v>0</v>
      </c>
      <c r="AT43" s="52">
        <f t="shared" ref="AT43" si="197">SUM(AG43*14%)</f>
        <v>0</v>
      </c>
      <c r="AU43" s="52">
        <f t="shared" si="178"/>
        <v>0</v>
      </c>
      <c r="AV43" s="52">
        <f t="shared" si="179"/>
        <v>0</v>
      </c>
      <c r="AW43" s="52">
        <f t="shared" si="180"/>
        <v>0</v>
      </c>
      <c r="AX43" s="52">
        <f t="shared" si="181"/>
        <v>0</v>
      </c>
      <c r="AY43" s="52">
        <f t="shared" si="182"/>
        <v>0</v>
      </c>
      <c r="AZ43" s="52">
        <f t="shared" si="183"/>
        <v>0</v>
      </c>
      <c r="BA43" s="52">
        <f t="shared" si="184"/>
        <v>0</v>
      </c>
      <c r="BB43" s="52">
        <f t="shared" si="185"/>
        <v>0</v>
      </c>
      <c r="BC43" s="52">
        <f t="shared" si="186"/>
        <v>0</v>
      </c>
      <c r="BD43" s="52">
        <f t="shared" si="187"/>
        <v>0</v>
      </c>
      <c r="BE43" s="52">
        <f t="shared" si="188"/>
        <v>0</v>
      </c>
      <c r="BF43" s="54">
        <f t="shared" si="189"/>
        <v>0</v>
      </c>
      <c r="BG43" s="72">
        <f t="shared" ref="BG43" si="198">AF43-AS43-BF43</f>
        <v>0</v>
      </c>
      <c r="BH43" s="73">
        <f t="shared" si="190"/>
        <v>0</v>
      </c>
      <c r="BI43" s="74">
        <f t="shared" si="191"/>
        <v>0</v>
      </c>
      <c r="BJ43" s="99"/>
      <c r="BK43" s="565"/>
      <c r="BL43" s="52">
        <f>SUM(AO43*14%)</f>
        <v>0</v>
      </c>
      <c r="BM43" s="52"/>
      <c r="BN43" s="52"/>
      <c r="BO43" s="561"/>
      <c r="BP43" s="52">
        <f t="shared" si="193"/>
        <v>0</v>
      </c>
      <c r="BQ43" s="52">
        <f t="shared" si="193"/>
        <v>0</v>
      </c>
      <c r="BR43" s="52">
        <f t="shared" si="193"/>
        <v>0</v>
      </c>
      <c r="BS43" s="52">
        <f t="shared" si="193"/>
        <v>0</v>
      </c>
      <c r="BT43" s="52">
        <f t="shared" si="193"/>
        <v>0</v>
      </c>
      <c r="BU43" s="52">
        <f t="shared" si="193"/>
        <v>0</v>
      </c>
      <c r="BV43" s="52">
        <f t="shared" si="193"/>
        <v>0</v>
      </c>
      <c r="BW43" s="52">
        <f t="shared" si="193"/>
        <v>0</v>
      </c>
      <c r="BX43" s="52">
        <f t="shared" si="193"/>
        <v>0</v>
      </c>
      <c r="BY43" s="52">
        <f t="shared" si="193"/>
        <v>0</v>
      </c>
      <c r="BZ43" s="52">
        <f t="shared" si="193"/>
        <v>0</v>
      </c>
      <c r="CA43" s="52">
        <f t="shared" si="193"/>
        <v>0</v>
      </c>
      <c r="CB43" s="54">
        <f t="shared" si="194"/>
        <v>0</v>
      </c>
      <c r="CC43" s="52">
        <f t="shared" si="195"/>
        <v>0</v>
      </c>
      <c r="CD43" s="52">
        <f t="shared" si="195"/>
        <v>0</v>
      </c>
      <c r="CE43" s="52">
        <f t="shared" si="195"/>
        <v>0</v>
      </c>
      <c r="CF43" s="52">
        <f t="shared" si="195"/>
        <v>0</v>
      </c>
      <c r="CG43" s="52">
        <f t="shared" si="195"/>
        <v>0</v>
      </c>
      <c r="CH43" s="52">
        <f t="shared" si="195"/>
        <v>0</v>
      </c>
      <c r="CI43" s="52">
        <f t="shared" si="195"/>
        <v>0</v>
      </c>
      <c r="CJ43" s="52">
        <f t="shared" si="195"/>
        <v>0</v>
      </c>
      <c r="CK43" s="52">
        <f t="shared" si="195"/>
        <v>0</v>
      </c>
      <c r="CL43" s="52">
        <f t="shared" si="195"/>
        <v>0</v>
      </c>
      <c r="CM43" s="52">
        <f t="shared" si="195"/>
        <v>0</v>
      </c>
      <c r="CN43" s="52">
        <f t="shared" si="195"/>
        <v>0</v>
      </c>
      <c r="CO43" s="54">
        <f t="shared" si="196"/>
        <v>0</v>
      </c>
      <c r="CP43" s="334"/>
      <c r="CQ43" s="334"/>
      <c r="CR43" s="334"/>
      <c r="CS43" s="334"/>
      <c r="CT43" s="360"/>
      <c r="CU43" s="349"/>
      <c r="CV43" s="361"/>
      <c r="CW43" s="69"/>
      <c r="CX43" s="69"/>
      <c r="CY43" s="69"/>
      <c r="CZ43" s="69"/>
      <c r="DA43" s="69"/>
      <c r="DB43" s="69"/>
      <c r="DC43" s="69"/>
      <c r="DD43" s="69"/>
      <c r="DE43" s="69"/>
    </row>
    <row r="44" spans="1:127" s="27" customFormat="1" ht="24.75" customHeight="1" thickBot="1" x14ac:dyDescent="0.25">
      <c r="A44" s="30"/>
      <c r="B44" s="31" t="s">
        <v>4</v>
      </c>
      <c r="C44" s="31"/>
      <c r="D44" s="30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4"/>
      <c r="R44" s="58"/>
      <c r="S44" s="141"/>
      <c r="T44" s="142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8">
        <f t="shared" ref="AF44:BG44" si="199">SUM(AF41:AF43)</f>
        <v>3200000</v>
      </c>
      <c r="AG44" s="737">
        <f t="shared" si="199"/>
        <v>2720000</v>
      </c>
      <c r="AH44" s="78">
        <f t="shared" si="199"/>
        <v>0</v>
      </c>
      <c r="AI44" s="78">
        <f t="shared" si="199"/>
        <v>0</v>
      </c>
      <c r="AJ44" s="78">
        <f t="shared" si="199"/>
        <v>0</v>
      </c>
      <c r="AK44" s="78">
        <f t="shared" si="199"/>
        <v>0</v>
      </c>
      <c r="AL44" s="78">
        <f t="shared" si="199"/>
        <v>0</v>
      </c>
      <c r="AM44" s="78">
        <f t="shared" si="199"/>
        <v>0</v>
      </c>
      <c r="AN44" s="78">
        <f t="shared" si="199"/>
        <v>0</v>
      </c>
      <c r="AO44" s="78">
        <f t="shared" si="199"/>
        <v>0</v>
      </c>
      <c r="AP44" s="78">
        <f t="shared" si="199"/>
        <v>0</v>
      </c>
      <c r="AQ44" s="78">
        <f t="shared" si="199"/>
        <v>0</v>
      </c>
      <c r="AR44" s="78">
        <f t="shared" si="199"/>
        <v>0</v>
      </c>
      <c r="AS44" s="78">
        <f t="shared" si="199"/>
        <v>2720000</v>
      </c>
      <c r="AT44" s="78">
        <f t="shared" si="199"/>
        <v>380800.00000000006</v>
      </c>
      <c r="AU44" s="78">
        <f t="shared" si="199"/>
        <v>0</v>
      </c>
      <c r="AV44" s="78">
        <f t="shared" si="199"/>
        <v>0</v>
      </c>
      <c r="AW44" s="78">
        <f t="shared" si="199"/>
        <v>0</v>
      </c>
      <c r="AX44" s="78">
        <f t="shared" si="199"/>
        <v>0</v>
      </c>
      <c r="AY44" s="78">
        <f t="shared" si="199"/>
        <v>0</v>
      </c>
      <c r="AZ44" s="78">
        <f t="shared" si="199"/>
        <v>0</v>
      </c>
      <c r="BA44" s="78">
        <f t="shared" si="199"/>
        <v>0</v>
      </c>
      <c r="BB44" s="78">
        <f t="shared" si="199"/>
        <v>0</v>
      </c>
      <c r="BC44" s="78">
        <f t="shared" si="199"/>
        <v>0</v>
      </c>
      <c r="BD44" s="78">
        <f t="shared" si="199"/>
        <v>0</v>
      </c>
      <c r="BE44" s="78">
        <f t="shared" si="199"/>
        <v>0</v>
      </c>
      <c r="BF44" s="78">
        <f t="shared" si="199"/>
        <v>380800.00000000006</v>
      </c>
      <c r="BG44" s="78">
        <f t="shared" si="199"/>
        <v>99199.999999999942</v>
      </c>
      <c r="BH44" s="78">
        <f>SUM(BH42:BH43)</f>
        <v>3200000</v>
      </c>
      <c r="BI44" s="78">
        <f>SUM(BI41:BI43)</f>
        <v>99199.999999999942</v>
      </c>
      <c r="BJ44" s="100">
        <f>SUM(BJ42:BJ42)</f>
        <v>1</v>
      </c>
      <c r="BK44" s="566"/>
      <c r="BL44" s="78">
        <f t="shared" ref="BL44" si="200">SUM(BL41:BL43)</f>
        <v>0</v>
      </c>
      <c r="BM44" s="78"/>
      <c r="BN44" s="78"/>
      <c r="BO44" s="562"/>
      <c r="BP44" s="78">
        <f t="shared" ref="BP44:CB44" si="201">SUM(BP41:BP43)</f>
        <v>0</v>
      </c>
      <c r="BQ44" s="78">
        <f t="shared" si="201"/>
        <v>0</v>
      </c>
      <c r="BR44" s="78">
        <f t="shared" si="201"/>
        <v>0</v>
      </c>
      <c r="BS44" s="78">
        <f t="shared" si="201"/>
        <v>0</v>
      </c>
      <c r="BT44" s="78">
        <f t="shared" si="201"/>
        <v>0</v>
      </c>
      <c r="BU44" s="78">
        <f t="shared" si="201"/>
        <v>0</v>
      </c>
      <c r="BV44" s="78">
        <f t="shared" si="201"/>
        <v>0</v>
      </c>
      <c r="BW44" s="78">
        <f t="shared" si="201"/>
        <v>53312.000000000015</v>
      </c>
      <c r="BX44" s="78">
        <f t="shared" si="201"/>
        <v>13887.999999999993</v>
      </c>
      <c r="BY44" s="78">
        <f t="shared" si="201"/>
        <v>448000.00000000006</v>
      </c>
      <c r="BZ44" s="78">
        <f t="shared" si="201"/>
        <v>13887.999999999993</v>
      </c>
      <c r="CA44" s="78">
        <f t="shared" si="201"/>
        <v>0.14000000000000001</v>
      </c>
      <c r="CB44" s="78">
        <f t="shared" si="201"/>
        <v>529088.14</v>
      </c>
      <c r="CC44" s="78">
        <f t="shared" ref="CC44:CO44" si="202">SUM(CC41:CC43)</f>
        <v>0</v>
      </c>
      <c r="CD44" s="78">
        <f t="shared" si="202"/>
        <v>0</v>
      </c>
      <c r="CE44" s="78">
        <f t="shared" si="202"/>
        <v>0</v>
      </c>
      <c r="CF44" s="78">
        <f t="shared" si="202"/>
        <v>0</v>
      </c>
      <c r="CG44" s="78">
        <f t="shared" si="202"/>
        <v>0</v>
      </c>
      <c r="CH44" s="78">
        <f t="shared" si="202"/>
        <v>0</v>
      </c>
      <c r="CI44" s="78">
        <f t="shared" si="202"/>
        <v>7463.680000000003</v>
      </c>
      <c r="CJ44" s="78">
        <f t="shared" si="202"/>
        <v>1944.3199999999993</v>
      </c>
      <c r="CK44" s="78">
        <f t="shared" si="202"/>
        <v>62720.000000000015</v>
      </c>
      <c r="CL44" s="78">
        <f t="shared" si="202"/>
        <v>1944.3199999999993</v>
      </c>
      <c r="CM44" s="78">
        <f t="shared" si="202"/>
        <v>1.9600000000000003E-2</v>
      </c>
      <c r="CN44" s="78">
        <f t="shared" si="202"/>
        <v>74072.339600000007</v>
      </c>
      <c r="CO44" s="78">
        <f t="shared" si="202"/>
        <v>148144.67920000001</v>
      </c>
      <c r="CP44" s="330"/>
      <c r="CQ44" s="330"/>
      <c r="CR44" s="330"/>
      <c r="CS44" s="330"/>
      <c r="CT44" s="350"/>
      <c r="CU44" s="350"/>
      <c r="CV44" s="362"/>
      <c r="CW44" s="36"/>
      <c r="CX44" s="36"/>
      <c r="CY44" s="36"/>
      <c r="CZ44" s="36"/>
      <c r="DA44" s="36"/>
      <c r="DB44" s="36"/>
      <c r="DC44" s="36"/>
      <c r="DD44" s="36"/>
      <c r="DE44" s="36"/>
    </row>
    <row r="45" spans="1:127" s="83" customFormat="1" ht="24.75" customHeight="1" x14ac:dyDescent="0.2">
      <c r="A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327"/>
      <c r="T45" s="327"/>
      <c r="AS45" s="327"/>
      <c r="BF45" s="327">
        <f>SUM(AS44+BF44)</f>
        <v>3100800</v>
      </c>
      <c r="BG45" s="329">
        <f>AF44-AS44-BF44</f>
        <v>99199.999999999942</v>
      </c>
      <c r="BH45" s="378">
        <f>SUM(BI44+AS44+BF44)</f>
        <v>3200000</v>
      </c>
      <c r="BI45" s="379">
        <f>SUM(BG44)</f>
        <v>99199.999999999942</v>
      </c>
      <c r="BJ45" s="83" t="s">
        <v>29</v>
      </c>
      <c r="CB45" s="327" t="e">
        <f>SUM(#REF!+CB44)</f>
        <v>#REF!</v>
      </c>
      <c r="CO45" s="327" t="e">
        <f>SUM(#REF!+CO44)</f>
        <v>#REF!</v>
      </c>
      <c r="CP45" s="327"/>
      <c r="CQ45" s="327"/>
      <c r="CR45" s="327"/>
      <c r="CS45" s="327"/>
      <c r="CT45" s="369"/>
      <c r="CU45" s="369"/>
      <c r="CV45" s="369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</row>
    <row r="46" spans="1:127" s="83" customFormat="1" ht="24.75" customHeight="1" x14ac:dyDescent="0.2">
      <c r="A46" s="225"/>
      <c r="D46" s="225"/>
      <c r="E46" s="225"/>
      <c r="F46" s="225"/>
      <c r="G46" s="225"/>
      <c r="H46" s="225"/>
      <c r="I46" s="225"/>
      <c r="J46" s="225"/>
      <c r="K46" s="225"/>
      <c r="L46" s="226"/>
      <c r="M46" s="226"/>
      <c r="N46" s="225"/>
      <c r="O46" s="225"/>
      <c r="P46" s="225"/>
      <c r="Q46" s="226"/>
      <c r="R46" s="225"/>
      <c r="S46" s="327"/>
      <c r="T46" s="327"/>
      <c r="AT46" s="328">
        <f>SUM(AG44+AT44)</f>
        <v>3100800</v>
      </c>
      <c r="AU46" s="328">
        <f t="shared" ref="AU46" si="203">SUM(AH44+AU44)</f>
        <v>0</v>
      </c>
      <c r="AV46" s="328">
        <f t="shared" ref="AV46" si="204">SUM(AI44+AV44)</f>
        <v>0</v>
      </c>
      <c r="AW46" s="328">
        <f t="shared" ref="AW46" si="205">SUM(AJ44+AW44)</f>
        <v>0</v>
      </c>
      <c r="AX46" s="328">
        <f t="shared" ref="AX46" si="206">SUM(AK44+AX44)</f>
        <v>0</v>
      </c>
      <c r="AY46" s="328">
        <f t="shared" ref="AY46" si="207">SUM(AL44+AY44)</f>
        <v>0</v>
      </c>
      <c r="AZ46" s="328">
        <f t="shared" ref="AZ46" si="208">SUM(AM44+AZ44)</f>
        <v>0</v>
      </c>
      <c r="BA46" s="328">
        <f t="shared" ref="BA46" si="209">SUM(AN44+BA44)</f>
        <v>0</v>
      </c>
      <c r="BB46" s="328">
        <f t="shared" ref="BB46" si="210">SUM(AO44+BB44)</f>
        <v>0</v>
      </c>
      <c r="BC46" s="328">
        <f t="shared" ref="BC46" si="211">SUM(AP44+BC44)</f>
        <v>0</v>
      </c>
      <c r="BD46" s="328">
        <f t="shared" ref="BD46" si="212">SUM(AQ44+BD44)</f>
        <v>0</v>
      </c>
      <c r="BE46" s="328">
        <f t="shared" ref="BE46" si="213">SUM(AR44+BE44)</f>
        <v>0</v>
      </c>
      <c r="BF46" s="328">
        <f>SUM(AT46:BE46)</f>
        <v>3100800</v>
      </c>
      <c r="BH46" s="43"/>
      <c r="BI46" s="329">
        <f>SUM(BI44-BI45)</f>
        <v>0</v>
      </c>
      <c r="BJ46" s="83" t="s">
        <v>28</v>
      </c>
      <c r="BL46" s="328">
        <f>SUM(AO44+BL44)</f>
        <v>0</v>
      </c>
      <c r="BM46" s="328"/>
      <c r="BN46" s="328"/>
      <c r="BO46" s="328"/>
      <c r="BP46" s="328">
        <f t="shared" ref="BP46:CA46" si="214">SUM(AY44+BP44)</f>
        <v>0</v>
      </c>
      <c r="BQ46" s="328">
        <f t="shared" si="214"/>
        <v>0</v>
      </c>
      <c r="BR46" s="328">
        <f t="shared" si="214"/>
        <v>0</v>
      </c>
      <c r="BS46" s="328">
        <f t="shared" si="214"/>
        <v>0</v>
      </c>
      <c r="BT46" s="328">
        <f t="shared" si="214"/>
        <v>0</v>
      </c>
      <c r="BU46" s="328">
        <f t="shared" si="214"/>
        <v>0</v>
      </c>
      <c r="BV46" s="328">
        <f t="shared" si="214"/>
        <v>0</v>
      </c>
      <c r="BW46" s="328">
        <f t="shared" si="214"/>
        <v>434112.00000000006</v>
      </c>
      <c r="BX46" s="328">
        <f t="shared" si="214"/>
        <v>113087.99999999994</v>
      </c>
      <c r="BY46" s="328">
        <f t="shared" si="214"/>
        <v>3648000</v>
      </c>
      <c r="BZ46" s="328">
        <f t="shared" si="214"/>
        <v>113087.99999999994</v>
      </c>
      <c r="CA46" s="328">
        <f t="shared" si="214"/>
        <v>1.1400000000000001</v>
      </c>
      <c r="CB46" s="328">
        <f>SUM(BP46:CA46)</f>
        <v>4308289.1399999997</v>
      </c>
      <c r="CC46" s="328">
        <f t="shared" ref="CC46:CN46" si="215">SUM(BQ44+CC44)</f>
        <v>0</v>
      </c>
      <c r="CD46" s="328">
        <f t="shared" si="215"/>
        <v>0</v>
      </c>
      <c r="CE46" s="328">
        <f t="shared" si="215"/>
        <v>0</v>
      </c>
      <c r="CF46" s="328">
        <f t="shared" si="215"/>
        <v>0</v>
      </c>
      <c r="CG46" s="328">
        <f t="shared" si="215"/>
        <v>0</v>
      </c>
      <c r="CH46" s="328">
        <f t="shared" si="215"/>
        <v>0</v>
      </c>
      <c r="CI46" s="328">
        <f t="shared" si="215"/>
        <v>60775.680000000015</v>
      </c>
      <c r="CJ46" s="328">
        <f t="shared" si="215"/>
        <v>15832.319999999992</v>
      </c>
      <c r="CK46" s="328">
        <f t="shared" si="215"/>
        <v>510720.00000000006</v>
      </c>
      <c r="CL46" s="328">
        <f t="shared" si="215"/>
        <v>15832.319999999992</v>
      </c>
      <c r="CM46" s="328">
        <f t="shared" si="215"/>
        <v>0.15960000000000002</v>
      </c>
      <c r="CN46" s="328">
        <f t="shared" si="215"/>
        <v>603160.47959999996</v>
      </c>
      <c r="CO46" s="328">
        <f>SUM(CC46:CN46)</f>
        <v>1206320.9591999999</v>
      </c>
      <c r="CP46" s="327"/>
      <c r="CQ46" s="327"/>
      <c r="CR46" s="327"/>
      <c r="CS46" s="327"/>
      <c r="CT46" s="380"/>
      <c r="CU46" s="380"/>
      <c r="CV46" s="369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</row>
    <row r="47" spans="1:127" s="16" customFormat="1" ht="24.75" customHeight="1" x14ac:dyDescent="0.2">
      <c r="A47" s="811" t="s">
        <v>7</v>
      </c>
      <c r="B47" s="812"/>
      <c r="C47" s="83" t="s">
        <v>175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34"/>
      <c r="T47" s="14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6"/>
      <c r="AF47" s="17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7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7"/>
      <c r="BG47" s="87"/>
      <c r="BH47" s="84"/>
      <c r="BI47" s="84"/>
      <c r="BJ47" s="17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7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7"/>
      <c r="CP47" s="331"/>
      <c r="CQ47" s="331"/>
      <c r="CR47" s="331"/>
      <c r="CS47" s="331"/>
      <c r="CT47" s="354"/>
      <c r="CU47" s="354"/>
      <c r="CV47" s="357"/>
      <c r="CW47" s="85"/>
      <c r="CX47" s="85"/>
      <c r="CY47" s="87"/>
      <c r="CZ47" s="87"/>
      <c r="DA47" s="87"/>
      <c r="DB47" s="84"/>
      <c r="DC47" s="88"/>
      <c r="DD47" s="87"/>
      <c r="DE47" s="87"/>
      <c r="DF47" s="18"/>
      <c r="DG47" s="18"/>
      <c r="DH47" s="18"/>
      <c r="DI47" s="18"/>
      <c r="DJ47" s="18"/>
      <c r="DK47" s="89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</row>
    <row r="48" spans="1:127" s="7" customFormat="1" ht="48.75" customHeight="1" x14ac:dyDescent="0.2">
      <c r="A48" s="813" t="s">
        <v>8</v>
      </c>
      <c r="B48" s="787" t="s">
        <v>9</v>
      </c>
      <c r="C48" s="787" t="s">
        <v>22</v>
      </c>
      <c r="D48" s="806" t="s">
        <v>10</v>
      </c>
      <c r="E48" s="806"/>
      <c r="F48" s="806"/>
      <c r="G48" s="806"/>
      <c r="H48" s="806"/>
      <c r="I48" s="806"/>
      <c r="J48" s="806"/>
      <c r="K48" s="806"/>
      <c r="L48" s="806"/>
      <c r="M48" s="806"/>
      <c r="N48" s="806"/>
      <c r="O48" s="806"/>
      <c r="P48" s="806"/>
      <c r="Q48" s="806"/>
      <c r="R48" s="787" t="s">
        <v>20</v>
      </c>
      <c r="S48" s="807" t="s">
        <v>17</v>
      </c>
      <c r="T48" s="808"/>
      <c r="U48" s="808"/>
      <c r="V48" s="808"/>
      <c r="W48" s="808"/>
      <c r="X48" s="808"/>
      <c r="Y48" s="808"/>
      <c r="Z48" s="808"/>
      <c r="AA48" s="808"/>
      <c r="AB48" s="808"/>
      <c r="AC48" s="808"/>
      <c r="AD48" s="808"/>
      <c r="AE48" s="809"/>
      <c r="AF48" s="810" t="s">
        <v>5</v>
      </c>
      <c r="AG48" s="810"/>
      <c r="AH48" s="810"/>
      <c r="AI48" s="810"/>
      <c r="AJ48" s="810"/>
      <c r="AK48" s="810"/>
      <c r="AL48" s="810"/>
      <c r="AM48" s="810"/>
      <c r="AN48" s="810"/>
      <c r="AO48" s="810"/>
      <c r="AP48" s="810"/>
      <c r="AQ48" s="810"/>
      <c r="AR48" s="810"/>
      <c r="AS48" s="810"/>
      <c r="AT48" s="800" t="s">
        <v>32</v>
      </c>
      <c r="AU48" s="801"/>
      <c r="AV48" s="801"/>
      <c r="AW48" s="801"/>
      <c r="AX48" s="801"/>
      <c r="AY48" s="801"/>
      <c r="AZ48" s="801"/>
      <c r="BA48" s="801"/>
      <c r="BB48" s="801"/>
      <c r="BC48" s="801"/>
      <c r="BD48" s="801"/>
      <c r="BE48" s="801"/>
      <c r="BF48" s="802"/>
      <c r="BG48" s="787" t="s">
        <v>29</v>
      </c>
      <c r="BH48" s="787" t="s">
        <v>57</v>
      </c>
      <c r="BI48" s="790" t="s">
        <v>30</v>
      </c>
      <c r="BJ48" s="84"/>
      <c r="BK48" s="84"/>
      <c r="BL48" s="84"/>
      <c r="BM48" s="84"/>
      <c r="BN48" s="84"/>
      <c r="BO48" s="84"/>
      <c r="BP48" s="774" t="s">
        <v>32</v>
      </c>
      <c r="BQ48" s="775"/>
      <c r="BR48" s="775"/>
      <c r="BS48" s="775"/>
      <c r="BT48" s="775"/>
      <c r="BU48" s="775"/>
      <c r="BV48" s="775"/>
      <c r="BW48" s="775"/>
      <c r="BX48" s="775"/>
      <c r="BY48" s="775"/>
      <c r="BZ48" s="775"/>
      <c r="CA48" s="775"/>
      <c r="CB48" s="775"/>
      <c r="CC48" s="775"/>
      <c r="CD48" s="775"/>
      <c r="CE48" s="775"/>
      <c r="CF48" s="775"/>
      <c r="CG48" s="775"/>
      <c r="CH48" s="775"/>
      <c r="CI48" s="775"/>
      <c r="CJ48" s="775"/>
      <c r="CK48" s="775"/>
      <c r="CL48" s="775"/>
      <c r="CM48" s="775"/>
      <c r="CN48" s="775"/>
      <c r="CO48" s="776"/>
      <c r="CP48" s="332"/>
      <c r="CQ48" s="332"/>
      <c r="CR48" s="332"/>
      <c r="CS48" s="332"/>
      <c r="CT48" s="17"/>
      <c r="CU48" s="347"/>
      <c r="CV48" s="357"/>
      <c r="CW48" s="17"/>
      <c r="CX48" s="17"/>
      <c r="CY48" s="17"/>
      <c r="CZ48" s="17"/>
      <c r="DA48" s="17"/>
      <c r="DB48" s="17"/>
      <c r="DC48" s="17"/>
      <c r="DD48" s="19"/>
      <c r="DE48" s="19"/>
    </row>
    <row r="49" spans="1:127" s="7" customFormat="1" ht="48.75" customHeight="1" x14ac:dyDescent="0.2">
      <c r="A49" s="814"/>
      <c r="B49" s="788"/>
      <c r="C49" s="788"/>
      <c r="D49" s="797" t="s">
        <v>18</v>
      </c>
      <c r="E49" s="795" t="s">
        <v>19</v>
      </c>
      <c r="F49" s="796"/>
      <c r="G49" s="796"/>
      <c r="H49" s="796"/>
      <c r="I49" s="796"/>
      <c r="J49" s="796"/>
      <c r="K49" s="796"/>
      <c r="L49" s="796"/>
      <c r="M49" s="796"/>
      <c r="N49" s="796"/>
      <c r="O49" s="796"/>
      <c r="P49" s="796"/>
      <c r="Q49" s="796"/>
      <c r="R49" s="788"/>
      <c r="S49" s="793" t="s">
        <v>18</v>
      </c>
      <c r="T49" s="795" t="s">
        <v>19</v>
      </c>
      <c r="U49" s="796"/>
      <c r="V49" s="796"/>
      <c r="W49" s="796"/>
      <c r="X49" s="796"/>
      <c r="Y49" s="796"/>
      <c r="Z49" s="796"/>
      <c r="AA49" s="796"/>
      <c r="AB49" s="796"/>
      <c r="AC49" s="796"/>
      <c r="AD49" s="796"/>
      <c r="AE49" s="799"/>
      <c r="AF49" s="797" t="s">
        <v>18</v>
      </c>
      <c r="AG49" s="795" t="s">
        <v>19</v>
      </c>
      <c r="AH49" s="796"/>
      <c r="AI49" s="796"/>
      <c r="AJ49" s="796"/>
      <c r="AK49" s="796"/>
      <c r="AL49" s="796"/>
      <c r="AM49" s="796"/>
      <c r="AN49" s="796"/>
      <c r="AO49" s="796"/>
      <c r="AP49" s="796"/>
      <c r="AQ49" s="796"/>
      <c r="AR49" s="796"/>
      <c r="AS49" s="799"/>
      <c r="AT49" s="803"/>
      <c r="AU49" s="804"/>
      <c r="AV49" s="804"/>
      <c r="AW49" s="804"/>
      <c r="AX49" s="804"/>
      <c r="AY49" s="804"/>
      <c r="AZ49" s="804"/>
      <c r="BA49" s="804"/>
      <c r="BB49" s="804"/>
      <c r="BC49" s="804"/>
      <c r="BD49" s="804"/>
      <c r="BE49" s="804"/>
      <c r="BF49" s="805"/>
      <c r="BG49" s="788"/>
      <c r="BH49" s="788"/>
      <c r="BI49" s="791"/>
      <c r="BJ49" s="84"/>
      <c r="BK49" s="17"/>
      <c r="BL49" s="569">
        <f>SUM(BL51/20)</f>
        <v>431375</v>
      </c>
      <c r="BM49" s="17"/>
      <c r="BN49" s="17"/>
      <c r="BO49" s="17"/>
      <c r="BP49" s="778" t="s">
        <v>230</v>
      </c>
      <c r="BQ49" s="779"/>
      <c r="BR49" s="779"/>
      <c r="BS49" s="779"/>
      <c r="BT49" s="779"/>
      <c r="BU49" s="779"/>
      <c r="BV49" s="779"/>
      <c r="BW49" s="779"/>
      <c r="BX49" s="779"/>
      <c r="BY49" s="779"/>
      <c r="BZ49" s="779"/>
      <c r="CA49" s="779"/>
      <c r="CB49" s="780"/>
      <c r="CC49" s="781" t="s">
        <v>231</v>
      </c>
      <c r="CD49" s="782"/>
      <c r="CE49" s="782"/>
      <c r="CF49" s="782"/>
      <c r="CG49" s="782"/>
      <c r="CH49" s="782"/>
      <c r="CI49" s="782"/>
      <c r="CJ49" s="782"/>
      <c r="CK49" s="782"/>
      <c r="CL49" s="782"/>
      <c r="CM49" s="782"/>
      <c r="CN49" s="782"/>
      <c r="CO49" s="783"/>
      <c r="CP49" s="332"/>
      <c r="CQ49" s="332"/>
      <c r="CR49" s="332"/>
      <c r="CS49" s="332"/>
      <c r="CT49" s="17"/>
      <c r="CU49" s="347"/>
      <c r="CV49" s="357"/>
      <c r="CW49" s="17"/>
      <c r="CX49" s="17"/>
      <c r="CY49" s="17"/>
      <c r="CZ49" s="17"/>
      <c r="DA49" s="17"/>
      <c r="DB49" s="17"/>
      <c r="DC49" s="17"/>
      <c r="DD49" s="19"/>
      <c r="DE49" s="19"/>
    </row>
    <row r="50" spans="1:127" s="5" customFormat="1" ht="28.5" customHeight="1" x14ac:dyDescent="0.2">
      <c r="A50" s="815"/>
      <c r="B50" s="789"/>
      <c r="C50" s="789"/>
      <c r="D50" s="798"/>
      <c r="E50" s="20">
        <v>1</v>
      </c>
      <c r="F50" s="20">
        <v>2</v>
      </c>
      <c r="G50" s="20">
        <v>3</v>
      </c>
      <c r="H50" s="20">
        <v>4</v>
      </c>
      <c r="I50" s="20">
        <v>5</v>
      </c>
      <c r="J50" s="20">
        <v>6</v>
      </c>
      <c r="K50" s="20">
        <v>7</v>
      </c>
      <c r="L50" s="20">
        <v>8</v>
      </c>
      <c r="M50" s="20">
        <v>9</v>
      </c>
      <c r="N50" s="20">
        <v>10</v>
      </c>
      <c r="O50" s="20">
        <v>11</v>
      </c>
      <c r="P50" s="20">
        <v>12</v>
      </c>
      <c r="Q50" s="20" t="s">
        <v>21</v>
      </c>
      <c r="R50" s="789"/>
      <c r="S50" s="794"/>
      <c r="T50" s="20">
        <v>1</v>
      </c>
      <c r="U50" s="20">
        <v>2</v>
      </c>
      <c r="V50" s="20">
        <v>3</v>
      </c>
      <c r="W50" s="20">
        <v>4</v>
      </c>
      <c r="X50" s="20">
        <v>5</v>
      </c>
      <c r="Y50" s="20">
        <v>6</v>
      </c>
      <c r="Z50" s="20">
        <v>7</v>
      </c>
      <c r="AA50" s="20">
        <v>8</v>
      </c>
      <c r="AB50" s="20">
        <v>9</v>
      </c>
      <c r="AC50" s="20">
        <v>10</v>
      </c>
      <c r="AD50" s="20">
        <v>11</v>
      </c>
      <c r="AE50" s="20">
        <v>12</v>
      </c>
      <c r="AF50" s="798"/>
      <c r="AG50" s="20">
        <v>1</v>
      </c>
      <c r="AH50" s="20">
        <v>2</v>
      </c>
      <c r="AI50" s="20">
        <v>3</v>
      </c>
      <c r="AJ50" s="20">
        <v>4</v>
      </c>
      <c r="AK50" s="20">
        <v>5</v>
      </c>
      <c r="AL50" s="20">
        <v>6</v>
      </c>
      <c r="AM50" s="20">
        <v>7</v>
      </c>
      <c r="AN50" s="20">
        <v>8</v>
      </c>
      <c r="AO50" s="20">
        <v>9</v>
      </c>
      <c r="AP50" s="20">
        <v>10</v>
      </c>
      <c r="AQ50" s="20">
        <v>11</v>
      </c>
      <c r="AR50" s="20">
        <v>12</v>
      </c>
      <c r="AS50" s="20" t="s">
        <v>13</v>
      </c>
      <c r="AT50" s="111">
        <v>1</v>
      </c>
      <c r="AU50" s="111">
        <v>2</v>
      </c>
      <c r="AV50" s="111">
        <v>3</v>
      </c>
      <c r="AW50" s="111">
        <v>4</v>
      </c>
      <c r="AX50" s="111">
        <v>5</v>
      </c>
      <c r="AY50" s="111">
        <v>6</v>
      </c>
      <c r="AZ50" s="111">
        <v>7</v>
      </c>
      <c r="BA50" s="111">
        <v>8</v>
      </c>
      <c r="BB50" s="111">
        <v>9</v>
      </c>
      <c r="BC50" s="111">
        <v>10</v>
      </c>
      <c r="BD50" s="111">
        <v>11</v>
      </c>
      <c r="BE50" s="111">
        <v>12</v>
      </c>
      <c r="BF50" s="20" t="s">
        <v>13</v>
      </c>
      <c r="BG50" s="789"/>
      <c r="BH50" s="789"/>
      <c r="BI50" s="792"/>
      <c r="BJ50" s="6"/>
      <c r="BK50" s="564"/>
      <c r="BL50" s="111">
        <v>3</v>
      </c>
      <c r="BM50" s="111"/>
      <c r="BN50" s="111"/>
      <c r="BO50" s="337"/>
      <c r="BP50" s="111">
        <v>1</v>
      </c>
      <c r="BQ50" s="111">
        <v>2</v>
      </c>
      <c r="BR50" s="111">
        <v>3</v>
      </c>
      <c r="BS50" s="111">
        <v>4</v>
      </c>
      <c r="BT50" s="111">
        <v>5</v>
      </c>
      <c r="BU50" s="111">
        <v>6</v>
      </c>
      <c r="BV50" s="111">
        <v>7</v>
      </c>
      <c r="BW50" s="111">
        <v>8</v>
      </c>
      <c r="BX50" s="111">
        <v>9</v>
      </c>
      <c r="BY50" s="111">
        <v>10</v>
      </c>
      <c r="BZ50" s="111">
        <v>11</v>
      </c>
      <c r="CA50" s="111">
        <v>12</v>
      </c>
      <c r="CB50" s="20" t="s">
        <v>13</v>
      </c>
      <c r="CC50" s="111">
        <v>1</v>
      </c>
      <c r="CD50" s="111">
        <v>2</v>
      </c>
      <c r="CE50" s="111">
        <v>3</v>
      </c>
      <c r="CF50" s="111">
        <v>4</v>
      </c>
      <c r="CG50" s="111">
        <v>5</v>
      </c>
      <c r="CH50" s="111">
        <v>6</v>
      </c>
      <c r="CI50" s="111">
        <v>7</v>
      </c>
      <c r="CJ50" s="111">
        <v>8</v>
      </c>
      <c r="CK50" s="111">
        <v>9</v>
      </c>
      <c r="CL50" s="111">
        <v>10</v>
      </c>
      <c r="CM50" s="111">
        <v>11</v>
      </c>
      <c r="CN50" s="111">
        <v>12</v>
      </c>
      <c r="CO50" s="20" t="s">
        <v>13</v>
      </c>
      <c r="CP50" s="333"/>
      <c r="CQ50" s="333"/>
      <c r="CR50" s="333"/>
      <c r="CS50" s="333"/>
      <c r="CT50" s="358"/>
      <c r="CU50" s="348"/>
      <c r="CV50" s="359"/>
      <c r="CW50" s="21"/>
      <c r="CX50" s="21"/>
      <c r="CY50" s="21"/>
      <c r="CZ50" s="21"/>
      <c r="DA50" s="21"/>
      <c r="DB50" s="21"/>
      <c r="DC50" s="21"/>
      <c r="DD50" s="21"/>
      <c r="DE50" s="21"/>
    </row>
    <row r="51" spans="1:127" s="70" customFormat="1" ht="24.75" customHeight="1" x14ac:dyDescent="0.2">
      <c r="A51" s="64">
        <v>1</v>
      </c>
      <c r="B51" s="126" t="s">
        <v>176</v>
      </c>
      <c r="C51" s="65" t="s">
        <v>62</v>
      </c>
      <c r="D51" s="486">
        <v>353</v>
      </c>
      <c r="E51" s="428">
        <v>200</v>
      </c>
      <c r="F51" s="724">
        <v>145</v>
      </c>
      <c r="G51" s="67"/>
      <c r="H51" s="67"/>
      <c r="I51" s="67"/>
      <c r="J51" s="67"/>
      <c r="K51" s="67"/>
      <c r="L51" s="429"/>
      <c r="M51" s="67"/>
      <c r="N51" s="67"/>
      <c r="O51" s="67"/>
      <c r="P51" s="67"/>
      <c r="Q51" s="68">
        <f t="shared" ref="Q51" si="216">SUM(E51:P51)</f>
        <v>345</v>
      </c>
      <c r="R51" s="375" t="s">
        <v>179</v>
      </c>
      <c r="S51" s="374">
        <v>74100</v>
      </c>
      <c r="T51" s="435">
        <v>68000</v>
      </c>
      <c r="U51" s="726">
        <v>68000</v>
      </c>
      <c r="V51" s="322"/>
      <c r="W51" s="376"/>
      <c r="X51" s="322"/>
      <c r="Y51" s="322"/>
      <c r="Z51" s="322"/>
      <c r="AA51" s="436"/>
      <c r="AB51" s="322"/>
      <c r="AC51" s="322"/>
      <c r="AD51" s="322"/>
      <c r="AE51" s="322"/>
      <c r="AF51" s="51">
        <f>Q51*S51</f>
        <v>25564500</v>
      </c>
      <c r="AG51" s="570">
        <f t="shared" ref="AG51" si="217">T51*E51</f>
        <v>13600000</v>
      </c>
      <c r="AH51" s="729">
        <f t="shared" ref="AH51" si="218">U51*F51</f>
        <v>9860000</v>
      </c>
      <c r="AI51" s="323">
        <f t="shared" ref="AI51" si="219">V51*G51</f>
        <v>0</v>
      </c>
      <c r="AJ51" s="323">
        <f t="shared" ref="AJ51" si="220">W51*H51</f>
        <v>0</v>
      </c>
      <c r="AK51" s="323">
        <f t="shared" ref="AK51" si="221">X51*I51</f>
        <v>0</v>
      </c>
      <c r="AL51" s="323">
        <f t="shared" ref="AL51" si="222">Y51*J51</f>
        <v>0</v>
      </c>
      <c r="AM51" s="323">
        <f t="shared" ref="AM51" si="223">Z51*K51</f>
        <v>0</v>
      </c>
      <c r="AN51" s="323">
        <f t="shared" ref="AN51" si="224">AA51*L51</f>
        <v>0</v>
      </c>
      <c r="AO51" s="323">
        <f t="shared" ref="AO51" si="225">AB51*M51</f>
        <v>0</v>
      </c>
      <c r="AP51" s="323">
        <f t="shared" ref="AP51" si="226">AC51*N51</f>
        <v>0</v>
      </c>
      <c r="AQ51" s="323">
        <f t="shared" ref="AQ51" si="227">AD51*O51</f>
        <v>0</v>
      </c>
      <c r="AR51" s="323">
        <f t="shared" ref="AR51" si="228">AE51*P51</f>
        <v>0</v>
      </c>
      <c r="AS51" s="324">
        <f t="shared" ref="AS51" si="229">SUM(AG51:AR51)</f>
        <v>23460000</v>
      </c>
      <c r="AT51" s="323">
        <f>SUM(AG51*12.5%)</f>
        <v>1700000</v>
      </c>
      <c r="AU51" s="323">
        <f>SUM(AH51*12.5%)</f>
        <v>1232500</v>
      </c>
      <c r="AV51" s="323">
        <f t="shared" ref="AV51:BE51" si="230">SUM(AI51*12.5%)</f>
        <v>0</v>
      </c>
      <c r="AW51" s="323">
        <f t="shared" si="230"/>
        <v>0</v>
      </c>
      <c r="AX51" s="323">
        <f t="shared" si="230"/>
        <v>0</v>
      </c>
      <c r="AY51" s="323">
        <f t="shared" si="230"/>
        <v>0</v>
      </c>
      <c r="AZ51" s="323">
        <f t="shared" si="230"/>
        <v>0</v>
      </c>
      <c r="BA51" s="323">
        <f t="shared" si="230"/>
        <v>0</v>
      </c>
      <c r="BB51" s="323">
        <f t="shared" si="230"/>
        <v>0</v>
      </c>
      <c r="BC51" s="323">
        <f t="shared" si="230"/>
        <v>0</v>
      </c>
      <c r="BD51" s="323">
        <f t="shared" si="230"/>
        <v>0</v>
      </c>
      <c r="BE51" s="323">
        <f t="shared" si="230"/>
        <v>0</v>
      </c>
      <c r="BF51" s="55">
        <f t="shared" ref="BF51" si="231">SUM(AT51:BE51)</f>
        <v>2932500</v>
      </c>
      <c r="BG51" s="72">
        <f>AF51-AS51</f>
        <v>2104500</v>
      </c>
      <c r="BH51" s="719">
        <f>S51*D51</f>
        <v>26157300</v>
      </c>
      <c r="BI51" s="74">
        <f>BH51-AS51</f>
        <v>2697300</v>
      </c>
      <c r="BJ51" s="99">
        <f t="shared" ref="BJ51" si="232">SUM(Q51/D51)</f>
        <v>0.97733711048158645</v>
      </c>
      <c r="BK51" s="565"/>
      <c r="BL51" s="323">
        <f>AH51-AU51</f>
        <v>8627500</v>
      </c>
      <c r="BM51" s="323">
        <f>145*59000</f>
        <v>8555000</v>
      </c>
      <c r="BN51" s="323">
        <f>BL51-BM51</f>
        <v>72500</v>
      </c>
      <c r="BO51" s="561"/>
      <c r="BP51" s="323">
        <f>SUM(AG51*12.5%)</f>
        <v>1700000</v>
      </c>
      <c r="BQ51" s="323"/>
      <c r="BR51" s="323"/>
      <c r="BS51" s="323">
        <f t="shared" ref="BS51:CA56" si="233">SUM(BB51*14%)</f>
        <v>0</v>
      </c>
      <c r="BT51" s="323">
        <f t="shared" si="233"/>
        <v>0</v>
      </c>
      <c r="BU51" s="323">
        <f t="shared" si="233"/>
        <v>0</v>
      </c>
      <c r="BV51" s="323">
        <f t="shared" si="233"/>
        <v>0</v>
      </c>
      <c r="BW51" s="323">
        <f t="shared" si="233"/>
        <v>410550.00000000006</v>
      </c>
      <c r="BX51" s="323">
        <f t="shared" si="233"/>
        <v>294630</v>
      </c>
      <c r="BY51" s="323">
        <f t="shared" si="233"/>
        <v>3662022.0000000005</v>
      </c>
      <c r="BZ51" s="323">
        <f t="shared" si="233"/>
        <v>377622.00000000006</v>
      </c>
      <c r="CA51" s="323">
        <f t="shared" si="233"/>
        <v>0.13682719546742211</v>
      </c>
      <c r="CB51" s="55">
        <f t="shared" ref="CB51:CB60" si="234">SUM(BP51:CA51)</f>
        <v>6444824.1368271951</v>
      </c>
      <c r="CC51" s="323">
        <f t="shared" ref="CC51:CN56" si="235">SUM(BQ51*14%)</f>
        <v>0</v>
      </c>
      <c r="CD51" s="323">
        <f t="shared" si="235"/>
        <v>0</v>
      </c>
      <c r="CE51" s="323">
        <f t="shared" si="235"/>
        <v>0</v>
      </c>
      <c r="CF51" s="323">
        <f t="shared" si="235"/>
        <v>0</v>
      </c>
      <c r="CG51" s="323">
        <f t="shared" si="235"/>
        <v>0</v>
      </c>
      <c r="CH51" s="323">
        <f t="shared" si="235"/>
        <v>0</v>
      </c>
      <c r="CI51" s="323">
        <f t="shared" si="235"/>
        <v>57477.000000000015</v>
      </c>
      <c r="CJ51" s="323">
        <f t="shared" si="235"/>
        <v>41248.200000000004</v>
      </c>
      <c r="CK51" s="323">
        <f t="shared" si="235"/>
        <v>512683.08000000013</v>
      </c>
      <c r="CL51" s="323">
        <f t="shared" si="235"/>
        <v>52867.080000000016</v>
      </c>
      <c r="CM51" s="323">
        <f t="shared" si="235"/>
        <v>1.9155807365439096E-2</v>
      </c>
      <c r="CN51" s="323">
        <f t="shared" si="235"/>
        <v>902275.37915580743</v>
      </c>
      <c r="CO51" s="55">
        <f t="shared" ref="CO51:CO60" si="236">SUM(CC51:CN51)</f>
        <v>1566550.7583116149</v>
      </c>
      <c r="CP51" s="334"/>
      <c r="CQ51" s="334"/>
      <c r="CR51" s="334"/>
      <c r="CS51" s="334"/>
      <c r="CT51" s="360"/>
      <c r="CU51" s="349"/>
      <c r="CV51" s="361"/>
      <c r="CW51" s="69"/>
      <c r="CX51" s="69"/>
      <c r="CY51" s="69"/>
      <c r="CZ51" s="69"/>
      <c r="DA51" s="69"/>
      <c r="DB51" s="69"/>
      <c r="DC51" s="69"/>
      <c r="DD51" s="69"/>
      <c r="DE51" s="69"/>
    </row>
    <row r="52" spans="1:127" s="70" customFormat="1" ht="24.75" customHeight="1" x14ac:dyDescent="0.2">
      <c r="A52" s="64">
        <f>A51+1</f>
        <v>2</v>
      </c>
      <c r="B52" s="126" t="s">
        <v>177</v>
      </c>
      <c r="C52" s="65" t="s">
        <v>62</v>
      </c>
      <c r="D52" s="486">
        <v>93</v>
      </c>
      <c r="E52" s="428">
        <v>20</v>
      </c>
      <c r="F52" s="724">
        <v>72</v>
      </c>
      <c r="G52" s="67"/>
      <c r="H52" s="336"/>
      <c r="I52" s="67"/>
      <c r="J52" s="67"/>
      <c r="K52" s="67"/>
      <c r="L52" s="429"/>
      <c r="M52" s="67"/>
      <c r="N52" s="67"/>
      <c r="O52" s="67"/>
      <c r="P52" s="67"/>
      <c r="Q52" s="68">
        <f t="shared" ref="Q52:Q59" si="237">SUM(E52:P52)</f>
        <v>92</v>
      </c>
      <c r="R52" s="375" t="s">
        <v>69</v>
      </c>
      <c r="S52" s="374">
        <v>199500</v>
      </c>
      <c r="T52" s="434">
        <v>190000</v>
      </c>
      <c r="U52" s="727">
        <v>190000</v>
      </c>
      <c r="V52" s="321"/>
      <c r="W52" s="322"/>
      <c r="X52" s="322"/>
      <c r="Y52" s="321"/>
      <c r="Z52" s="322"/>
      <c r="AA52" s="432"/>
      <c r="AB52" s="322"/>
      <c r="AC52" s="322"/>
      <c r="AD52" s="322"/>
      <c r="AE52" s="322"/>
      <c r="AF52" s="51">
        <f t="shared" ref="AF52:AF60" si="238">Q52*S52</f>
        <v>18354000</v>
      </c>
      <c r="AG52" s="570">
        <f t="shared" ref="AG52:AG59" si="239">T52*E52</f>
        <v>3800000</v>
      </c>
      <c r="AH52" s="729">
        <f t="shared" ref="AH52:AH59" si="240">U52*F52</f>
        <v>13680000</v>
      </c>
      <c r="AI52" s="323">
        <f t="shared" ref="AI52:AI59" si="241">V52*G52</f>
        <v>0</v>
      </c>
      <c r="AJ52" s="323">
        <f t="shared" ref="AJ52:AJ59" si="242">W52*H52</f>
        <v>0</v>
      </c>
      <c r="AK52" s="323">
        <f t="shared" ref="AK52:AK59" si="243">X52*I52</f>
        <v>0</v>
      </c>
      <c r="AL52" s="323">
        <f t="shared" ref="AL52:AL59" si="244">Y52*J52</f>
        <v>0</v>
      </c>
      <c r="AM52" s="323">
        <f t="shared" ref="AM52:AM59" si="245">Z52*K52</f>
        <v>0</v>
      </c>
      <c r="AN52" s="323">
        <f t="shared" ref="AN52:AN59" si="246">AA52*L52</f>
        <v>0</v>
      </c>
      <c r="AO52" s="323">
        <f t="shared" ref="AO52:AO59" si="247">AB52*M52</f>
        <v>0</v>
      </c>
      <c r="AP52" s="323">
        <f t="shared" ref="AP52:AP59" si="248">AC52*N52</f>
        <v>0</v>
      </c>
      <c r="AQ52" s="323">
        <f t="shared" ref="AQ52:AQ59" si="249">AD52*O52</f>
        <v>0</v>
      </c>
      <c r="AR52" s="323">
        <f t="shared" ref="AR52:AR59" si="250">AE52*P52</f>
        <v>0</v>
      </c>
      <c r="AS52" s="324">
        <f t="shared" ref="AS52:AS58" si="251">SUM(AG52:AR52)</f>
        <v>17480000</v>
      </c>
      <c r="AT52" s="323">
        <f t="shared" ref="AT52:AT53" si="252">SUM(AG52*12.5%)</f>
        <v>475000</v>
      </c>
      <c r="AU52" s="323">
        <f t="shared" ref="AU52:AU53" si="253">SUM(AH52*12.5%)</f>
        <v>1710000</v>
      </c>
      <c r="AV52" s="323">
        <f t="shared" ref="AV52:AV60" si="254">SUM(AI52*12.5%)</f>
        <v>0</v>
      </c>
      <c r="AW52" s="323">
        <f t="shared" ref="AW52:AW60" si="255">SUM(AJ52*12.5%)</f>
        <v>0</v>
      </c>
      <c r="AX52" s="323">
        <f t="shared" ref="AX52:AX60" si="256">SUM(AK52*12.5%)</f>
        <v>0</v>
      </c>
      <c r="AY52" s="323">
        <f t="shared" ref="AY52:AY60" si="257">SUM(AL52*12.5%)</f>
        <v>0</v>
      </c>
      <c r="AZ52" s="323">
        <f t="shared" ref="AZ52:AZ60" si="258">SUM(AM52*12.5%)</f>
        <v>0</v>
      </c>
      <c r="BA52" s="323">
        <f t="shared" ref="BA52:BA60" si="259">SUM(AN52*12.5%)</f>
        <v>0</v>
      </c>
      <c r="BB52" s="323">
        <f t="shared" ref="BB52:BB60" si="260">SUM(AO52*12.5%)</f>
        <v>0</v>
      </c>
      <c r="BC52" s="323">
        <f t="shared" ref="BC52:BC60" si="261">SUM(AP52*12.5%)</f>
        <v>0</v>
      </c>
      <c r="BD52" s="323">
        <f t="shared" ref="BD52:BD60" si="262">SUM(AQ52*12.5%)</f>
        <v>0</v>
      </c>
      <c r="BE52" s="323">
        <f t="shared" ref="BE52:BE60" si="263">SUM(AR52*12.5%)</f>
        <v>0</v>
      </c>
      <c r="BF52" s="55">
        <f t="shared" ref="BF52" si="264">SUM(AT52:BE52)</f>
        <v>2185000</v>
      </c>
      <c r="BG52" s="72">
        <f>AF52-AS52</f>
        <v>874000</v>
      </c>
      <c r="BH52" s="73">
        <f t="shared" ref="BH52:BH59" si="265">S52*D52</f>
        <v>18553500</v>
      </c>
      <c r="BI52" s="74">
        <f>BH52-AS52</f>
        <v>1073500</v>
      </c>
      <c r="BJ52" s="99">
        <f t="shared" ref="BJ52:BJ59" si="266">SUM(Q52/D52)</f>
        <v>0.989247311827957</v>
      </c>
      <c r="BK52" s="565"/>
      <c r="BL52" s="323">
        <f t="shared" ref="BL52:BL60" si="267">AH52-AU52</f>
        <v>11970000</v>
      </c>
      <c r="BM52" s="323">
        <f>72*165000</f>
        <v>11880000</v>
      </c>
      <c r="BN52" s="323">
        <f>BL52-BM52</f>
        <v>90000</v>
      </c>
      <c r="BO52" s="561"/>
      <c r="BP52" s="323"/>
      <c r="BQ52" s="323"/>
      <c r="BR52" s="323"/>
      <c r="BS52" s="323">
        <f t="shared" si="233"/>
        <v>0</v>
      </c>
      <c r="BT52" s="323">
        <f t="shared" si="233"/>
        <v>0</v>
      </c>
      <c r="BU52" s="323">
        <f t="shared" si="233"/>
        <v>0</v>
      </c>
      <c r="BV52" s="323">
        <f t="shared" si="233"/>
        <v>0</v>
      </c>
      <c r="BW52" s="323">
        <f t="shared" si="233"/>
        <v>305900</v>
      </c>
      <c r="BX52" s="323">
        <f t="shared" si="233"/>
        <v>122360.00000000001</v>
      </c>
      <c r="BY52" s="323">
        <f t="shared" si="233"/>
        <v>2597490.0000000005</v>
      </c>
      <c r="BZ52" s="323">
        <f t="shared" si="233"/>
        <v>150290</v>
      </c>
      <c r="CA52" s="323">
        <f t="shared" si="233"/>
        <v>0.138494623655914</v>
      </c>
      <c r="CB52" s="55">
        <f t="shared" si="234"/>
        <v>3176040.1384946243</v>
      </c>
      <c r="CC52" s="323">
        <f t="shared" si="235"/>
        <v>0</v>
      </c>
      <c r="CD52" s="323">
        <f t="shared" si="235"/>
        <v>0</v>
      </c>
      <c r="CE52" s="323">
        <f t="shared" si="235"/>
        <v>0</v>
      </c>
      <c r="CF52" s="323">
        <f t="shared" si="235"/>
        <v>0</v>
      </c>
      <c r="CG52" s="323">
        <f t="shared" si="235"/>
        <v>0</v>
      </c>
      <c r="CH52" s="323">
        <f t="shared" si="235"/>
        <v>0</v>
      </c>
      <c r="CI52" s="323">
        <f t="shared" si="235"/>
        <v>42826.000000000007</v>
      </c>
      <c r="CJ52" s="323">
        <f t="shared" si="235"/>
        <v>17130.400000000005</v>
      </c>
      <c r="CK52" s="323">
        <f t="shared" si="235"/>
        <v>363648.60000000009</v>
      </c>
      <c r="CL52" s="323">
        <f t="shared" si="235"/>
        <v>21040.600000000002</v>
      </c>
      <c r="CM52" s="323">
        <f t="shared" si="235"/>
        <v>1.9389247311827961E-2</v>
      </c>
      <c r="CN52" s="323">
        <f t="shared" si="235"/>
        <v>444645.61938924744</v>
      </c>
      <c r="CO52" s="55">
        <f t="shared" si="236"/>
        <v>889291.23877849476</v>
      </c>
      <c r="CP52" s="334"/>
      <c r="CQ52" s="334"/>
      <c r="CR52" s="334"/>
      <c r="CS52" s="334"/>
      <c r="CT52" s="360"/>
      <c r="CU52" s="349"/>
      <c r="CV52" s="361"/>
      <c r="CW52" s="69"/>
      <c r="CX52" s="69"/>
      <c r="CY52" s="69"/>
      <c r="CZ52" s="69"/>
      <c r="DA52" s="69"/>
      <c r="DB52" s="69"/>
      <c r="DC52" s="69"/>
      <c r="DD52" s="69"/>
      <c r="DE52" s="69"/>
    </row>
    <row r="53" spans="1:127" s="70" customFormat="1" ht="24.75" customHeight="1" x14ac:dyDescent="0.2">
      <c r="A53" s="64">
        <f t="shared" ref="A53:A59" si="268">A52+1</f>
        <v>3</v>
      </c>
      <c r="B53" s="126" t="s">
        <v>151</v>
      </c>
      <c r="C53" s="65" t="s">
        <v>62</v>
      </c>
      <c r="D53" s="486">
        <v>45</v>
      </c>
      <c r="E53" s="428">
        <v>32</v>
      </c>
      <c r="F53" s="724">
        <v>12</v>
      </c>
      <c r="G53" s="67"/>
      <c r="H53" s="336"/>
      <c r="I53" s="67"/>
      <c r="J53" s="67"/>
      <c r="K53" s="67"/>
      <c r="L53" s="429"/>
      <c r="M53" s="67"/>
      <c r="N53" s="67"/>
      <c r="O53" s="67"/>
      <c r="P53" s="67"/>
      <c r="Q53" s="68">
        <f t="shared" ref="Q53" si="269">SUM(E53:P53)</f>
        <v>44</v>
      </c>
      <c r="R53" s="375" t="s">
        <v>85</v>
      </c>
      <c r="S53" s="374">
        <v>228000</v>
      </c>
      <c r="T53" s="432">
        <v>195000</v>
      </c>
      <c r="U53" s="727">
        <v>195000</v>
      </c>
      <c r="V53" s="321"/>
      <c r="W53" s="322"/>
      <c r="X53" s="322"/>
      <c r="Y53" s="321"/>
      <c r="Z53" s="322"/>
      <c r="AA53" s="432"/>
      <c r="AB53" s="322"/>
      <c r="AC53" s="322"/>
      <c r="AD53" s="322"/>
      <c r="AE53" s="322"/>
      <c r="AF53" s="51">
        <f t="shared" si="238"/>
        <v>10032000</v>
      </c>
      <c r="AG53" s="570">
        <f t="shared" ref="AG53:AG57" si="270">T53*E53</f>
        <v>6240000</v>
      </c>
      <c r="AH53" s="729">
        <f t="shared" ref="AH53" si="271">U53*F53</f>
        <v>2340000</v>
      </c>
      <c r="AI53" s="323">
        <f t="shared" ref="AI53" si="272">V53*G53</f>
        <v>0</v>
      </c>
      <c r="AJ53" s="323">
        <f t="shared" ref="AJ53" si="273">W53*H53</f>
        <v>0</v>
      </c>
      <c r="AK53" s="323">
        <f t="shared" ref="AK53" si="274">X53*I53</f>
        <v>0</v>
      </c>
      <c r="AL53" s="323">
        <f t="shared" ref="AL53" si="275">Y53*J53</f>
        <v>0</v>
      </c>
      <c r="AM53" s="323">
        <f t="shared" ref="AM53" si="276">Z53*K53</f>
        <v>0</v>
      </c>
      <c r="AN53" s="323">
        <f t="shared" ref="AN53" si="277">AA53*L53</f>
        <v>0</v>
      </c>
      <c r="AO53" s="323">
        <f t="shared" ref="AO53" si="278">AB53*M53</f>
        <v>0</v>
      </c>
      <c r="AP53" s="323">
        <f t="shared" ref="AP53" si="279">AC53*N53</f>
        <v>0</v>
      </c>
      <c r="AQ53" s="323">
        <f t="shared" ref="AQ53" si="280">AD53*O53</f>
        <v>0</v>
      </c>
      <c r="AR53" s="323">
        <f t="shared" ref="AR53" si="281">AE53*P53</f>
        <v>0</v>
      </c>
      <c r="AS53" s="324">
        <f t="shared" ref="AS53" si="282">SUM(AG53:AR53)</f>
        <v>8580000</v>
      </c>
      <c r="AT53" s="323">
        <f t="shared" si="252"/>
        <v>780000</v>
      </c>
      <c r="AU53" s="323">
        <f t="shared" si="253"/>
        <v>292500</v>
      </c>
      <c r="AV53" s="323">
        <f t="shared" si="254"/>
        <v>0</v>
      </c>
      <c r="AW53" s="323">
        <f t="shared" si="255"/>
        <v>0</v>
      </c>
      <c r="AX53" s="323">
        <f t="shared" si="256"/>
        <v>0</v>
      </c>
      <c r="AY53" s="323">
        <f t="shared" si="257"/>
        <v>0</v>
      </c>
      <c r="AZ53" s="323">
        <f t="shared" si="258"/>
        <v>0</v>
      </c>
      <c r="BA53" s="323">
        <f t="shared" si="259"/>
        <v>0</v>
      </c>
      <c r="BB53" s="323">
        <f t="shared" si="260"/>
        <v>0</v>
      </c>
      <c r="BC53" s="323">
        <f t="shared" si="261"/>
        <v>0</v>
      </c>
      <c r="BD53" s="323">
        <f t="shared" si="262"/>
        <v>0</v>
      </c>
      <c r="BE53" s="323">
        <f t="shared" si="263"/>
        <v>0</v>
      </c>
      <c r="BF53" s="55">
        <f t="shared" ref="BF53" si="283">SUM(AT53:BE53)</f>
        <v>1072500</v>
      </c>
      <c r="BG53" s="72">
        <f>AF53-AS53</f>
        <v>1452000</v>
      </c>
      <c r="BH53" s="73">
        <f t="shared" ref="BH53" si="284">S53*D53</f>
        <v>10260000</v>
      </c>
      <c r="BI53" s="74">
        <f t="shared" ref="BI53:BI60" si="285">BH53-AS53</f>
        <v>1680000</v>
      </c>
      <c r="BJ53" s="99">
        <f t="shared" ref="BJ53" si="286">SUM(Q53/D53)</f>
        <v>0.97777777777777775</v>
      </c>
      <c r="BK53" s="565"/>
      <c r="BL53" s="323">
        <f t="shared" si="267"/>
        <v>2047500</v>
      </c>
      <c r="BM53" s="323">
        <f>12*160000</f>
        <v>1920000</v>
      </c>
      <c r="BN53" s="323">
        <f>BL53-BM53</f>
        <v>127500</v>
      </c>
      <c r="BO53" s="561">
        <f>BM51+BM52+BM53</f>
        <v>22355000</v>
      </c>
      <c r="BP53" s="323">
        <f t="shared" ref="BP53:BR55" si="287">SUM(AY53*14%)</f>
        <v>0</v>
      </c>
      <c r="BQ53" s="323">
        <f t="shared" si="287"/>
        <v>0</v>
      </c>
      <c r="BR53" s="323">
        <f t="shared" si="287"/>
        <v>0</v>
      </c>
      <c r="BS53" s="323">
        <f t="shared" si="233"/>
        <v>0</v>
      </c>
      <c r="BT53" s="323">
        <f t="shared" si="233"/>
        <v>0</v>
      </c>
      <c r="BU53" s="323">
        <f t="shared" si="233"/>
        <v>0</v>
      </c>
      <c r="BV53" s="323">
        <f t="shared" si="233"/>
        <v>0</v>
      </c>
      <c r="BW53" s="323">
        <f t="shared" si="233"/>
        <v>150150</v>
      </c>
      <c r="BX53" s="323">
        <f t="shared" si="233"/>
        <v>203280.00000000003</v>
      </c>
      <c r="BY53" s="323">
        <f t="shared" si="233"/>
        <v>1436400.0000000002</v>
      </c>
      <c r="BZ53" s="323">
        <f t="shared" si="233"/>
        <v>235200.00000000003</v>
      </c>
      <c r="CA53" s="323">
        <f t="shared" si="233"/>
        <v>0.13688888888888889</v>
      </c>
      <c r="CB53" s="55">
        <f t="shared" si="234"/>
        <v>2025030.1368888891</v>
      </c>
      <c r="CC53" s="323">
        <f t="shared" si="235"/>
        <v>0</v>
      </c>
      <c r="CD53" s="323">
        <f t="shared" si="235"/>
        <v>0</v>
      </c>
      <c r="CE53" s="323">
        <f t="shared" si="235"/>
        <v>0</v>
      </c>
      <c r="CF53" s="323">
        <f t="shared" si="235"/>
        <v>0</v>
      </c>
      <c r="CG53" s="323">
        <f t="shared" si="235"/>
        <v>0</v>
      </c>
      <c r="CH53" s="323">
        <f t="shared" si="235"/>
        <v>0</v>
      </c>
      <c r="CI53" s="323">
        <f t="shared" si="235"/>
        <v>21021.000000000004</v>
      </c>
      <c r="CJ53" s="323">
        <f t="shared" si="235"/>
        <v>28459.200000000008</v>
      </c>
      <c r="CK53" s="323">
        <f t="shared" si="235"/>
        <v>201096.00000000006</v>
      </c>
      <c r="CL53" s="323">
        <f t="shared" si="235"/>
        <v>32928.000000000007</v>
      </c>
      <c r="CM53" s="323">
        <f t="shared" si="235"/>
        <v>1.9164444444444446E-2</v>
      </c>
      <c r="CN53" s="323">
        <f t="shared" si="235"/>
        <v>283504.21916444448</v>
      </c>
      <c r="CO53" s="55">
        <f t="shared" si="236"/>
        <v>567008.43832888897</v>
      </c>
      <c r="CP53" s="334"/>
      <c r="CQ53" s="334"/>
      <c r="CR53" s="334"/>
      <c r="CS53" s="334"/>
      <c r="CT53" s="360"/>
      <c r="CU53" s="349"/>
      <c r="CV53" s="361"/>
      <c r="CW53" s="69"/>
      <c r="CX53" s="69"/>
      <c r="CY53" s="69"/>
      <c r="CZ53" s="69"/>
      <c r="DA53" s="69"/>
      <c r="DB53" s="69"/>
      <c r="DC53" s="69"/>
      <c r="DD53" s="69"/>
      <c r="DE53" s="69"/>
    </row>
    <row r="54" spans="1:127" s="70" customFormat="1" ht="24.75" customHeight="1" x14ac:dyDescent="0.2">
      <c r="A54" s="64"/>
      <c r="B54" s="126"/>
      <c r="C54" s="65"/>
      <c r="D54" s="486"/>
      <c r="E54" s="428"/>
      <c r="F54" s="724"/>
      <c r="G54" s="67"/>
      <c r="H54" s="336"/>
      <c r="I54" s="67"/>
      <c r="J54" s="67"/>
      <c r="K54" s="67"/>
      <c r="L54" s="429"/>
      <c r="M54" s="67"/>
      <c r="N54" s="67"/>
      <c r="O54" s="67"/>
      <c r="P54" s="67"/>
      <c r="Q54" s="68"/>
      <c r="R54" s="375"/>
      <c r="S54" s="374"/>
      <c r="T54" s="432"/>
      <c r="U54" s="727"/>
      <c r="V54" s="321"/>
      <c r="W54" s="322"/>
      <c r="X54" s="322"/>
      <c r="Y54" s="321"/>
      <c r="Z54" s="322"/>
      <c r="AA54" s="432"/>
      <c r="AB54" s="322"/>
      <c r="AC54" s="322"/>
      <c r="AD54" s="322"/>
      <c r="AE54" s="322"/>
      <c r="AF54" s="51"/>
      <c r="AG54" s="570">
        <f t="shared" si="270"/>
        <v>0</v>
      </c>
      <c r="AH54" s="729"/>
      <c r="AI54" s="323"/>
      <c r="AJ54" s="323"/>
      <c r="AK54" s="323"/>
      <c r="AL54" s="323"/>
      <c r="AM54" s="323"/>
      <c r="AN54" s="323"/>
      <c r="AO54" s="323"/>
      <c r="AP54" s="323"/>
      <c r="AQ54" s="323"/>
      <c r="AR54" s="323"/>
      <c r="AS54" s="324"/>
      <c r="AT54" s="323"/>
      <c r="AU54" s="323"/>
      <c r="AV54" s="323"/>
      <c r="AW54" s="323"/>
      <c r="AX54" s="323"/>
      <c r="AY54" s="323"/>
      <c r="AZ54" s="323"/>
      <c r="BA54" s="323"/>
      <c r="BB54" s="323"/>
      <c r="BC54" s="323"/>
      <c r="BD54" s="323"/>
      <c r="BE54" s="323"/>
      <c r="BF54" s="55"/>
      <c r="BG54" s="72"/>
      <c r="BH54" s="73"/>
      <c r="BI54" s="74"/>
      <c r="BJ54" s="99"/>
      <c r="BK54" s="565"/>
      <c r="BL54" s="323">
        <f t="shared" si="267"/>
        <v>0</v>
      </c>
      <c r="BM54" s="323"/>
      <c r="BN54" s="323"/>
      <c r="BO54" s="561"/>
      <c r="BP54" s="323"/>
      <c r="BQ54" s="323"/>
      <c r="BR54" s="323"/>
      <c r="BS54" s="323"/>
      <c r="BT54" s="323"/>
      <c r="BU54" s="323"/>
      <c r="BV54" s="323"/>
      <c r="BW54" s="323"/>
      <c r="BX54" s="323"/>
      <c r="BY54" s="323"/>
      <c r="BZ54" s="323"/>
      <c r="CA54" s="323"/>
      <c r="CB54" s="55"/>
      <c r="CC54" s="323"/>
      <c r="CD54" s="323"/>
      <c r="CE54" s="323"/>
      <c r="CF54" s="323"/>
      <c r="CG54" s="323"/>
      <c r="CH54" s="323"/>
      <c r="CI54" s="323"/>
      <c r="CJ54" s="323"/>
      <c r="CK54" s="323"/>
      <c r="CL54" s="323"/>
      <c r="CM54" s="323"/>
      <c r="CN54" s="323"/>
      <c r="CO54" s="55"/>
      <c r="CP54" s="334"/>
      <c r="CQ54" s="334"/>
      <c r="CR54" s="334"/>
      <c r="CS54" s="334"/>
      <c r="CT54" s="360"/>
      <c r="CU54" s="349"/>
      <c r="CV54" s="361"/>
      <c r="CW54" s="69"/>
      <c r="CX54" s="69"/>
      <c r="CY54" s="69"/>
      <c r="CZ54" s="69"/>
      <c r="DA54" s="69"/>
      <c r="DB54" s="69"/>
      <c r="DC54" s="69"/>
      <c r="DD54" s="69"/>
      <c r="DE54" s="69"/>
    </row>
    <row r="55" spans="1:127" s="70" customFormat="1" ht="24.75" customHeight="1" x14ac:dyDescent="0.2">
      <c r="A55" s="64">
        <f t="shared" si="268"/>
        <v>1</v>
      </c>
      <c r="B55" s="126" t="s">
        <v>12</v>
      </c>
      <c r="C55" s="65" t="s">
        <v>62</v>
      </c>
      <c r="D55" s="486">
        <v>1</v>
      </c>
      <c r="E55" s="428"/>
      <c r="F55" s="724">
        <v>1</v>
      </c>
      <c r="G55" s="67"/>
      <c r="H55" s="336"/>
      <c r="I55" s="67"/>
      <c r="J55" s="67"/>
      <c r="K55" s="67"/>
      <c r="L55" s="429"/>
      <c r="M55" s="67"/>
      <c r="N55" s="67"/>
      <c r="O55" s="67"/>
      <c r="P55" s="67"/>
      <c r="Q55" s="68">
        <f t="shared" ref="Q55:Q56" si="288">SUM(E55:P55)</f>
        <v>1</v>
      </c>
      <c r="R55" s="375" t="s">
        <v>25</v>
      </c>
      <c r="S55" s="374">
        <v>550000</v>
      </c>
      <c r="T55" s="432"/>
      <c r="U55" s="727">
        <v>450000</v>
      </c>
      <c r="V55" s="321"/>
      <c r="W55" s="322"/>
      <c r="X55" s="322"/>
      <c r="Y55" s="321"/>
      <c r="Z55" s="322"/>
      <c r="AA55" s="432"/>
      <c r="AB55" s="322"/>
      <c r="AC55" s="322"/>
      <c r="AD55" s="322"/>
      <c r="AE55" s="322"/>
      <c r="AF55" s="51">
        <f t="shared" si="238"/>
        <v>550000</v>
      </c>
      <c r="AG55" s="570">
        <f t="shared" si="270"/>
        <v>0</v>
      </c>
      <c r="AH55" s="729">
        <f t="shared" ref="AH55:AH56" si="289">U55*F55</f>
        <v>450000</v>
      </c>
      <c r="AI55" s="323">
        <f t="shared" ref="AI55" si="290">V55*G55</f>
        <v>0</v>
      </c>
      <c r="AJ55" s="323">
        <f t="shared" ref="AJ55" si="291">W55*H55</f>
        <v>0</v>
      </c>
      <c r="AK55" s="323">
        <f t="shared" ref="AK55" si="292">X55*I55</f>
        <v>0</v>
      </c>
      <c r="AL55" s="323">
        <f t="shared" ref="AL55" si="293">Y55*J55</f>
        <v>0</v>
      </c>
      <c r="AM55" s="323">
        <f t="shared" ref="AM55" si="294">Z55*K55</f>
        <v>0</v>
      </c>
      <c r="AN55" s="323">
        <f t="shared" ref="AN55" si="295">AA55*L55</f>
        <v>0</v>
      </c>
      <c r="AO55" s="323">
        <f t="shared" ref="AO55" si="296">AB55*M55</f>
        <v>0</v>
      </c>
      <c r="AP55" s="323">
        <f t="shared" ref="AP55" si="297">AC55*N55</f>
        <v>0</v>
      </c>
      <c r="AQ55" s="323">
        <f t="shared" ref="AQ55" si="298">AD55*O55</f>
        <v>0</v>
      </c>
      <c r="AR55" s="323">
        <f t="shared" ref="AR55" si="299">AE55*P55</f>
        <v>0</v>
      </c>
      <c r="AS55" s="324">
        <f t="shared" ref="AS55:AS56" si="300">SUM(AG55:AR55)</f>
        <v>450000</v>
      </c>
      <c r="AT55" s="323">
        <f t="shared" ref="AT55:AT60" si="301">SUM(AG55*12.5%)</f>
        <v>0</v>
      </c>
      <c r="AU55" s="323">
        <f>SUM(AH55*2%)</f>
        <v>9000</v>
      </c>
      <c r="AV55" s="323">
        <f t="shared" si="254"/>
        <v>0</v>
      </c>
      <c r="AW55" s="323">
        <f t="shared" si="255"/>
        <v>0</v>
      </c>
      <c r="AX55" s="323">
        <f t="shared" si="256"/>
        <v>0</v>
      </c>
      <c r="AY55" s="323">
        <f t="shared" si="257"/>
        <v>0</v>
      </c>
      <c r="AZ55" s="323">
        <f t="shared" si="258"/>
        <v>0</v>
      </c>
      <c r="BA55" s="323">
        <f t="shared" si="259"/>
        <v>0</v>
      </c>
      <c r="BB55" s="323">
        <f t="shared" si="260"/>
        <v>0</v>
      </c>
      <c r="BC55" s="323">
        <f t="shared" si="261"/>
        <v>0</v>
      </c>
      <c r="BD55" s="323">
        <f t="shared" si="262"/>
        <v>0</v>
      </c>
      <c r="BE55" s="323">
        <f t="shared" si="263"/>
        <v>0</v>
      </c>
      <c r="BF55" s="55">
        <f t="shared" ref="BF55:BF60" si="302">SUM(AT55:BE55)</f>
        <v>9000</v>
      </c>
      <c r="BG55" s="72">
        <f t="shared" ref="BG55:BG60" si="303">AF55-AS55-BF55</f>
        <v>91000</v>
      </c>
      <c r="BH55" s="73">
        <f t="shared" ref="BH55" si="304">S55*D55</f>
        <v>550000</v>
      </c>
      <c r="BI55" s="74">
        <f t="shared" si="285"/>
        <v>100000</v>
      </c>
      <c r="BJ55" s="99">
        <f t="shared" ref="BJ55" si="305">SUM(Q55/D55)</f>
        <v>1</v>
      </c>
      <c r="BK55" s="565"/>
      <c r="BL55" s="323">
        <f t="shared" si="267"/>
        <v>441000</v>
      </c>
      <c r="BM55" s="323">
        <v>400000</v>
      </c>
      <c r="BN55" s="323">
        <f>BL55-BM55</f>
        <v>41000</v>
      </c>
      <c r="BO55" s="561"/>
      <c r="BP55" s="323">
        <f t="shared" si="287"/>
        <v>0</v>
      </c>
      <c r="BQ55" s="323">
        <f t="shared" si="287"/>
        <v>0</v>
      </c>
      <c r="BR55" s="323">
        <f t="shared" si="287"/>
        <v>0</v>
      </c>
      <c r="BS55" s="323">
        <f t="shared" si="233"/>
        <v>0</v>
      </c>
      <c r="BT55" s="323">
        <f t="shared" si="233"/>
        <v>0</v>
      </c>
      <c r="BU55" s="323">
        <f t="shared" si="233"/>
        <v>0</v>
      </c>
      <c r="BV55" s="323">
        <f t="shared" si="233"/>
        <v>0</v>
      </c>
      <c r="BW55" s="323">
        <f t="shared" si="233"/>
        <v>1260.0000000000002</v>
      </c>
      <c r="BX55" s="323">
        <f t="shared" si="233"/>
        <v>12740.000000000002</v>
      </c>
      <c r="BY55" s="323">
        <f t="shared" si="233"/>
        <v>77000.000000000015</v>
      </c>
      <c r="BZ55" s="323">
        <f t="shared" si="233"/>
        <v>14000.000000000002</v>
      </c>
      <c r="CA55" s="323">
        <f t="shared" si="233"/>
        <v>0.14000000000000001</v>
      </c>
      <c r="CB55" s="55">
        <f t="shared" si="234"/>
        <v>105000.14000000001</v>
      </c>
      <c r="CC55" s="323">
        <f t="shared" si="235"/>
        <v>0</v>
      </c>
      <c r="CD55" s="323">
        <f t="shared" si="235"/>
        <v>0</v>
      </c>
      <c r="CE55" s="323">
        <f t="shared" si="235"/>
        <v>0</v>
      </c>
      <c r="CF55" s="323">
        <f t="shared" si="235"/>
        <v>0</v>
      </c>
      <c r="CG55" s="323">
        <f t="shared" si="235"/>
        <v>0</v>
      </c>
      <c r="CH55" s="323">
        <f t="shared" si="235"/>
        <v>0</v>
      </c>
      <c r="CI55" s="323">
        <f t="shared" si="235"/>
        <v>176.40000000000006</v>
      </c>
      <c r="CJ55" s="323">
        <f t="shared" si="235"/>
        <v>1783.6000000000004</v>
      </c>
      <c r="CK55" s="323">
        <f t="shared" si="235"/>
        <v>10780.000000000004</v>
      </c>
      <c r="CL55" s="323">
        <f t="shared" si="235"/>
        <v>1960.0000000000005</v>
      </c>
      <c r="CM55" s="323">
        <f t="shared" si="235"/>
        <v>1.9600000000000003E-2</v>
      </c>
      <c r="CN55" s="323">
        <f t="shared" si="235"/>
        <v>14700.019600000003</v>
      </c>
      <c r="CO55" s="55">
        <f t="shared" si="236"/>
        <v>29400.039200000007</v>
      </c>
      <c r="CP55" s="334"/>
      <c r="CQ55" s="334"/>
      <c r="CR55" s="334"/>
      <c r="CS55" s="334"/>
      <c r="CT55" s="360"/>
      <c r="CU55" s="349"/>
      <c r="CV55" s="361"/>
      <c r="CW55" s="69"/>
      <c r="CX55" s="69"/>
      <c r="CY55" s="69"/>
      <c r="CZ55" s="69"/>
      <c r="DA55" s="69"/>
      <c r="DB55" s="69"/>
      <c r="DC55" s="69"/>
      <c r="DD55" s="69"/>
      <c r="DE55" s="69"/>
    </row>
    <row r="56" spans="1:127" s="70" customFormat="1" ht="24.75" customHeight="1" x14ac:dyDescent="0.2">
      <c r="A56" s="64">
        <v>2</v>
      </c>
      <c r="B56" s="126" t="s">
        <v>292</v>
      </c>
      <c r="C56" s="65" t="s">
        <v>62</v>
      </c>
      <c r="D56" s="720">
        <v>1</v>
      </c>
      <c r="E56" s="428">
        <v>1</v>
      </c>
      <c r="F56" s="724">
        <v>0</v>
      </c>
      <c r="G56" s="67"/>
      <c r="H56" s="336"/>
      <c r="I56" s="67"/>
      <c r="J56" s="67"/>
      <c r="K56" s="67"/>
      <c r="L56" s="429"/>
      <c r="M56" s="67"/>
      <c r="N56" s="67"/>
      <c r="O56" s="67"/>
      <c r="P56" s="67"/>
      <c r="Q56" s="68">
        <f t="shared" si="288"/>
        <v>1</v>
      </c>
      <c r="R56" s="375" t="s">
        <v>25</v>
      </c>
      <c r="S56" s="374">
        <v>150000</v>
      </c>
      <c r="T56" s="432">
        <v>140000</v>
      </c>
      <c r="U56" s="728">
        <v>0</v>
      </c>
      <c r="V56" s="721"/>
      <c r="W56" s="322"/>
      <c r="X56" s="322"/>
      <c r="Y56" s="321"/>
      <c r="Z56" s="322"/>
      <c r="AA56" s="432"/>
      <c r="AB56" s="322"/>
      <c r="AC56" s="322"/>
      <c r="AD56" s="322"/>
      <c r="AE56" s="322"/>
      <c r="AF56" s="51">
        <f t="shared" si="238"/>
        <v>150000</v>
      </c>
      <c r="AG56" s="570">
        <f t="shared" si="270"/>
        <v>140000</v>
      </c>
      <c r="AH56" s="729">
        <f t="shared" si="289"/>
        <v>0</v>
      </c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324">
        <f t="shared" si="300"/>
        <v>140000</v>
      </c>
      <c r="AT56" s="323">
        <f>SUM(AG56*2%)</f>
        <v>2800</v>
      </c>
      <c r="AU56" s="323">
        <f>SUM(AH56*2%)</f>
        <v>0</v>
      </c>
      <c r="AV56" s="323"/>
      <c r="AW56" s="323"/>
      <c r="AX56" s="323"/>
      <c r="AY56" s="323"/>
      <c r="AZ56" s="323"/>
      <c r="BA56" s="323"/>
      <c r="BB56" s="323"/>
      <c r="BC56" s="323"/>
      <c r="BD56" s="323"/>
      <c r="BE56" s="323"/>
      <c r="BF56" s="55">
        <f t="shared" si="302"/>
        <v>2800</v>
      </c>
      <c r="BG56" s="72">
        <f>AF56-AS56</f>
        <v>10000</v>
      </c>
      <c r="BH56" s="73">
        <f>S56*D56</f>
        <v>150000</v>
      </c>
      <c r="BI56" s="74">
        <f t="shared" si="285"/>
        <v>10000</v>
      </c>
      <c r="BJ56" s="99"/>
      <c r="BK56" s="565"/>
      <c r="BL56" s="323">
        <f t="shared" si="267"/>
        <v>0</v>
      </c>
      <c r="BM56" s="323"/>
      <c r="BN56" s="323"/>
      <c r="BO56" s="561"/>
      <c r="BP56" s="323"/>
      <c r="BQ56" s="323"/>
      <c r="BR56" s="323"/>
      <c r="BS56" s="323"/>
      <c r="BT56" s="323"/>
      <c r="BU56" s="323"/>
      <c r="BV56" s="323"/>
      <c r="BW56" s="323"/>
      <c r="BX56" s="323"/>
      <c r="BY56" s="323">
        <f t="shared" si="233"/>
        <v>21000.000000000004</v>
      </c>
      <c r="BZ56" s="323"/>
      <c r="CA56" s="323"/>
      <c r="CB56" s="55"/>
      <c r="CC56" s="323"/>
      <c r="CD56" s="323"/>
      <c r="CE56" s="323"/>
      <c r="CF56" s="323"/>
      <c r="CG56" s="323"/>
      <c r="CH56" s="323"/>
      <c r="CI56" s="323"/>
      <c r="CJ56" s="323"/>
      <c r="CK56" s="323">
        <f t="shared" si="235"/>
        <v>2940.0000000000009</v>
      </c>
      <c r="CL56" s="323"/>
      <c r="CM56" s="323"/>
      <c r="CN56" s="323"/>
      <c r="CO56" s="55"/>
      <c r="CP56" s="334"/>
      <c r="CQ56" s="334"/>
      <c r="CR56" s="334"/>
      <c r="CS56" s="334"/>
      <c r="CT56" s="360"/>
      <c r="CU56" s="349"/>
      <c r="CV56" s="361"/>
      <c r="CW56" s="69"/>
      <c r="CX56" s="69"/>
      <c r="CY56" s="69"/>
      <c r="CZ56" s="69"/>
      <c r="DA56" s="69"/>
      <c r="DB56" s="69"/>
      <c r="DC56" s="69"/>
      <c r="DD56" s="69"/>
      <c r="DE56" s="69"/>
    </row>
    <row r="57" spans="1:127" s="70" customFormat="1" ht="24.75" customHeight="1" x14ac:dyDescent="0.2">
      <c r="A57" s="64">
        <f t="shared" si="268"/>
        <v>3</v>
      </c>
      <c r="B57" s="126" t="s">
        <v>65</v>
      </c>
      <c r="C57" s="65" t="s">
        <v>62</v>
      </c>
      <c r="D57" s="489">
        <v>1</v>
      </c>
      <c r="E57" s="428"/>
      <c r="F57" s="724">
        <v>1</v>
      </c>
      <c r="G57" s="67"/>
      <c r="H57" s="67"/>
      <c r="I57" s="67"/>
      <c r="J57" s="67"/>
      <c r="K57" s="67"/>
      <c r="L57" s="429"/>
      <c r="M57" s="67"/>
      <c r="N57" s="67"/>
      <c r="O57" s="67"/>
      <c r="P57" s="67"/>
      <c r="Q57" s="68">
        <f t="shared" si="237"/>
        <v>1</v>
      </c>
      <c r="R57" s="114" t="s">
        <v>15</v>
      </c>
      <c r="S57" s="374">
        <v>3063900</v>
      </c>
      <c r="T57" s="432"/>
      <c r="U57" s="726">
        <v>3063900</v>
      </c>
      <c r="V57" s="322"/>
      <c r="W57" s="322"/>
      <c r="X57" s="322"/>
      <c r="Y57" s="374"/>
      <c r="Z57" s="322"/>
      <c r="AA57" s="435"/>
      <c r="AB57" s="322"/>
      <c r="AC57" s="322"/>
      <c r="AD57" s="322"/>
      <c r="AE57" s="322"/>
      <c r="AF57" s="51">
        <f t="shared" si="238"/>
        <v>3063900</v>
      </c>
      <c r="AG57" s="570">
        <f t="shared" si="270"/>
        <v>0</v>
      </c>
      <c r="AH57" s="729">
        <f t="shared" si="240"/>
        <v>3063900</v>
      </c>
      <c r="AI57" s="323">
        <f t="shared" si="241"/>
        <v>0</v>
      </c>
      <c r="AJ57" s="323">
        <f t="shared" si="242"/>
        <v>0</v>
      </c>
      <c r="AK57" s="323">
        <f t="shared" si="243"/>
        <v>0</v>
      </c>
      <c r="AL57" s="323">
        <f t="shared" si="244"/>
        <v>0</v>
      </c>
      <c r="AM57" s="323">
        <f t="shared" si="245"/>
        <v>0</v>
      </c>
      <c r="AN57" s="323">
        <f t="shared" si="246"/>
        <v>0</v>
      </c>
      <c r="AO57" s="323">
        <f t="shared" si="247"/>
        <v>0</v>
      </c>
      <c r="AP57" s="323">
        <f t="shared" si="248"/>
        <v>0</v>
      </c>
      <c r="AQ57" s="323">
        <f t="shared" si="249"/>
        <v>0</v>
      </c>
      <c r="AR57" s="323">
        <f t="shared" si="250"/>
        <v>0</v>
      </c>
      <c r="AS57" s="324">
        <f t="shared" si="251"/>
        <v>3063900</v>
      </c>
      <c r="AT57" s="323">
        <f t="shared" si="301"/>
        <v>0</v>
      </c>
      <c r="AU57" s="323"/>
      <c r="AV57" s="323">
        <f t="shared" si="254"/>
        <v>0</v>
      </c>
      <c r="AW57" s="323">
        <f t="shared" si="255"/>
        <v>0</v>
      </c>
      <c r="AX57" s="323">
        <f t="shared" si="256"/>
        <v>0</v>
      </c>
      <c r="AY57" s="323">
        <f t="shared" si="257"/>
        <v>0</v>
      </c>
      <c r="AZ57" s="323">
        <f t="shared" si="258"/>
        <v>0</v>
      </c>
      <c r="BA57" s="323">
        <f t="shared" si="259"/>
        <v>0</v>
      </c>
      <c r="BB57" s="323">
        <f t="shared" si="260"/>
        <v>0</v>
      </c>
      <c r="BC57" s="323">
        <f t="shared" si="261"/>
        <v>0</v>
      </c>
      <c r="BD57" s="323">
        <f t="shared" si="262"/>
        <v>0</v>
      </c>
      <c r="BE57" s="323">
        <f t="shared" si="263"/>
        <v>0</v>
      </c>
      <c r="BF57" s="55">
        <f t="shared" si="302"/>
        <v>0</v>
      </c>
      <c r="BG57" s="72">
        <f t="shared" si="303"/>
        <v>0</v>
      </c>
      <c r="BH57" s="719">
        <f t="shared" si="265"/>
        <v>3063900</v>
      </c>
      <c r="BI57" s="74">
        <f t="shared" si="285"/>
        <v>0</v>
      </c>
      <c r="BJ57" s="99">
        <f t="shared" si="266"/>
        <v>1</v>
      </c>
      <c r="BK57" s="565"/>
      <c r="BL57" s="323">
        <f t="shared" si="267"/>
        <v>3063900</v>
      </c>
      <c r="BM57" s="323">
        <f>BL57</f>
        <v>3063900</v>
      </c>
      <c r="BN57" s="323"/>
      <c r="BO57" s="561"/>
      <c r="BP57" s="323"/>
      <c r="BQ57" s="323">
        <f>SUM(AZ57*14%)</f>
        <v>0</v>
      </c>
      <c r="BR57" s="323">
        <f>SUM(BA57*14%)</f>
        <v>0</v>
      </c>
      <c r="BS57" s="323">
        <f>SUM(BB57*14%)</f>
        <v>0</v>
      </c>
      <c r="BT57" s="323">
        <f>SUM(BC57*14%)</f>
        <v>0</v>
      </c>
      <c r="BU57" s="323"/>
      <c r="BV57" s="323">
        <f>SUM(BE57*14%)</f>
        <v>0</v>
      </c>
      <c r="BW57" s="323"/>
      <c r="BX57" s="323">
        <f>SUM(BG57*14%)</f>
        <v>0</v>
      </c>
      <c r="BY57" s="323">
        <f>SUM(BH57*14%)</f>
        <v>428946.00000000006</v>
      </c>
      <c r="BZ57" s="323">
        <f>SUM(BI57*14%)</f>
        <v>0</v>
      </c>
      <c r="CA57" s="323">
        <f>SUM(BJ57*14%)</f>
        <v>0.14000000000000001</v>
      </c>
      <c r="CB57" s="55">
        <f t="shared" si="234"/>
        <v>428946.14000000007</v>
      </c>
      <c r="CC57" s="323"/>
      <c r="CD57" s="323">
        <f>SUM(BR57*14%)</f>
        <v>0</v>
      </c>
      <c r="CE57" s="323">
        <f>SUM(BS57*14%)</f>
        <v>0</v>
      </c>
      <c r="CF57" s="323">
        <f>SUM(BT57*14%)</f>
        <v>0</v>
      </c>
      <c r="CG57" s="323">
        <f>SUM(BU57*14%)</f>
        <v>0</v>
      </c>
      <c r="CH57" s="323"/>
      <c r="CI57" s="323">
        <f>SUM(BW57*14%)</f>
        <v>0</v>
      </c>
      <c r="CJ57" s="323"/>
      <c r="CK57" s="323">
        <f>SUM(BY57*14%)</f>
        <v>60052.440000000017</v>
      </c>
      <c r="CL57" s="323">
        <f>SUM(BZ57*14%)</f>
        <v>0</v>
      </c>
      <c r="CM57" s="323">
        <f>SUM(CA57*14%)</f>
        <v>1.9600000000000003E-2</v>
      </c>
      <c r="CN57" s="323">
        <f>SUM(CB57*14%)</f>
        <v>60052.459600000017</v>
      </c>
      <c r="CO57" s="55">
        <f t="shared" si="236"/>
        <v>120104.91920000003</v>
      </c>
      <c r="CP57" s="334"/>
      <c r="CQ57" s="334"/>
      <c r="CR57" s="334"/>
      <c r="CS57" s="334"/>
      <c r="CT57" s="360"/>
      <c r="CU57" s="349"/>
      <c r="CV57" s="361"/>
      <c r="CW57" s="69"/>
      <c r="CX57" s="69"/>
      <c r="CY57" s="69"/>
      <c r="CZ57" s="69"/>
      <c r="DA57" s="69"/>
      <c r="DB57" s="69"/>
      <c r="DC57" s="69"/>
      <c r="DD57" s="69"/>
      <c r="DE57" s="69"/>
    </row>
    <row r="58" spans="1:127" s="70" customFormat="1" ht="24.75" customHeight="1" x14ac:dyDescent="0.2">
      <c r="A58" s="64">
        <v>3</v>
      </c>
      <c r="B58" s="126" t="s">
        <v>3</v>
      </c>
      <c r="C58" s="65" t="s">
        <v>62</v>
      </c>
      <c r="D58" s="299">
        <v>155</v>
      </c>
      <c r="E58" s="428">
        <f>10*8</f>
        <v>80</v>
      </c>
      <c r="F58" s="725">
        <v>72</v>
      </c>
      <c r="G58" s="67"/>
      <c r="H58" s="67"/>
      <c r="I58" s="67"/>
      <c r="J58" s="67"/>
      <c r="K58" s="67"/>
      <c r="L58" s="429"/>
      <c r="M58" s="67"/>
      <c r="N58" s="67"/>
      <c r="O58" s="67"/>
      <c r="P58" s="67"/>
      <c r="Q58" s="68">
        <f t="shared" si="237"/>
        <v>152</v>
      </c>
      <c r="R58" s="114" t="s">
        <v>72</v>
      </c>
      <c r="S58" s="374">
        <v>100000</v>
      </c>
      <c r="T58" s="432">
        <v>100000</v>
      </c>
      <c r="U58" s="727">
        <v>100000</v>
      </c>
      <c r="V58" s="322"/>
      <c r="W58" s="322"/>
      <c r="X58" s="321"/>
      <c r="Y58" s="321"/>
      <c r="Z58" s="322"/>
      <c r="AA58" s="432"/>
      <c r="AB58" s="322"/>
      <c r="AC58" s="322"/>
      <c r="AD58" s="322"/>
      <c r="AE58" s="322"/>
      <c r="AF58" s="51">
        <f t="shared" si="238"/>
        <v>15200000</v>
      </c>
      <c r="AG58" s="570">
        <f t="shared" si="239"/>
        <v>8000000</v>
      </c>
      <c r="AH58" s="729">
        <f t="shared" si="240"/>
        <v>7200000</v>
      </c>
      <c r="AI58" s="323">
        <f t="shared" si="241"/>
        <v>0</v>
      </c>
      <c r="AJ58" s="323">
        <f t="shared" si="242"/>
        <v>0</v>
      </c>
      <c r="AK58" s="323">
        <f t="shared" si="243"/>
        <v>0</v>
      </c>
      <c r="AL58" s="323">
        <f t="shared" si="244"/>
        <v>0</v>
      </c>
      <c r="AM58" s="323">
        <f t="shared" si="245"/>
        <v>0</v>
      </c>
      <c r="AN58" s="323">
        <f t="shared" si="246"/>
        <v>0</v>
      </c>
      <c r="AO58" s="323">
        <f t="shared" si="247"/>
        <v>0</v>
      </c>
      <c r="AP58" s="323">
        <f t="shared" si="248"/>
        <v>0</v>
      </c>
      <c r="AQ58" s="323">
        <f t="shared" si="249"/>
        <v>0</v>
      </c>
      <c r="AR58" s="323">
        <f t="shared" si="250"/>
        <v>0</v>
      </c>
      <c r="AS58" s="324">
        <f t="shared" si="251"/>
        <v>15200000</v>
      </c>
      <c r="AT58" s="323"/>
      <c r="AU58" s="323"/>
      <c r="AV58" s="323">
        <f t="shared" si="254"/>
        <v>0</v>
      </c>
      <c r="AW58" s="323">
        <f t="shared" si="255"/>
        <v>0</v>
      </c>
      <c r="AX58" s="323">
        <f t="shared" si="256"/>
        <v>0</v>
      </c>
      <c r="AY58" s="323">
        <f t="shared" si="257"/>
        <v>0</v>
      </c>
      <c r="AZ58" s="323">
        <f t="shared" si="258"/>
        <v>0</v>
      </c>
      <c r="BA58" s="323">
        <f t="shared" si="259"/>
        <v>0</v>
      </c>
      <c r="BB58" s="323">
        <f t="shared" si="260"/>
        <v>0</v>
      </c>
      <c r="BC58" s="323">
        <f t="shared" si="261"/>
        <v>0</v>
      </c>
      <c r="BD58" s="323">
        <f t="shared" si="262"/>
        <v>0</v>
      </c>
      <c r="BE58" s="323">
        <f t="shared" si="263"/>
        <v>0</v>
      </c>
      <c r="BF58" s="55">
        <f t="shared" si="302"/>
        <v>0</v>
      </c>
      <c r="BG58" s="72">
        <f t="shared" si="303"/>
        <v>0</v>
      </c>
      <c r="BH58" s="719">
        <f t="shared" si="265"/>
        <v>15500000</v>
      </c>
      <c r="BI58" s="74">
        <f t="shared" si="285"/>
        <v>300000</v>
      </c>
      <c r="BJ58" s="99">
        <f t="shared" si="266"/>
        <v>0.98064516129032253</v>
      </c>
      <c r="BK58" s="565"/>
      <c r="BL58" s="323">
        <f t="shared" si="267"/>
        <v>7200000</v>
      </c>
      <c r="BM58" s="323">
        <f>BL58</f>
        <v>7200000</v>
      </c>
      <c r="BN58" s="323">
        <f>BL58-BM58</f>
        <v>0</v>
      </c>
      <c r="BO58" s="561"/>
      <c r="BP58" s="323"/>
      <c r="BQ58" s="323"/>
      <c r="BR58" s="323"/>
      <c r="BS58" s="323"/>
      <c r="BT58" s="323"/>
      <c r="BU58" s="323"/>
      <c r="BV58" s="323"/>
      <c r="BW58" s="323"/>
      <c r="BX58" s="323"/>
      <c r="BY58" s="323"/>
      <c r="BZ58" s="323"/>
      <c r="CA58" s="323"/>
      <c r="CB58" s="55">
        <f t="shared" si="234"/>
        <v>0</v>
      </c>
      <c r="CC58" s="323"/>
      <c r="CD58" s="323"/>
      <c r="CE58" s="323"/>
      <c r="CF58" s="323"/>
      <c r="CG58" s="323"/>
      <c r="CH58" s="323"/>
      <c r="CI58" s="323"/>
      <c r="CJ58" s="323"/>
      <c r="CK58" s="323"/>
      <c r="CL58" s="323"/>
      <c r="CM58" s="323"/>
      <c r="CN58" s="323"/>
      <c r="CO58" s="55">
        <f t="shared" si="236"/>
        <v>0</v>
      </c>
      <c r="CP58" s="326">
        <f>120000*5*20</f>
        <v>12000000</v>
      </c>
      <c r="CQ58" s="334"/>
      <c r="CR58" s="326">
        <f>120000*5*10</f>
        <v>6000000</v>
      </c>
      <c r="CS58" s="326"/>
      <c r="CT58" s="365">
        <f>SUM(CP58:CR58)</f>
        <v>18000000</v>
      </c>
      <c r="CU58" s="353">
        <f>SUM(BH58)</f>
        <v>15500000</v>
      </c>
      <c r="CV58" s="361">
        <f t="shared" ref="CV58:CV60" si="306">SUM(CU58-CT58)</f>
        <v>-2500000</v>
      </c>
      <c r="CW58" s="69"/>
      <c r="CX58" s="69"/>
      <c r="CY58" s="69"/>
      <c r="CZ58" s="69"/>
      <c r="DA58" s="69"/>
      <c r="DB58" s="69"/>
      <c r="DC58" s="69"/>
      <c r="DD58" s="69"/>
      <c r="DE58" s="69"/>
    </row>
    <row r="59" spans="1:127" s="70" customFormat="1" ht="24.75" customHeight="1" x14ac:dyDescent="0.2">
      <c r="A59" s="64">
        <f t="shared" si="268"/>
        <v>4</v>
      </c>
      <c r="B59" s="126" t="s">
        <v>178</v>
      </c>
      <c r="C59" s="65" t="s">
        <v>62</v>
      </c>
      <c r="D59" s="299">
        <v>58</v>
      </c>
      <c r="E59" s="428">
        <f>10*3</f>
        <v>30</v>
      </c>
      <c r="F59" s="724">
        <v>27</v>
      </c>
      <c r="G59" s="67"/>
      <c r="H59" s="67"/>
      <c r="I59" s="67"/>
      <c r="J59" s="67"/>
      <c r="K59" s="67"/>
      <c r="L59" s="429"/>
      <c r="M59" s="67"/>
      <c r="N59" s="67"/>
      <c r="O59" s="67"/>
      <c r="P59" s="67"/>
      <c r="Q59" s="68">
        <f t="shared" si="237"/>
        <v>57</v>
      </c>
      <c r="R59" s="114" t="s">
        <v>72</v>
      </c>
      <c r="S59" s="374">
        <v>120000</v>
      </c>
      <c r="T59" s="660">
        <v>120000</v>
      </c>
      <c r="U59" s="726">
        <v>120000</v>
      </c>
      <c r="V59" s="322"/>
      <c r="W59" s="322"/>
      <c r="X59" s="322"/>
      <c r="Y59" s="322"/>
      <c r="Z59" s="322"/>
      <c r="AA59" s="434"/>
      <c r="AB59" s="322"/>
      <c r="AC59" s="322"/>
      <c r="AD59" s="322"/>
      <c r="AE59" s="322"/>
      <c r="AF59" s="51">
        <f t="shared" si="238"/>
        <v>6840000</v>
      </c>
      <c r="AG59" s="570">
        <f t="shared" si="239"/>
        <v>3600000</v>
      </c>
      <c r="AH59" s="729">
        <f t="shared" si="240"/>
        <v>3240000</v>
      </c>
      <c r="AI59" s="323">
        <f t="shared" si="241"/>
        <v>0</v>
      </c>
      <c r="AJ59" s="323">
        <f t="shared" si="242"/>
        <v>0</v>
      </c>
      <c r="AK59" s="323">
        <f t="shared" si="243"/>
        <v>0</v>
      </c>
      <c r="AL59" s="323">
        <f t="shared" si="244"/>
        <v>0</v>
      </c>
      <c r="AM59" s="323">
        <f t="shared" si="245"/>
        <v>0</v>
      </c>
      <c r="AN59" s="323">
        <f t="shared" si="246"/>
        <v>0</v>
      </c>
      <c r="AO59" s="323">
        <f t="shared" si="247"/>
        <v>0</v>
      </c>
      <c r="AP59" s="323">
        <f t="shared" si="248"/>
        <v>0</v>
      </c>
      <c r="AQ59" s="323">
        <f t="shared" si="249"/>
        <v>0</v>
      </c>
      <c r="AR59" s="323">
        <f t="shared" si="250"/>
        <v>0</v>
      </c>
      <c r="AS59" s="324">
        <f t="shared" ref="AS59" si="307">SUM(AG59:AR59)</f>
        <v>6840000</v>
      </c>
      <c r="AT59" s="323"/>
      <c r="AU59" s="323"/>
      <c r="AV59" s="323">
        <f t="shared" si="254"/>
        <v>0</v>
      </c>
      <c r="AW59" s="323">
        <f t="shared" si="255"/>
        <v>0</v>
      </c>
      <c r="AX59" s="323">
        <f t="shared" si="256"/>
        <v>0</v>
      </c>
      <c r="AY59" s="323">
        <f t="shared" si="257"/>
        <v>0</v>
      </c>
      <c r="AZ59" s="323">
        <f t="shared" si="258"/>
        <v>0</v>
      </c>
      <c r="BA59" s="323">
        <f t="shared" si="259"/>
        <v>0</v>
      </c>
      <c r="BB59" s="323">
        <f t="shared" si="260"/>
        <v>0</v>
      </c>
      <c r="BC59" s="323">
        <f t="shared" si="261"/>
        <v>0</v>
      </c>
      <c r="BD59" s="323">
        <f t="shared" si="262"/>
        <v>0</v>
      </c>
      <c r="BE59" s="323">
        <f t="shared" si="263"/>
        <v>0</v>
      </c>
      <c r="BF59" s="55">
        <f t="shared" si="302"/>
        <v>0</v>
      </c>
      <c r="BG59" s="72">
        <f t="shared" si="303"/>
        <v>0</v>
      </c>
      <c r="BH59" s="719">
        <f t="shared" si="265"/>
        <v>6960000</v>
      </c>
      <c r="BI59" s="74">
        <f t="shared" si="285"/>
        <v>120000</v>
      </c>
      <c r="BJ59" s="99">
        <f t="shared" si="266"/>
        <v>0.98275862068965514</v>
      </c>
      <c r="BK59" s="565"/>
      <c r="BL59" s="323">
        <f t="shared" si="267"/>
        <v>3240000</v>
      </c>
      <c r="BM59" s="323">
        <f>BL59</f>
        <v>3240000</v>
      </c>
      <c r="BN59" s="323">
        <f>BL59-BM59</f>
        <v>0</v>
      </c>
      <c r="BO59" s="561"/>
      <c r="BP59" s="323"/>
      <c r="BQ59" s="323"/>
      <c r="BR59" s="323"/>
      <c r="BS59" s="323"/>
      <c r="BT59" s="323"/>
      <c r="BU59" s="323"/>
      <c r="BV59" s="323"/>
      <c r="BW59" s="323"/>
      <c r="BX59" s="323"/>
      <c r="BY59" s="323"/>
      <c r="BZ59" s="323"/>
      <c r="CA59" s="323"/>
      <c r="CB59" s="55">
        <f t="shared" si="234"/>
        <v>0</v>
      </c>
      <c r="CC59" s="323"/>
      <c r="CD59" s="323"/>
      <c r="CE59" s="323"/>
      <c r="CF59" s="323"/>
      <c r="CG59" s="323"/>
      <c r="CH59" s="323"/>
      <c r="CI59" s="323"/>
      <c r="CJ59" s="323"/>
      <c r="CK59" s="323"/>
      <c r="CL59" s="323"/>
      <c r="CM59" s="323"/>
      <c r="CN59" s="323"/>
      <c r="CO59" s="55">
        <f t="shared" si="236"/>
        <v>0</v>
      </c>
      <c r="CP59" s="372"/>
      <c r="CQ59" s="373">
        <f>130000*1*30</f>
        <v>3900000</v>
      </c>
      <c r="CR59" s="373"/>
      <c r="CS59" s="373"/>
      <c r="CT59" s="366">
        <f>SUM(CP59:CR59)</f>
        <v>3900000</v>
      </c>
      <c r="CU59" s="355">
        <f>SUM(BH59)</f>
        <v>6960000</v>
      </c>
      <c r="CV59" s="367">
        <f t="shared" ref="CV59" si="308">SUM(CU59-CT59)</f>
        <v>3060000</v>
      </c>
      <c r="CW59" s="69"/>
      <c r="CX59" s="69"/>
      <c r="CY59" s="69"/>
      <c r="CZ59" s="69"/>
      <c r="DA59" s="69"/>
      <c r="DB59" s="69"/>
      <c r="DC59" s="69"/>
      <c r="DD59" s="69"/>
      <c r="DE59" s="69"/>
    </row>
    <row r="60" spans="1:127" s="70" customFormat="1" ht="24.75" customHeight="1" thickBot="1" x14ac:dyDescent="0.25">
      <c r="A60" s="64">
        <v>4</v>
      </c>
      <c r="B60" s="126" t="s">
        <v>67</v>
      </c>
      <c r="C60" s="65" t="s">
        <v>62</v>
      </c>
      <c r="D60" s="299">
        <v>2</v>
      </c>
      <c r="E60" s="428"/>
      <c r="F60" s="724">
        <v>2</v>
      </c>
      <c r="G60" s="67"/>
      <c r="H60" s="67"/>
      <c r="I60" s="67"/>
      <c r="J60" s="67"/>
      <c r="K60" s="67"/>
      <c r="L60" s="429"/>
      <c r="M60" s="67"/>
      <c r="N60" s="67"/>
      <c r="O60" s="67"/>
      <c r="P60" s="67"/>
      <c r="Q60" s="68">
        <f t="shared" ref="Q60" si="309">SUM(E60:P60)</f>
        <v>2</v>
      </c>
      <c r="R60" s="114" t="s">
        <v>72</v>
      </c>
      <c r="S60" s="374">
        <v>130000</v>
      </c>
      <c r="T60" s="660"/>
      <c r="U60" s="726">
        <v>130000</v>
      </c>
      <c r="V60" s="322"/>
      <c r="W60" s="322"/>
      <c r="X60" s="322"/>
      <c r="Y60" s="322"/>
      <c r="Z60" s="322"/>
      <c r="AA60" s="434"/>
      <c r="AB60" s="322"/>
      <c r="AC60" s="322"/>
      <c r="AD60" s="322"/>
      <c r="AE60" s="322"/>
      <c r="AF60" s="51">
        <f t="shared" si="238"/>
        <v>260000</v>
      </c>
      <c r="AG60" s="570">
        <f t="shared" ref="AG60" si="310">T60*E60</f>
        <v>0</v>
      </c>
      <c r="AH60" s="729">
        <f t="shared" ref="AH60" si="311">U60*F60</f>
        <v>260000</v>
      </c>
      <c r="AI60" s="323">
        <f t="shared" ref="AI60" si="312">V60*G60</f>
        <v>0</v>
      </c>
      <c r="AJ60" s="323">
        <f t="shared" ref="AJ60" si="313">W60*H60</f>
        <v>0</v>
      </c>
      <c r="AK60" s="323">
        <f t="shared" ref="AK60" si="314">X60*I60</f>
        <v>0</v>
      </c>
      <c r="AL60" s="323">
        <f t="shared" ref="AL60" si="315">Y60*J60</f>
        <v>0</v>
      </c>
      <c r="AM60" s="323">
        <f t="shared" ref="AM60" si="316">Z60*K60</f>
        <v>0</v>
      </c>
      <c r="AN60" s="323">
        <f t="shared" ref="AN60" si="317">AA60*L60</f>
        <v>0</v>
      </c>
      <c r="AO60" s="323">
        <f t="shared" ref="AO60" si="318">AB60*M60</f>
        <v>0</v>
      </c>
      <c r="AP60" s="323">
        <f t="shared" ref="AP60" si="319">AC60*N60</f>
        <v>0</v>
      </c>
      <c r="AQ60" s="323">
        <f t="shared" ref="AQ60" si="320">AD60*O60</f>
        <v>0</v>
      </c>
      <c r="AR60" s="323">
        <f t="shared" ref="AR60" si="321">AE60*P60</f>
        <v>0</v>
      </c>
      <c r="AS60" s="324">
        <f t="shared" ref="AS60" si="322">SUM(AG60:AR60)</f>
        <v>260000</v>
      </c>
      <c r="AT60" s="323">
        <f t="shared" si="301"/>
        <v>0</v>
      </c>
      <c r="AU60" s="323"/>
      <c r="AV60" s="323">
        <f t="shared" si="254"/>
        <v>0</v>
      </c>
      <c r="AW60" s="323">
        <f t="shared" si="255"/>
        <v>0</v>
      </c>
      <c r="AX60" s="323">
        <f t="shared" si="256"/>
        <v>0</v>
      </c>
      <c r="AY60" s="323">
        <f t="shared" si="257"/>
        <v>0</v>
      </c>
      <c r="AZ60" s="323">
        <f t="shared" si="258"/>
        <v>0</v>
      </c>
      <c r="BA60" s="323">
        <f t="shared" si="259"/>
        <v>0</v>
      </c>
      <c r="BB60" s="323">
        <f t="shared" si="260"/>
        <v>0</v>
      </c>
      <c r="BC60" s="323">
        <f t="shared" si="261"/>
        <v>0</v>
      </c>
      <c r="BD60" s="323">
        <f t="shared" si="262"/>
        <v>0</v>
      </c>
      <c r="BE60" s="323">
        <f t="shared" si="263"/>
        <v>0</v>
      </c>
      <c r="BF60" s="55">
        <f t="shared" si="302"/>
        <v>0</v>
      </c>
      <c r="BG60" s="72">
        <f t="shared" si="303"/>
        <v>0</v>
      </c>
      <c r="BH60" s="719">
        <f t="shared" ref="BH60" si="323">S60*D60</f>
        <v>260000</v>
      </c>
      <c r="BI60" s="74">
        <f t="shared" si="285"/>
        <v>0</v>
      </c>
      <c r="BJ60" s="99">
        <f t="shared" ref="BJ60" si="324">SUM(Q60/D60)</f>
        <v>1</v>
      </c>
      <c r="BK60" s="565"/>
      <c r="BL60" s="323">
        <f t="shared" si="267"/>
        <v>260000</v>
      </c>
      <c r="BM60" s="323">
        <f>BL60</f>
        <v>260000</v>
      </c>
      <c r="BN60" s="323"/>
      <c r="BO60" s="561"/>
      <c r="BP60" s="323"/>
      <c r="BQ60" s="323"/>
      <c r="BR60" s="323"/>
      <c r="BS60" s="323"/>
      <c r="BT60" s="323"/>
      <c r="BU60" s="323"/>
      <c r="BV60" s="323"/>
      <c r="BW60" s="323"/>
      <c r="BX60" s="323"/>
      <c r="BY60" s="323"/>
      <c r="BZ60" s="323"/>
      <c r="CA60" s="323"/>
      <c r="CB60" s="55">
        <f t="shared" si="234"/>
        <v>0</v>
      </c>
      <c r="CC60" s="323"/>
      <c r="CD60" s="323"/>
      <c r="CE60" s="323"/>
      <c r="CF60" s="323"/>
      <c r="CG60" s="323"/>
      <c r="CH60" s="323"/>
      <c r="CI60" s="323"/>
      <c r="CJ60" s="323"/>
      <c r="CK60" s="323"/>
      <c r="CL60" s="323"/>
      <c r="CM60" s="323"/>
      <c r="CN60" s="323"/>
      <c r="CO60" s="55">
        <f t="shared" si="236"/>
        <v>0</v>
      </c>
      <c r="CP60" s="372"/>
      <c r="CQ60" s="373">
        <f>130000*1*30</f>
        <v>3900000</v>
      </c>
      <c r="CR60" s="373"/>
      <c r="CS60" s="373"/>
      <c r="CT60" s="366">
        <f>SUM(CP60:CR60)</f>
        <v>3900000</v>
      </c>
      <c r="CU60" s="355">
        <f>SUM(BH60)</f>
        <v>260000</v>
      </c>
      <c r="CV60" s="367">
        <f t="shared" si="306"/>
        <v>-3640000</v>
      </c>
      <c r="CW60" s="69"/>
      <c r="CX60" s="69"/>
      <c r="CY60" s="69"/>
      <c r="CZ60" s="69"/>
      <c r="DA60" s="69"/>
      <c r="DB60" s="69"/>
      <c r="DC60" s="69"/>
      <c r="DD60" s="69"/>
      <c r="DE60" s="69"/>
    </row>
    <row r="61" spans="1:127" s="894" customFormat="1" ht="24.75" customHeight="1" thickBot="1" x14ac:dyDescent="0.25">
      <c r="A61" s="885"/>
      <c r="B61" s="886" t="s">
        <v>4</v>
      </c>
      <c r="C61" s="886"/>
      <c r="D61" s="885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4"/>
      <c r="R61" s="887"/>
      <c r="S61" s="888"/>
      <c r="T61" s="889"/>
      <c r="U61" s="890"/>
      <c r="V61" s="890"/>
      <c r="W61" s="890"/>
      <c r="X61" s="890"/>
      <c r="Y61" s="890"/>
      <c r="Z61" s="890"/>
      <c r="AA61" s="890"/>
      <c r="AB61" s="890"/>
      <c r="AC61" s="890"/>
      <c r="AD61" s="890"/>
      <c r="AE61" s="890"/>
      <c r="AF61" s="579">
        <f t="shared" ref="AF61:BF61" si="325">SUM(AF51:AF60)</f>
        <v>80014400</v>
      </c>
      <c r="AG61" s="579">
        <f>SUM(AG51:AG60)</f>
        <v>35380000</v>
      </c>
      <c r="AH61" s="579">
        <f>SUM(AH51:AH60)</f>
        <v>40093900</v>
      </c>
      <c r="AI61" s="579">
        <f t="shared" si="325"/>
        <v>0</v>
      </c>
      <c r="AJ61" s="579">
        <f t="shared" si="325"/>
        <v>0</v>
      </c>
      <c r="AK61" s="579">
        <f t="shared" si="325"/>
        <v>0</v>
      </c>
      <c r="AL61" s="579">
        <f t="shared" si="325"/>
        <v>0</v>
      </c>
      <c r="AM61" s="579">
        <f t="shared" si="325"/>
        <v>0</v>
      </c>
      <c r="AN61" s="579">
        <f t="shared" si="325"/>
        <v>0</v>
      </c>
      <c r="AO61" s="579">
        <f t="shared" si="325"/>
        <v>0</v>
      </c>
      <c r="AP61" s="579">
        <f t="shared" si="325"/>
        <v>0</v>
      </c>
      <c r="AQ61" s="579">
        <f t="shared" si="325"/>
        <v>0</v>
      </c>
      <c r="AR61" s="579">
        <f t="shared" si="325"/>
        <v>0</v>
      </c>
      <c r="AS61" s="579">
        <f>SUM(AS51:AS60)-972109</f>
        <v>74501791</v>
      </c>
      <c r="AT61" s="579">
        <f>SUM(AT51:AT60)</f>
        <v>2957800</v>
      </c>
      <c r="AU61" s="579">
        <f>SUM(AU51:AU60)</f>
        <v>3244000</v>
      </c>
      <c r="AV61" s="579">
        <f t="shared" si="325"/>
        <v>0</v>
      </c>
      <c r="AW61" s="579">
        <f t="shared" si="325"/>
        <v>0</v>
      </c>
      <c r="AX61" s="579">
        <f t="shared" si="325"/>
        <v>0</v>
      </c>
      <c r="AY61" s="579">
        <f t="shared" si="325"/>
        <v>0</v>
      </c>
      <c r="AZ61" s="579">
        <f t="shared" si="325"/>
        <v>0</v>
      </c>
      <c r="BA61" s="579">
        <f t="shared" si="325"/>
        <v>0</v>
      </c>
      <c r="BB61" s="579">
        <f t="shared" si="325"/>
        <v>0</v>
      </c>
      <c r="BC61" s="579">
        <f t="shared" si="325"/>
        <v>0</v>
      </c>
      <c r="BD61" s="579">
        <f t="shared" si="325"/>
        <v>0</v>
      </c>
      <c r="BE61" s="579">
        <f t="shared" si="325"/>
        <v>0</v>
      </c>
      <c r="BF61" s="579">
        <f t="shared" si="325"/>
        <v>6201800</v>
      </c>
      <c r="BG61" s="891">
        <f>SUM(BG51:BG60)</f>
        <v>4531500</v>
      </c>
      <c r="BH61" s="891">
        <f t="shared" ref="BH61:BI61" si="326">SUM(BH51:BH60)</f>
        <v>81454700</v>
      </c>
      <c r="BI61" s="891">
        <f t="shared" si="326"/>
        <v>5980800</v>
      </c>
      <c r="BJ61" s="892">
        <v>1</v>
      </c>
      <c r="BK61" s="566"/>
      <c r="BL61" s="579">
        <f>SUM(BL51:BL60)</f>
        <v>36849900</v>
      </c>
      <c r="BM61" s="579">
        <f>SUM(BM51:BM59)</f>
        <v>36258900</v>
      </c>
      <c r="BN61" s="579">
        <f>SUM(BN51:BN60)</f>
        <v>331000</v>
      </c>
      <c r="BO61" s="562"/>
      <c r="BP61" s="579">
        <f t="shared" ref="BP61:CB61" si="327">SUM(BP51:BP60)</f>
        <v>1700000</v>
      </c>
      <c r="BQ61" s="579">
        <f t="shared" si="327"/>
        <v>0</v>
      </c>
      <c r="BR61" s="579">
        <f t="shared" si="327"/>
        <v>0</v>
      </c>
      <c r="BS61" s="579">
        <f t="shared" si="327"/>
        <v>0</v>
      </c>
      <c r="BT61" s="579">
        <f t="shared" si="327"/>
        <v>0</v>
      </c>
      <c r="BU61" s="579">
        <f t="shared" si="327"/>
        <v>0</v>
      </c>
      <c r="BV61" s="579">
        <f t="shared" si="327"/>
        <v>0</v>
      </c>
      <c r="BW61" s="579">
        <f t="shared" si="327"/>
        <v>867860</v>
      </c>
      <c r="BX61" s="579">
        <f t="shared" si="327"/>
        <v>633010</v>
      </c>
      <c r="BY61" s="579">
        <f t="shared" si="327"/>
        <v>8222858.0000000009</v>
      </c>
      <c r="BZ61" s="579">
        <f t="shared" si="327"/>
        <v>777112</v>
      </c>
      <c r="CA61" s="579">
        <f t="shared" si="327"/>
        <v>0.69221070801222495</v>
      </c>
      <c r="CB61" s="579">
        <f t="shared" si="327"/>
        <v>12179840.69221071</v>
      </c>
      <c r="CC61" s="579">
        <f t="shared" ref="CC61:CO61" si="328">SUM(CC51:CC60)</f>
        <v>0</v>
      </c>
      <c r="CD61" s="579">
        <f t="shared" si="328"/>
        <v>0</v>
      </c>
      <c r="CE61" s="579">
        <f t="shared" si="328"/>
        <v>0</v>
      </c>
      <c r="CF61" s="579">
        <f t="shared" si="328"/>
        <v>0</v>
      </c>
      <c r="CG61" s="579">
        <f t="shared" si="328"/>
        <v>0</v>
      </c>
      <c r="CH61" s="579">
        <f t="shared" si="328"/>
        <v>0</v>
      </c>
      <c r="CI61" s="579">
        <f t="shared" si="328"/>
        <v>121500.40000000002</v>
      </c>
      <c r="CJ61" s="579">
        <f t="shared" si="328"/>
        <v>88621.400000000023</v>
      </c>
      <c r="CK61" s="579">
        <f t="shared" si="328"/>
        <v>1151200.1200000001</v>
      </c>
      <c r="CL61" s="579">
        <f t="shared" si="328"/>
        <v>108795.68000000002</v>
      </c>
      <c r="CM61" s="579">
        <f t="shared" si="328"/>
        <v>9.6909499121711512E-2</v>
      </c>
      <c r="CN61" s="579">
        <f t="shared" si="328"/>
        <v>1705177.6969094994</v>
      </c>
      <c r="CO61" s="579">
        <f t="shared" si="328"/>
        <v>3172355.3938189987</v>
      </c>
      <c r="CP61" s="334"/>
      <c r="CQ61" s="334"/>
      <c r="CR61" s="334"/>
      <c r="CS61" s="334" t="e">
        <f>SUM(BH60-#REF!)</f>
        <v>#REF!</v>
      </c>
      <c r="CT61" s="349"/>
      <c r="CU61" s="349"/>
      <c r="CV61" s="361"/>
      <c r="CW61" s="893"/>
      <c r="CX61" s="893"/>
      <c r="CY61" s="893"/>
      <c r="CZ61" s="893"/>
      <c r="DA61" s="893"/>
      <c r="DB61" s="893"/>
      <c r="DC61" s="893"/>
      <c r="DD61" s="893"/>
      <c r="DE61" s="893"/>
    </row>
    <row r="62" spans="1:127" s="83" customFormat="1" ht="23.25" customHeight="1" x14ac:dyDescent="0.2">
      <c r="A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327"/>
      <c r="T62" s="327"/>
      <c r="AS62" s="327"/>
      <c r="BF62" s="327">
        <f>AS61</f>
        <v>74501791</v>
      </c>
      <c r="BG62" s="329">
        <f>AF61-AS61</f>
        <v>5512609</v>
      </c>
      <c r="BH62" s="378">
        <f>SUM(BI61+AS61)</f>
        <v>80482591</v>
      </c>
      <c r="BI62" s="379">
        <f>SUM(BG61)</f>
        <v>4531500</v>
      </c>
      <c r="BJ62" s="83" t="s">
        <v>29</v>
      </c>
      <c r="BM62" s="83">
        <v>1</v>
      </c>
      <c r="BN62" s="645">
        <v>288750</v>
      </c>
      <c r="CB62" s="327" t="e">
        <f>SUM(#REF!+CB61)</f>
        <v>#REF!</v>
      </c>
      <c r="CO62" s="327" t="e">
        <f>SUM(#REF!+CO61)</f>
        <v>#REF!</v>
      </c>
      <c r="CP62" s="422"/>
      <c r="CQ62" s="422"/>
      <c r="CR62" s="422"/>
      <c r="CS62" s="422">
        <v>6900000</v>
      </c>
      <c r="CT62" s="425"/>
      <c r="CU62" s="368"/>
      <c r="CV62" s="368"/>
      <c r="CW62" s="224"/>
      <c r="CX62" s="224"/>
      <c r="CY62" s="224"/>
      <c r="CZ62" s="224"/>
      <c r="DA62" s="224"/>
      <c r="DB62" s="224"/>
      <c r="DC62" s="224"/>
      <c r="DD62" s="224"/>
      <c r="DE62" s="224"/>
      <c r="DF62" s="224"/>
    </row>
    <row r="63" spans="1:127" s="83" customFormat="1" ht="23.25" customHeight="1" x14ac:dyDescent="0.2">
      <c r="A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327"/>
      <c r="T63" s="327"/>
      <c r="AG63" s="329">
        <f>AG58+AG59</f>
        <v>11600000</v>
      </c>
      <c r="AT63" s="328"/>
      <c r="AU63" s="328"/>
      <c r="AV63" s="328"/>
      <c r="AW63" s="328"/>
      <c r="AX63" s="328"/>
      <c r="AY63" s="328"/>
      <c r="AZ63" s="328"/>
      <c r="BA63" s="328"/>
      <c r="BB63" s="328"/>
      <c r="BC63" s="328"/>
      <c r="BD63" s="328"/>
      <c r="BE63" s="328"/>
      <c r="BF63" s="328"/>
      <c r="BH63" s="43"/>
      <c r="BI63" s="329">
        <f>SUM(BI61-BI62)</f>
        <v>1449300</v>
      </c>
      <c r="BJ63" s="83" t="s">
        <v>28</v>
      </c>
      <c r="BL63" s="328"/>
      <c r="BM63" s="328" t="s">
        <v>282</v>
      </c>
      <c r="BN63" s="328">
        <v>331000</v>
      </c>
      <c r="BO63" s="328">
        <f>BN62+BN63</f>
        <v>619750</v>
      </c>
      <c r="BP63" s="328">
        <f t="shared" ref="BP63:CA63" si="329">SUM(AY61+BP61)</f>
        <v>1700000</v>
      </c>
      <c r="BQ63" s="328">
        <f t="shared" si="329"/>
        <v>0</v>
      </c>
      <c r="BR63" s="328">
        <f t="shared" si="329"/>
        <v>0</v>
      </c>
      <c r="BS63" s="328">
        <f t="shared" si="329"/>
        <v>0</v>
      </c>
      <c r="BT63" s="328">
        <f t="shared" si="329"/>
        <v>0</v>
      </c>
      <c r="BU63" s="328">
        <f t="shared" si="329"/>
        <v>0</v>
      </c>
      <c r="BV63" s="328">
        <f t="shared" si="329"/>
        <v>0</v>
      </c>
      <c r="BW63" s="328">
        <f t="shared" si="329"/>
        <v>7069660</v>
      </c>
      <c r="BX63" s="328">
        <f t="shared" si="329"/>
        <v>5164510</v>
      </c>
      <c r="BY63" s="328">
        <f t="shared" si="329"/>
        <v>89677558</v>
      </c>
      <c r="BZ63" s="328">
        <f t="shared" si="329"/>
        <v>6757912</v>
      </c>
      <c r="CA63" s="328">
        <f t="shared" si="329"/>
        <v>1.6922107080122251</v>
      </c>
      <c r="CB63" s="328">
        <f>SUM(BP63:CA63)</f>
        <v>110369641.6922107</v>
      </c>
      <c r="CC63" s="328">
        <f t="shared" ref="CC63:CN63" si="330">SUM(BQ61+CC61)</f>
        <v>0</v>
      </c>
      <c r="CD63" s="328">
        <f t="shared" si="330"/>
        <v>0</v>
      </c>
      <c r="CE63" s="328">
        <f t="shared" si="330"/>
        <v>0</v>
      </c>
      <c r="CF63" s="328">
        <f t="shared" si="330"/>
        <v>0</v>
      </c>
      <c r="CG63" s="328">
        <f t="shared" si="330"/>
        <v>0</v>
      </c>
      <c r="CH63" s="328">
        <f t="shared" si="330"/>
        <v>0</v>
      </c>
      <c r="CI63" s="328">
        <f t="shared" si="330"/>
        <v>989360.4</v>
      </c>
      <c r="CJ63" s="328">
        <f t="shared" si="330"/>
        <v>721631.4</v>
      </c>
      <c r="CK63" s="328">
        <f t="shared" si="330"/>
        <v>9374058.120000001</v>
      </c>
      <c r="CL63" s="328">
        <f t="shared" si="330"/>
        <v>885907.68</v>
      </c>
      <c r="CM63" s="328">
        <f t="shared" si="330"/>
        <v>0.78912020713393649</v>
      </c>
      <c r="CN63" s="328">
        <f t="shared" si="330"/>
        <v>13885018.38912021</v>
      </c>
      <c r="CO63" s="328">
        <f>SUM(CC63:CN63)</f>
        <v>25855976.77824042</v>
      </c>
      <c r="CP63" s="423"/>
      <c r="CQ63" s="423"/>
      <c r="CR63" s="423"/>
      <c r="CS63" s="424">
        <v>5000000</v>
      </c>
      <c r="CT63" s="425"/>
      <c r="CU63" s="368"/>
      <c r="CV63" s="368"/>
      <c r="CW63" s="224"/>
      <c r="CX63" s="224"/>
      <c r="CY63" s="224"/>
      <c r="CZ63" s="224"/>
      <c r="DA63" s="224"/>
      <c r="DB63" s="224"/>
      <c r="DC63" s="224"/>
      <c r="DD63" s="224"/>
      <c r="DE63" s="224"/>
      <c r="DF63" s="224"/>
    </row>
    <row r="64" spans="1:127" s="16" customFormat="1" ht="25.5" customHeight="1" x14ac:dyDescent="0.2">
      <c r="A64" s="811" t="s">
        <v>7</v>
      </c>
      <c r="B64" s="812"/>
      <c r="C64" s="83" t="s">
        <v>296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34"/>
      <c r="T64" s="14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6"/>
      <c r="AF64" s="17"/>
      <c r="AG64" s="85"/>
      <c r="AH64" s="85"/>
      <c r="AI64" s="85"/>
      <c r="AJ64" s="318">
        <f>AG61+AH61</f>
        <v>75473900</v>
      </c>
      <c r="AK64" s="85"/>
      <c r="AL64" s="85"/>
      <c r="AM64" s="85"/>
      <c r="AN64" s="85"/>
      <c r="AO64" s="85"/>
      <c r="AP64" s="85"/>
      <c r="AQ64" s="85"/>
      <c r="AR64" s="85"/>
      <c r="AS64" s="318"/>
      <c r="AT64" s="328"/>
      <c r="AU64" s="328"/>
      <c r="AV64" s="328"/>
      <c r="AW64" s="328"/>
      <c r="AX64" s="328"/>
      <c r="AY64" s="328"/>
      <c r="AZ64" s="328"/>
      <c r="BA64" s="328"/>
      <c r="BB64" s="328"/>
      <c r="BC64" s="328"/>
      <c r="BJ64" s="17"/>
      <c r="BK64" s="85"/>
      <c r="BL64" s="328"/>
      <c r="BM64" s="328"/>
      <c r="BN64" s="328"/>
      <c r="BP64" s="328"/>
      <c r="BQ64" s="328"/>
      <c r="BR64" s="328"/>
      <c r="BS64" s="328"/>
      <c r="BT64" s="328"/>
      <c r="BU64" s="328"/>
      <c r="BV64" s="328"/>
      <c r="BW64" s="328"/>
      <c r="BX64" s="328"/>
      <c r="BY64" s="328"/>
      <c r="CC64" s="328"/>
      <c r="CD64" s="328"/>
      <c r="CE64" s="328"/>
      <c r="CF64" s="328"/>
      <c r="CG64" s="328"/>
      <c r="CH64" s="328"/>
      <c r="CI64" s="328"/>
      <c r="CJ64" s="328"/>
      <c r="CK64" s="328"/>
      <c r="CL64" s="328"/>
      <c r="CP64" s="331"/>
      <c r="CQ64" s="331"/>
      <c r="CR64" s="331"/>
      <c r="CS64" s="331"/>
      <c r="CT64" s="17"/>
      <c r="CU64" s="347"/>
      <c r="CV64" s="357"/>
      <c r="CW64" s="85"/>
      <c r="CX64" s="85"/>
      <c r="CY64" s="87"/>
      <c r="CZ64" s="87"/>
      <c r="DA64" s="87"/>
      <c r="DB64" s="84"/>
      <c r="DC64" s="84"/>
      <c r="DD64" s="87"/>
      <c r="DE64" s="87"/>
      <c r="DF64" s="18"/>
      <c r="DG64" s="18"/>
      <c r="DH64" s="18"/>
      <c r="DI64" s="18"/>
      <c r="DJ64" s="18"/>
      <c r="DK64" s="89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</row>
    <row r="65" spans="1:127" s="7" customFormat="1" ht="25.5" customHeight="1" x14ac:dyDescent="0.2">
      <c r="A65" s="813" t="s">
        <v>8</v>
      </c>
      <c r="B65" s="787" t="s">
        <v>9</v>
      </c>
      <c r="C65" s="787" t="s">
        <v>22</v>
      </c>
      <c r="D65" s="806" t="s">
        <v>10</v>
      </c>
      <c r="E65" s="806"/>
      <c r="F65" s="806"/>
      <c r="G65" s="806"/>
      <c r="H65" s="806"/>
      <c r="I65" s="806"/>
      <c r="J65" s="806"/>
      <c r="K65" s="806"/>
      <c r="L65" s="806"/>
      <c r="M65" s="806"/>
      <c r="N65" s="806"/>
      <c r="O65" s="806"/>
      <c r="P65" s="806"/>
      <c r="Q65" s="806"/>
      <c r="R65" s="787" t="s">
        <v>20</v>
      </c>
      <c r="S65" s="807" t="s">
        <v>17</v>
      </c>
      <c r="T65" s="808"/>
      <c r="U65" s="808"/>
      <c r="V65" s="808"/>
      <c r="W65" s="808"/>
      <c r="X65" s="808"/>
      <c r="Y65" s="808"/>
      <c r="Z65" s="808"/>
      <c r="AA65" s="808"/>
      <c r="AB65" s="808"/>
      <c r="AC65" s="808"/>
      <c r="AD65" s="808"/>
      <c r="AE65" s="809"/>
      <c r="AF65" s="810" t="s">
        <v>5</v>
      </c>
      <c r="AG65" s="810"/>
      <c r="AH65" s="810"/>
      <c r="AI65" s="810"/>
      <c r="AJ65" s="810"/>
      <c r="AK65" s="810"/>
      <c r="AL65" s="810"/>
      <c r="AM65" s="810"/>
      <c r="AN65" s="810"/>
      <c r="AO65" s="810"/>
      <c r="AP65" s="810"/>
      <c r="AQ65" s="810"/>
      <c r="AR65" s="810"/>
      <c r="AS65" s="810"/>
      <c r="AT65" s="800" t="s">
        <v>32</v>
      </c>
      <c r="AU65" s="801"/>
      <c r="AV65" s="801"/>
      <c r="AW65" s="801"/>
      <c r="AX65" s="801"/>
      <c r="AY65" s="801"/>
      <c r="AZ65" s="801"/>
      <c r="BA65" s="801"/>
      <c r="BB65" s="801"/>
      <c r="BC65" s="801"/>
      <c r="BD65" s="801"/>
      <c r="BE65" s="801"/>
      <c r="BF65" s="802"/>
      <c r="BG65" s="787" t="s">
        <v>29</v>
      </c>
      <c r="BH65" s="787" t="s">
        <v>57</v>
      </c>
      <c r="BI65" s="790" t="s">
        <v>30</v>
      </c>
      <c r="BJ65" s="84"/>
      <c r="BK65" s="338">
        <f>BH61-BF62</f>
        <v>6952909</v>
      </c>
      <c r="BL65" s="84"/>
      <c r="BM65" s="84"/>
      <c r="BN65" s="84"/>
      <c r="BO65" s="84"/>
      <c r="BP65" s="774" t="s">
        <v>32</v>
      </c>
      <c r="BQ65" s="775"/>
      <c r="BR65" s="775"/>
      <c r="BS65" s="775"/>
      <c r="BT65" s="775"/>
      <c r="BU65" s="775"/>
      <c r="BV65" s="775"/>
      <c r="BW65" s="775"/>
      <c r="BX65" s="775"/>
      <c r="BY65" s="775"/>
      <c r="BZ65" s="775"/>
      <c r="CA65" s="775"/>
      <c r="CB65" s="775"/>
      <c r="CC65" s="775"/>
      <c r="CD65" s="775"/>
      <c r="CE65" s="775"/>
      <c r="CF65" s="775"/>
      <c r="CG65" s="775"/>
      <c r="CH65" s="775"/>
      <c r="CI65" s="775"/>
      <c r="CJ65" s="775"/>
      <c r="CK65" s="775"/>
      <c r="CL65" s="775"/>
      <c r="CM65" s="775"/>
      <c r="CN65" s="775"/>
      <c r="CO65" s="776"/>
      <c r="CP65" s="332"/>
      <c r="CQ65" s="332"/>
      <c r="CR65" s="332"/>
      <c r="CS65" s="332"/>
      <c r="CT65" s="17"/>
      <c r="CU65" s="347"/>
      <c r="CV65" s="357"/>
      <c r="CW65" s="17"/>
      <c r="CX65" s="17"/>
      <c r="CY65" s="17"/>
      <c r="CZ65" s="17"/>
      <c r="DA65" s="17"/>
      <c r="DB65" s="17"/>
      <c r="DC65" s="17"/>
      <c r="DD65" s="19"/>
      <c r="DE65" s="19"/>
    </row>
    <row r="66" spans="1:127" s="7" customFormat="1" ht="25.5" customHeight="1" x14ac:dyDescent="0.2">
      <c r="A66" s="814"/>
      <c r="B66" s="788"/>
      <c r="C66" s="788"/>
      <c r="D66" s="797" t="s">
        <v>18</v>
      </c>
      <c r="E66" s="795" t="s">
        <v>19</v>
      </c>
      <c r="F66" s="796"/>
      <c r="G66" s="796"/>
      <c r="H66" s="796"/>
      <c r="I66" s="796"/>
      <c r="J66" s="796"/>
      <c r="K66" s="796"/>
      <c r="L66" s="796"/>
      <c r="M66" s="796"/>
      <c r="N66" s="796"/>
      <c r="O66" s="796"/>
      <c r="P66" s="796"/>
      <c r="Q66" s="796"/>
      <c r="R66" s="788"/>
      <c r="S66" s="793" t="s">
        <v>18</v>
      </c>
      <c r="T66" s="795" t="s">
        <v>19</v>
      </c>
      <c r="U66" s="796"/>
      <c r="V66" s="796"/>
      <c r="W66" s="796"/>
      <c r="X66" s="796"/>
      <c r="Y66" s="796"/>
      <c r="Z66" s="796"/>
      <c r="AA66" s="796"/>
      <c r="AB66" s="796"/>
      <c r="AC66" s="796"/>
      <c r="AD66" s="796"/>
      <c r="AE66" s="799"/>
      <c r="AF66" s="797" t="s">
        <v>18</v>
      </c>
      <c r="AG66" s="795" t="s">
        <v>19</v>
      </c>
      <c r="AH66" s="796"/>
      <c r="AI66" s="796"/>
      <c r="AJ66" s="796"/>
      <c r="AK66" s="796"/>
      <c r="AL66" s="796"/>
      <c r="AM66" s="796"/>
      <c r="AN66" s="796"/>
      <c r="AO66" s="796"/>
      <c r="AP66" s="796"/>
      <c r="AQ66" s="796"/>
      <c r="AR66" s="796"/>
      <c r="AS66" s="799"/>
      <c r="AT66" s="803"/>
      <c r="AU66" s="804"/>
      <c r="AV66" s="804"/>
      <c r="AW66" s="804"/>
      <c r="AX66" s="804"/>
      <c r="AY66" s="804"/>
      <c r="AZ66" s="804"/>
      <c r="BA66" s="804"/>
      <c r="BB66" s="804"/>
      <c r="BC66" s="804"/>
      <c r="BD66" s="804"/>
      <c r="BE66" s="804"/>
      <c r="BF66" s="805"/>
      <c r="BG66" s="788"/>
      <c r="BH66" s="788"/>
      <c r="BI66" s="791"/>
      <c r="BJ66" s="84"/>
      <c r="BK66" s="17"/>
      <c r="BL66" s="17"/>
      <c r="BM66" s="17"/>
      <c r="BN66" s="17"/>
      <c r="BO66" s="17"/>
      <c r="BP66" s="778" t="s">
        <v>230</v>
      </c>
      <c r="BQ66" s="779"/>
      <c r="BR66" s="779"/>
      <c r="BS66" s="779"/>
      <c r="BT66" s="779"/>
      <c r="BU66" s="779"/>
      <c r="BV66" s="779"/>
      <c r="BW66" s="779"/>
      <c r="BX66" s="779"/>
      <c r="BY66" s="779"/>
      <c r="BZ66" s="779"/>
      <c r="CA66" s="779"/>
      <c r="CB66" s="780"/>
      <c r="CC66" s="781" t="s">
        <v>231</v>
      </c>
      <c r="CD66" s="782"/>
      <c r="CE66" s="782"/>
      <c r="CF66" s="782"/>
      <c r="CG66" s="782"/>
      <c r="CH66" s="782"/>
      <c r="CI66" s="782"/>
      <c r="CJ66" s="782"/>
      <c r="CK66" s="782"/>
      <c r="CL66" s="782"/>
      <c r="CM66" s="782"/>
      <c r="CN66" s="782"/>
      <c r="CO66" s="783"/>
      <c r="CP66" s="332"/>
      <c r="CQ66" s="332"/>
      <c r="CR66" s="332"/>
      <c r="CS66" s="332"/>
      <c r="CT66" s="17"/>
      <c r="CU66" s="347"/>
      <c r="CV66" s="357"/>
      <c r="CW66" s="17"/>
      <c r="CX66" s="17"/>
      <c r="CY66" s="17"/>
      <c r="CZ66" s="17"/>
      <c r="DA66" s="17"/>
      <c r="DB66" s="17"/>
      <c r="DC66" s="17"/>
      <c r="DD66" s="19"/>
      <c r="DE66" s="19"/>
    </row>
    <row r="67" spans="1:127" s="5" customFormat="1" ht="25.5" customHeight="1" x14ac:dyDescent="0.2">
      <c r="A67" s="815"/>
      <c r="B67" s="789"/>
      <c r="C67" s="789"/>
      <c r="D67" s="798"/>
      <c r="E67" s="753">
        <v>1</v>
      </c>
      <c r="F67" s="20">
        <v>2</v>
      </c>
      <c r="G67" s="20">
        <v>3</v>
      </c>
      <c r="H67" s="20">
        <v>4</v>
      </c>
      <c r="I67" s="20">
        <v>5</v>
      </c>
      <c r="J67" s="20">
        <v>6</v>
      </c>
      <c r="K67" s="20">
        <v>7</v>
      </c>
      <c r="L67" s="20">
        <v>8</v>
      </c>
      <c r="M67" s="20">
        <v>9</v>
      </c>
      <c r="N67" s="20">
        <v>10</v>
      </c>
      <c r="O67" s="20">
        <v>11</v>
      </c>
      <c r="P67" s="20">
        <v>12</v>
      </c>
      <c r="Q67" s="20" t="s">
        <v>21</v>
      </c>
      <c r="R67" s="789"/>
      <c r="S67" s="794"/>
      <c r="T67" s="20">
        <v>1</v>
      </c>
      <c r="U67" s="20">
        <v>2</v>
      </c>
      <c r="V67" s="20">
        <v>3</v>
      </c>
      <c r="W67" s="20">
        <v>4</v>
      </c>
      <c r="X67" s="20">
        <v>5</v>
      </c>
      <c r="Y67" s="20">
        <v>6</v>
      </c>
      <c r="Z67" s="20">
        <v>7</v>
      </c>
      <c r="AA67" s="20">
        <v>8</v>
      </c>
      <c r="AB67" s="20">
        <v>9</v>
      </c>
      <c r="AC67" s="20">
        <v>10</v>
      </c>
      <c r="AD67" s="20">
        <v>11</v>
      </c>
      <c r="AE67" s="20">
        <v>12</v>
      </c>
      <c r="AF67" s="798"/>
      <c r="AG67" s="20">
        <v>1</v>
      </c>
      <c r="AH67" s="20">
        <v>2</v>
      </c>
      <c r="AI67" s="20">
        <v>3</v>
      </c>
      <c r="AJ67" s="20">
        <v>4</v>
      </c>
      <c r="AK67" s="20">
        <v>5</v>
      </c>
      <c r="AL67" s="20">
        <v>6</v>
      </c>
      <c r="AM67" s="20">
        <v>7</v>
      </c>
      <c r="AN67" s="20">
        <v>8</v>
      </c>
      <c r="AO67" s="20">
        <v>9</v>
      </c>
      <c r="AP67" s="20">
        <v>10</v>
      </c>
      <c r="AQ67" s="20">
        <v>11</v>
      </c>
      <c r="AR67" s="20">
        <v>12</v>
      </c>
      <c r="AS67" s="20" t="s">
        <v>13</v>
      </c>
      <c r="AT67" s="111">
        <v>1</v>
      </c>
      <c r="AU67" s="111">
        <v>2</v>
      </c>
      <c r="AV67" s="111">
        <v>3</v>
      </c>
      <c r="AW67" s="111">
        <v>4</v>
      </c>
      <c r="AX67" s="111">
        <v>5</v>
      </c>
      <c r="AY67" s="111">
        <v>6</v>
      </c>
      <c r="AZ67" s="111">
        <v>7</v>
      </c>
      <c r="BA67" s="111">
        <v>8</v>
      </c>
      <c r="BB67" s="111">
        <v>9</v>
      </c>
      <c r="BC67" s="111">
        <v>10</v>
      </c>
      <c r="BD67" s="111">
        <v>11</v>
      </c>
      <c r="BE67" s="111">
        <v>12</v>
      </c>
      <c r="BF67" s="20" t="s">
        <v>13</v>
      </c>
      <c r="BG67" s="789"/>
      <c r="BH67" s="789"/>
      <c r="BI67" s="792"/>
      <c r="BJ67" s="6"/>
      <c r="BK67" s="564"/>
      <c r="BL67" s="111">
        <v>3</v>
      </c>
      <c r="BM67" s="111"/>
      <c r="BN67" s="111"/>
      <c r="BO67" s="337"/>
      <c r="BP67" s="111">
        <v>1</v>
      </c>
      <c r="BQ67" s="111">
        <v>2</v>
      </c>
      <c r="BR67" s="111">
        <v>3</v>
      </c>
      <c r="BS67" s="111">
        <v>4</v>
      </c>
      <c r="BT67" s="111">
        <v>5</v>
      </c>
      <c r="BU67" s="111">
        <v>6</v>
      </c>
      <c r="BV67" s="111">
        <v>7</v>
      </c>
      <c r="BW67" s="111">
        <v>8</v>
      </c>
      <c r="BX67" s="111">
        <v>9</v>
      </c>
      <c r="BY67" s="111">
        <v>10</v>
      </c>
      <c r="BZ67" s="111">
        <v>11</v>
      </c>
      <c r="CA67" s="111">
        <v>12</v>
      </c>
      <c r="CB67" s="20" t="s">
        <v>13</v>
      </c>
      <c r="CC67" s="111">
        <v>1</v>
      </c>
      <c r="CD67" s="111">
        <v>2</v>
      </c>
      <c r="CE67" s="111">
        <v>3</v>
      </c>
      <c r="CF67" s="111">
        <v>4</v>
      </c>
      <c r="CG67" s="111">
        <v>5</v>
      </c>
      <c r="CH67" s="111">
        <v>6</v>
      </c>
      <c r="CI67" s="111">
        <v>7</v>
      </c>
      <c r="CJ67" s="111">
        <v>8</v>
      </c>
      <c r="CK67" s="111">
        <v>9</v>
      </c>
      <c r="CL67" s="111">
        <v>10</v>
      </c>
      <c r="CM67" s="111">
        <v>11</v>
      </c>
      <c r="CN67" s="111">
        <v>12</v>
      </c>
      <c r="CO67" s="20" t="s">
        <v>13</v>
      </c>
      <c r="CP67" s="333"/>
      <c r="CQ67" s="333"/>
      <c r="CR67" s="333"/>
      <c r="CS67" s="333"/>
      <c r="CT67" s="358"/>
      <c r="CU67" s="348"/>
      <c r="CV67" s="359"/>
      <c r="CW67" s="21"/>
      <c r="CX67" s="21"/>
      <c r="CY67" s="21"/>
      <c r="CZ67" s="21"/>
      <c r="DA67" s="21"/>
      <c r="DB67" s="21"/>
      <c r="DC67" s="21"/>
      <c r="DD67" s="21"/>
      <c r="DE67" s="21"/>
    </row>
    <row r="68" spans="1:127" s="70" customFormat="1" ht="25.5" customHeight="1" x14ac:dyDescent="0.2">
      <c r="A68" s="64"/>
      <c r="B68" s="754" t="s">
        <v>297</v>
      </c>
      <c r="C68" s="123" t="s">
        <v>73</v>
      </c>
      <c r="D68" s="755">
        <v>5</v>
      </c>
      <c r="E68" s="755">
        <v>5</v>
      </c>
      <c r="F68" s="756"/>
      <c r="G68" s="757"/>
      <c r="H68" s="758"/>
      <c r="I68" s="758"/>
      <c r="J68" s="756"/>
      <c r="K68" s="758"/>
      <c r="L68" s="758"/>
      <c r="M68" s="758"/>
      <c r="N68" s="758"/>
      <c r="O68" s="758"/>
      <c r="P68" s="758"/>
      <c r="Q68" s="759">
        <f>SUM(E68:P68)</f>
        <v>5</v>
      </c>
      <c r="R68" s="124" t="s">
        <v>15</v>
      </c>
      <c r="S68" s="760">
        <v>100000</v>
      </c>
      <c r="T68" s="760">
        <v>100000</v>
      </c>
      <c r="U68" s="321"/>
      <c r="V68" s="761"/>
      <c r="W68" s="761"/>
      <c r="X68" s="761"/>
      <c r="Y68" s="321"/>
      <c r="Z68" s="761"/>
      <c r="AA68" s="761"/>
      <c r="AB68" s="761"/>
      <c r="AC68" s="761"/>
      <c r="AD68" s="761"/>
      <c r="AE68" s="761"/>
      <c r="AF68" s="51">
        <f>Q68*S68</f>
        <v>500000</v>
      </c>
      <c r="AG68" s="323">
        <f t="shared" ref="AG68:AR71" si="331">T68*E68</f>
        <v>500000</v>
      </c>
      <c r="AH68" s="323">
        <f t="shared" si="331"/>
        <v>0</v>
      </c>
      <c r="AI68" s="323">
        <f t="shared" si="331"/>
        <v>0</v>
      </c>
      <c r="AJ68" s="323">
        <f t="shared" si="331"/>
        <v>0</v>
      </c>
      <c r="AK68" s="323">
        <f t="shared" si="331"/>
        <v>0</v>
      </c>
      <c r="AL68" s="323">
        <f t="shared" si="331"/>
        <v>0</v>
      </c>
      <c r="AM68" s="323">
        <f t="shared" si="331"/>
        <v>0</v>
      </c>
      <c r="AN68" s="323">
        <f t="shared" si="331"/>
        <v>0</v>
      </c>
      <c r="AO68" s="323">
        <f t="shared" si="331"/>
        <v>0</v>
      </c>
      <c r="AP68" s="323">
        <f t="shared" si="331"/>
        <v>0</v>
      </c>
      <c r="AQ68" s="323">
        <f t="shared" si="331"/>
        <v>0</v>
      </c>
      <c r="AR68" s="323">
        <f t="shared" si="331"/>
        <v>0</v>
      </c>
      <c r="AS68" s="324">
        <f t="shared" ref="AS68:AS71" si="332">SUM(AG68:AR68)</f>
        <v>500000</v>
      </c>
      <c r="AT68" s="323"/>
      <c r="AU68" s="323">
        <f t="shared" ref="AU68:BE71" si="333">SUM(AH68*14%)</f>
        <v>0</v>
      </c>
      <c r="AV68" s="323">
        <f t="shared" si="333"/>
        <v>0</v>
      </c>
      <c r="AW68" s="323">
        <f t="shared" si="333"/>
        <v>0</v>
      </c>
      <c r="AX68" s="323">
        <f t="shared" si="333"/>
        <v>0</v>
      </c>
      <c r="AY68" s="323">
        <f t="shared" si="333"/>
        <v>0</v>
      </c>
      <c r="AZ68" s="323">
        <f t="shared" si="333"/>
        <v>0</v>
      </c>
      <c r="BA68" s="323">
        <f t="shared" si="333"/>
        <v>0</v>
      </c>
      <c r="BB68" s="323">
        <f t="shared" si="333"/>
        <v>0</v>
      </c>
      <c r="BC68" s="323">
        <f t="shared" si="333"/>
        <v>0</v>
      </c>
      <c r="BD68" s="323">
        <f t="shared" si="333"/>
        <v>0</v>
      </c>
      <c r="BE68" s="323">
        <f t="shared" si="333"/>
        <v>0</v>
      </c>
      <c r="BF68" s="55">
        <f>SUM(AT68:BE68)</f>
        <v>0</v>
      </c>
      <c r="BG68" s="762">
        <f t="shared" ref="BG68" si="334">AF68-AS68-BF68</f>
        <v>0</v>
      </c>
      <c r="BH68" s="763">
        <f>S68*D68</f>
        <v>500000</v>
      </c>
      <c r="BI68" s="764">
        <f>BH68-AS68-BF68</f>
        <v>0</v>
      </c>
      <c r="BJ68" s="765">
        <f>SUM(Q68/D68)</f>
        <v>1</v>
      </c>
      <c r="BK68" s="565"/>
      <c r="BL68" s="323">
        <f>SUM(AO68*14%)</f>
        <v>0</v>
      </c>
      <c r="BM68" s="323"/>
      <c r="BN68" s="323"/>
      <c r="BO68" s="561"/>
      <c r="BP68" s="323"/>
      <c r="BQ68" s="323">
        <f t="shared" ref="BQ68:CA71" si="335">SUM(AZ68*14%)</f>
        <v>0</v>
      </c>
      <c r="BR68" s="323">
        <f t="shared" si="335"/>
        <v>0</v>
      </c>
      <c r="BS68" s="323">
        <f t="shared" si="335"/>
        <v>0</v>
      </c>
      <c r="BT68" s="323">
        <f t="shared" si="335"/>
        <v>0</v>
      </c>
      <c r="BU68" s="323">
        <f t="shared" si="335"/>
        <v>0</v>
      </c>
      <c r="BV68" s="323">
        <f t="shared" si="335"/>
        <v>0</v>
      </c>
      <c r="BW68" s="323">
        <f t="shared" si="335"/>
        <v>0</v>
      </c>
      <c r="BX68" s="323">
        <f t="shared" si="335"/>
        <v>0</v>
      </c>
      <c r="BY68" s="323">
        <f t="shared" si="335"/>
        <v>70000</v>
      </c>
      <c r="BZ68" s="323">
        <f t="shared" si="335"/>
        <v>0</v>
      </c>
      <c r="CA68" s="323">
        <f t="shared" si="335"/>
        <v>0.14000000000000001</v>
      </c>
      <c r="CB68" s="55">
        <f>SUM(BP68:CA68)</f>
        <v>70000.14</v>
      </c>
      <c r="CC68" s="323"/>
      <c r="CD68" s="323">
        <f t="shared" ref="CD68:CN71" si="336">SUM(BR68*14%)</f>
        <v>0</v>
      </c>
      <c r="CE68" s="323">
        <f t="shared" si="336"/>
        <v>0</v>
      </c>
      <c r="CF68" s="323">
        <f t="shared" si="336"/>
        <v>0</v>
      </c>
      <c r="CG68" s="323">
        <f t="shared" si="336"/>
        <v>0</v>
      </c>
      <c r="CH68" s="323">
        <f t="shared" si="336"/>
        <v>0</v>
      </c>
      <c r="CI68" s="323">
        <f t="shared" si="336"/>
        <v>0</v>
      </c>
      <c r="CJ68" s="323">
        <f t="shared" si="336"/>
        <v>0</v>
      </c>
      <c r="CK68" s="323">
        <f t="shared" si="336"/>
        <v>9800.0000000000018</v>
      </c>
      <c r="CL68" s="323">
        <f t="shared" si="336"/>
        <v>0</v>
      </c>
      <c r="CM68" s="323">
        <f t="shared" si="336"/>
        <v>1.9600000000000003E-2</v>
      </c>
      <c r="CN68" s="323">
        <f t="shared" si="336"/>
        <v>9800.0196000000014</v>
      </c>
      <c r="CO68" s="55">
        <f>SUM(CC68:CN68)</f>
        <v>19600.039200000003</v>
      </c>
      <c r="CP68" s="334"/>
      <c r="CQ68" s="334"/>
      <c r="CR68" s="334"/>
      <c r="CS68" s="334"/>
      <c r="CT68" s="360"/>
      <c r="CU68" s="349"/>
      <c r="CV68" s="361"/>
      <c r="CW68" s="69"/>
      <c r="CX68" s="69"/>
      <c r="CY68" s="69"/>
      <c r="CZ68" s="69"/>
      <c r="DA68" s="69"/>
      <c r="DB68" s="69"/>
      <c r="DC68" s="69"/>
      <c r="DD68" s="69"/>
      <c r="DE68" s="69"/>
    </row>
    <row r="69" spans="1:127" s="70" customFormat="1" ht="25.5" customHeight="1" x14ac:dyDescent="0.2">
      <c r="A69" s="64" t="s">
        <v>172</v>
      </c>
      <c r="B69" s="125" t="s">
        <v>298</v>
      </c>
      <c r="C69" s="123" t="s">
        <v>73</v>
      </c>
      <c r="D69" s="755">
        <v>12</v>
      </c>
      <c r="E69" s="766"/>
      <c r="F69" s="766">
        <v>6</v>
      </c>
      <c r="G69" s="757"/>
      <c r="H69" s="758"/>
      <c r="I69" s="758"/>
      <c r="J69" s="756"/>
      <c r="K69" s="758"/>
      <c r="L69" s="758"/>
      <c r="M69" s="758"/>
      <c r="N69" s="758"/>
      <c r="O69" s="758"/>
      <c r="P69" s="758"/>
      <c r="Q69" s="759">
        <f>SUM(E69:P69)</f>
        <v>6</v>
      </c>
      <c r="R69" s="124" t="s">
        <v>299</v>
      </c>
      <c r="S69" s="760">
        <v>28500</v>
      </c>
      <c r="T69" s="767"/>
      <c r="U69" s="432">
        <v>28000</v>
      </c>
      <c r="V69" s="761">
        <v>28000</v>
      </c>
      <c r="W69" s="761"/>
      <c r="X69" s="761"/>
      <c r="Y69" s="321"/>
      <c r="Z69" s="761"/>
      <c r="AA69" s="761"/>
      <c r="AB69" s="761"/>
      <c r="AC69" s="761"/>
      <c r="AD69" s="761"/>
      <c r="AE69" s="761"/>
      <c r="AF69" s="51">
        <f t="shared" ref="AF69:AF71" si="337">Q69*S69</f>
        <v>171000</v>
      </c>
      <c r="AG69" s="570">
        <f t="shared" si="331"/>
        <v>0</v>
      </c>
      <c r="AH69" s="570">
        <f>U69*F69</f>
        <v>168000</v>
      </c>
      <c r="AI69" s="570">
        <f t="shared" si="331"/>
        <v>0</v>
      </c>
      <c r="AJ69" s="323">
        <f t="shared" si="331"/>
        <v>0</v>
      </c>
      <c r="AK69" s="323">
        <f t="shared" si="331"/>
        <v>0</v>
      </c>
      <c r="AL69" s="323">
        <f t="shared" si="331"/>
        <v>0</v>
      </c>
      <c r="AM69" s="323">
        <f t="shared" si="331"/>
        <v>0</v>
      </c>
      <c r="AN69" s="323">
        <f t="shared" si="331"/>
        <v>0</v>
      </c>
      <c r="AO69" s="323">
        <f t="shared" si="331"/>
        <v>0</v>
      </c>
      <c r="AP69" s="323">
        <f t="shared" si="331"/>
        <v>0</v>
      </c>
      <c r="AQ69" s="323">
        <f t="shared" si="331"/>
        <v>0</v>
      </c>
      <c r="AR69" s="323">
        <f t="shared" si="331"/>
        <v>0</v>
      </c>
      <c r="AS69" s="324">
        <f t="shared" si="332"/>
        <v>168000</v>
      </c>
      <c r="AT69" s="323">
        <f>AG69*2%</f>
        <v>0</v>
      </c>
      <c r="AU69" s="323">
        <f>SUM(AH69*12%)</f>
        <v>20160</v>
      </c>
      <c r="AV69" s="323">
        <f>SUM(AI69*12%)</f>
        <v>0</v>
      </c>
      <c r="AW69" s="323">
        <f t="shared" si="333"/>
        <v>0</v>
      </c>
      <c r="AX69" s="323">
        <f t="shared" si="333"/>
        <v>0</v>
      </c>
      <c r="AY69" s="323">
        <f t="shared" si="333"/>
        <v>0</v>
      </c>
      <c r="AZ69" s="323">
        <f t="shared" si="333"/>
        <v>0</v>
      </c>
      <c r="BA69" s="323">
        <f t="shared" si="333"/>
        <v>0</v>
      </c>
      <c r="BB69" s="323">
        <f t="shared" si="333"/>
        <v>0</v>
      </c>
      <c r="BC69" s="323">
        <f t="shared" si="333"/>
        <v>0</v>
      </c>
      <c r="BD69" s="323">
        <f t="shared" si="333"/>
        <v>0</v>
      </c>
      <c r="BE69" s="323">
        <f t="shared" si="333"/>
        <v>0</v>
      </c>
      <c r="BF69" s="55">
        <f>SUM(AT69:BE69)</f>
        <v>20160</v>
      </c>
      <c r="BG69" s="762">
        <f>AF69-AS69</f>
        <v>3000</v>
      </c>
      <c r="BH69" s="763">
        <f>S69*D69</f>
        <v>342000</v>
      </c>
      <c r="BI69" s="764">
        <f>BH69-AS69</f>
        <v>174000</v>
      </c>
      <c r="BJ69" s="765">
        <f>SUM(Q69/D69)</f>
        <v>0.5</v>
      </c>
      <c r="BK69" s="565"/>
      <c r="BL69" s="323">
        <f>AG69-AT69</f>
        <v>0</v>
      </c>
      <c r="BM69" s="323">
        <f>6*24000</f>
        <v>144000</v>
      </c>
      <c r="BN69" s="323">
        <f>BL69-BM69</f>
        <v>-144000</v>
      </c>
      <c r="BO69" s="561"/>
      <c r="BP69" s="323"/>
      <c r="BQ69" s="323">
        <f t="shared" si="335"/>
        <v>0</v>
      </c>
      <c r="BR69" s="323">
        <f t="shared" si="335"/>
        <v>0</v>
      </c>
      <c r="BS69" s="323">
        <f t="shared" si="335"/>
        <v>0</v>
      </c>
      <c r="BT69" s="323">
        <f t="shared" si="335"/>
        <v>0</v>
      </c>
      <c r="BU69" s="323">
        <f t="shared" si="335"/>
        <v>0</v>
      </c>
      <c r="BV69" s="323">
        <f t="shared" si="335"/>
        <v>0</v>
      </c>
      <c r="BW69" s="323">
        <f t="shared" si="335"/>
        <v>2822.4</v>
      </c>
      <c r="BX69" s="323">
        <f t="shared" si="335"/>
        <v>420.00000000000006</v>
      </c>
      <c r="BY69" s="323">
        <f t="shared" si="335"/>
        <v>47880.000000000007</v>
      </c>
      <c r="BZ69" s="323">
        <f t="shared" si="335"/>
        <v>24360.000000000004</v>
      </c>
      <c r="CA69" s="323">
        <f t="shared" si="335"/>
        <v>7.0000000000000007E-2</v>
      </c>
      <c r="CB69" s="55">
        <f>SUM(BP69:CA69)</f>
        <v>75482.470000000016</v>
      </c>
      <c r="CC69" s="323"/>
      <c r="CD69" s="323">
        <f t="shared" si="336"/>
        <v>0</v>
      </c>
      <c r="CE69" s="323">
        <f t="shared" si="336"/>
        <v>0</v>
      </c>
      <c r="CF69" s="323">
        <f t="shared" si="336"/>
        <v>0</v>
      </c>
      <c r="CG69" s="323">
        <f t="shared" si="336"/>
        <v>0</v>
      </c>
      <c r="CH69" s="323">
        <f t="shared" si="336"/>
        <v>0</v>
      </c>
      <c r="CI69" s="323">
        <f t="shared" si="336"/>
        <v>395.13600000000002</v>
      </c>
      <c r="CJ69" s="323">
        <f t="shared" si="336"/>
        <v>58.800000000000011</v>
      </c>
      <c r="CK69" s="323">
        <f t="shared" si="336"/>
        <v>6703.2000000000016</v>
      </c>
      <c r="CL69" s="323">
        <f t="shared" si="336"/>
        <v>3410.400000000001</v>
      </c>
      <c r="CM69" s="323">
        <f t="shared" si="336"/>
        <v>9.8000000000000014E-3</v>
      </c>
      <c r="CN69" s="323">
        <f t="shared" si="336"/>
        <v>10567.545800000004</v>
      </c>
      <c r="CO69" s="55">
        <f>SUM(CC69:CN69)</f>
        <v>21135.091600000007</v>
      </c>
      <c r="CP69" s="334"/>
      <c r="CQ69" s="334"/>
      <c r="CR69" s="334"/>
      <c r="CS69" s="334"/>
      <c r="CT69" s="360"/>
      <c r="CU69" s="349"/>
      <c r="CV69" s="361"/>
      <c r="CW69" s="69"/>
      <c r="CX69" s="69"/>
      <c r="CY69" s="69"/>
      <c r="CZ69" s="69"/>
      <c r="DA69" s="69"/>
      <c r="DB69" s="69"/>
      <c r="DC69" s="69"/>
      <c r="DD69" s="69"/>
      <c r="DE69" s="69"/>
    </row>
    <row r="70" spans="1:127" s="70" customFormat="1" ht="25.5" customHeight="1" x14ac:dyDescent="0.2">
      <c r="A70" s="64" t="s">
        <v>172</v>
      </c>
      <c r="B70" s="125" t="s">
        <v>300</v>
      </c>
      <c r="C70" s="123" t="s">
        <v>73</v>
      </c>
      <c r="D70" s="755">
        <v>12</v>
      </c>
      <c r="E70" s="766"/>
      <c r="F70" s="766">
        <v>6</v>
      </c>
      <c r="G70" s="757"/>
      <c r="H70" s="758"/>
      <c r="I70" s="758"/>
      <c r="J70" s="756"/>
      <c r="K70" s="758"/>
      <c r="L70" s="758"/>
      <c r="M70" s="758"/>
      <c r="N70" s="758"/>
      <c r="O70" s="758"/>
      <c r="P70" s="758"/>
      <c r="Q70" s="759">
        <f>SUM(E70:P70)</f>
        <v>6</v>
      </c>
      <c r="R70" s="124" t="s">
        <v>299</v>
      </c>
      <c r="S70" s="760">
        <v>20000</v>
      </c>
      <c r="T70" s="767"/>
      <c r="U70" s="432">
        <v>17000</v>
      </c>
      <c r="V70" s="761">
        <v>17000</v>
      </c>
      <c r="W70" s="761"/>
      <c r="X70" s="761"/>
      <c r="Y70" s="321"/>
      <c r="Z70" s="761"/>
      <c r="AA70" s="761"/>
      <c r="AB70" s="761"/>
      <c r="AC70" s="761"/>
      <c r="AD70" s="761"/>
      <c r="AE70" s="761"/>
      <c r="AF70" s="51">
        <f t="shared" si="337"/>
        <v>120000</v>
      </c>
      <c r="AG70" s="570">
        <f t="shared" si="331"/>
        <v>0</v>
      </c>
      <c r="AH70" s="570">
        <f t="shared" si="331"/>
        <v>102000</v>
      </c>
      <c r="AI70" s="570">
        <f t="shared" si="331"/>
        <v>0</v>
      </c>
      <c r="AJ70" s="323">
        <f t="shared" si="331"/>
        <v>0</v>
      </c>
      <c r="AK70" s="323">
        <f t="shared" si="331"/>
        <v>0</v>
      </c>
      <c r="AL70" s="323">
        <f t="shared" si="331"/>
        <v>0</v>
      </c>
      <c r="AM70" s="323">
        <f t="shared" si="331"/>
        <v>0</v>
      </c>
      <c r="AN70" s="323">
        <f t="shared" si="331"/>
        <v>0</v>
      </c>
      <c r="AO70" s="323">
        <f t="shared" si="331"/>
        <v>0</v>
      </c>
      <c r="AP70" s="323">
        <f t="shared" si="331"/>
        <v>0</v>
      </c>
      <c r="AQ70" s="323">
        <f t="shared" si="331"/>
        <v>0</v>
      </c>
      <c r="AR70" s="323">
        <f t="shared" si="331"/>
        <v>0</v>
      </c>
      <c r="AS70" s="324">
        <f t="shared" si="332"/>
        <v>102000</v>
      </c>
      <c r="AT70" s="323"/>
      <c r="AU70" s="323"/>
      <c r="AV70" s="323"/>
      <c r="AW70" s="323">
        <f t="shared" si="333"/>
        <v>0</v>
      </c>
      <c r="AX70" s="323">
        <f t="shared" si="333"/>
        <v>0</v>
      </c>
      <c r="AY70" s="323">
        <f t="shared" si="333"/>
        <v>0</v>
      </c>
      <c r="AZ70" s="323">
        <f t="shared" si="333"/>
        <v>0</v>
      </c>
      <c r="BA70" s="323">
        <f t="shared" si="333"/>
        <v>0</v>
      </c>
      <c r="BB70" s="323">
        <f t="shared" si="333"/>
        <v>0</v>
      </c>
      <c r="BC70" s="323">
        <f t="shared" si="333"/>
        <v>0</v>
      </c>
      <c r="BD70" s="323">
        <f t="shared" si="333"/>
        <v>0</v>
      </c>
      <c r="BE70" s="323">
        <f t="shared" si="333"/>
        <v>0</v>
      </c>
      <c r="BF70" s="55">
        <f>SUM(AT70:BE70)</f>
        <v>0</v>
      </c>
      <c r="BG70" s="762">
        <f t="shared" ref="BG70:BG71" si="338">AF70-AS70</f>
        <v>18000</v>
      </c>
      <c r="BH70" s="763">
        <f>S70*D70</f>
        <v>240000</v>
      </c>
      <c r="BI70" s="764">
        <f>BH70-AS70</f>
        <v>138000</v>
      </c>
      <c r="BJ70" s="765">
        <f>SUM(Q70/D70)</f>
        <v>0.5</v>
      </c>
      <c r="BK70" s="565"/>
      <c r="BL70" s="323">
        <f>SUM(AO70*14%)</f>
        <v>0</v>
      </c>
      <c r="BM70" s="323"/>
      <c r="BN70" s="323"/>
      <c r="BO70" s="561"/>
      <c r="BP70" s="323"/>
      <c r="BQ70" s="323">
        <f t="shared" si="335"/>
        <v>0</v>
      </c>
      <c r="BR70" s="323">
        <f t="shared" si="335"/>
        <v>0</v>
      </c>
      <c r="BS70" s="323">
        <f t="shared" si="335"/>
        <v>0</v>
      </c>
      <c r="BT70" s="323">
        <f t="shared" si="335"/>
        <v>0</v>
      </c>
      <c r="BU70" s="323">
        <f t="shared" si="335"/>
        <v>0</v>
      </c>
      <c r="BV70" s="323">
        <f t="shared" si="335"/>
        <v>0</v>
      </c>
      <c r="BW70" s="323">
        <f t="shared" si="335"/>
        <v>0</v>
      </c>
      <c r="BX70" s="323">
        <f t="shared" si="335"/>
        <v>2520.0000000000005</v>
      </c>
      <c r="BY70" s="323">
        <f t="shared" si="335"/>
        <v>33600</v>
      </c>
      <c r="BZ70" s="323">
        <f t="shared" si="335"/>
        <v>19320.000000000004</v>
      </c>
      <c r="CA70" s="323">
        <f t="shared" si="335"/>
        <v>7.0000000000000007E-2</v>
      </c>
      <c r="CB70" s="55">
        <f>SUM(BP70:CA70)</f>
        <v>55440.07</v>
      </c>
      <c r="CC70" s="323"/>
      <c r="CD70" s="323">
        <f t="shared" si="336"/>
        <v>0</v>
      </c>
      <c r="CE70" s="323">
        <f t="shared" si="336"/>
        <v>0</v>
      </c>
      <c r="CF70" s="323">
        <f t="shared" si="336"/>
        <v>0</v>
      </c>
      <c r="CG70" s="323">
        <f t="shared" si="336"/>
        <v>0</v>
      </c>
      <c r="CH70" s="323">
        <f t="shared" si="336"/>
        <v>0</v>
      </c>
      <c r="CI70" s="323">
        <f t="shared" si="336"/>
        <v>0</v>
      </c>
      <c r="CJ70" s="323">
        <f t="shared" si="336"/>
        <v>352.80000000000013</v>
      </c>
      <c r="CK70" s="323">
        <f t="shared" si="336"/>
        <v>4704</v>
      </c>
      <c r="CL70" s="323">
        <f t="shared" si="336"/>
        <v>2704.8000000000006</v>
      </c>
      <c r="CM70" s="323">
        <f t="shared" si="336"/>
        <v>9.8000000000000014E-3</v>
      </c>
      <c r="CN70" s="323">
        <f t="shared" si="336"/>
        <v>7761.6098000000011</v>
      </c>
      <c r="CO70" s="55">
        <f>SUM(CC70:CN70)</f>
        <v>15523.2196</v>
      </c>
      <c r="CP70" s="334"/>
      <c r="CQ70" s="334"/>
      <c r="CR70" s="334"/>
      <c r="CS70" s="334"/>
      <c r="CT70" s="360"/>
      <c r="CU70" s="349"/>
      <c r="CV70" s="361"/>
      <c r="CW70" s="69"/>
      <c r="CX70" s="69"/>
      <c r="CY70" s="69"/>
      <c r="CZ70" s="69"/>
      <c r="DA70" s="69"/>
      <c r="DB70" s="69"/>
      <c r="DC70" s="69"/>
      <c r="DD70" s="69"/>
      <c r="DE70" s="69"/>
    </row>
    <row r="71" spans="1:127" s="70" customFormat="1" ht="25.5" customHeight="1" thickBot="1" x14ac:dyDescent="0.25">
      <c r="A71" s="64"/>
      <c r="B71" s="125" t="s">
        <v>301</v>
      </c>
      <c r="C71" s="123" t="s">
        <v>73</v>
      </c>
      <c r="D71" s="755">
        <v>60</v>
      </c>
      <c r="E71" s="766"/>
      <c r="F71" s="766">
        <v>30</v>
      </c>
      <c r="G71" s="757"/>
      <c r="H71" s="758"/>
      <c r="I71" s="758"/>
      <c r="J71" s="756"/>
      <c r="K71" s="758"/>
      <c r="L71" s="758"/>
      <c r="M71" s="758"/>
      <c r="N71" s="758"/>
      <c r="O71" s="758"/>
      <c r="P71" s="758"/>
      <c r="Q71" s="759">
        <f>SUM(E71:P71)</f>
        <v>30</v>
      </c>
      <c r="R71" s="124" t="s">
        <v>299</v>
      </c>
      <c r="S71" s="760">
        <v>100000</v>
      </c>
      <c r="T71" s="767"/>
      <c r="U71" s="432">
        <v>100000</v>
      </c>
      <c r="V71" s="761">
        <v>100000</v>
      </c>
      <c r="W71" s="761"/>
      <c r="X71" s="761"/>
      <c r="Y71" s="321"/>
      <c r="Z71" s="761"/>
      <c r="AA71" s="761"/>
      <c r="AB71" s="761"/>
      <c r="AC71" s="761"/>
      <c r="AD71" s="761"/>
      <c r="AE71" s="761"/>
      <c r="AF71" s="51">
        <f t="shared" si="337"/>
        <v>3000000</v>
      </c>
      <c r="AG71" s="570">
        <f t="shared" si="331"/>
        <v>0</v>
      </c>
      <c r="AH71" s="570">
        <f t="shared" si="331"/>
        <v>3000000</v>
      </c>
      <c r="AI71" s="570">
        <f t="shared" si="331"/>
        <v>0</v>
      </c>
      <c r="AJ71" s="323">
        <f t="shared" si="331"/>
        <v>0</v>
      </c>
      <c r="AK71" s="323">
        <f t="shared" si="331"/>
        <v>0</v>
      </c>
      <c r="AL71" s="323">
        <f t="shared" si="331"/>
        <v>0</v>
      </c>
      <c r="AM71" s="323">
        <f t="shared" si="331"/>
        <v>0</v>
      </c>
      <c r="AN71" s="323">
        <f t="shared" si="331"/>
        <v>0</v>
      </c>
      <c r="AO71" s="323">
        <f t="shared" si="331"/>
        <v>0</v>
      </c>
      <c r="AP71" s="323">
        <f t="shared" si="331"/>
        <v>0</v>
      </c>
      <c r="AQ71" s="323">
        <f t="shared" si="331"/>
        <v>0</v>
      </c>
      <c r="AR71" s="323">
        <f t="shared" si="331"/>
        <v>0</v>
      </c>
      <c r="AS71" s="324">
        <f t="shared" si="332"/>
        <v>3000000</v>
      </c>
      <c r="AT71" s="323"/>
      <c r="AU71" s="323"/>
      <c r="AV71" s="323"/>
      <c r="AW71" s="323">
        <f t="shared" si="333"/>
        <v>0</v>
      </c>
      <c r="AX71" s="323">
        <f t="shared" si="333"/>
        <v>0</v>
      </c>
      <c r="AY71" s="323">
        <f t="shared" si="333"/>
        <v>0</v>
      </c>
      <c r="AZ71" s="323">
        <f t="shared" si="333"/>
        <v>0</v>
      </c>
      <c r="BA71" s="323">
        <f t="shared" si="333"/>
        <v>0</v>
      </c>
      <c r="BB71" s="323">
        <f t="shared" si="333"/>
        <v>0</v>
      </c>
      <c r="BC71" s="323">
        <f t="shared" si="333"/>
        <v>0</v>
      </c>
      <c r="BD71" s="323">
        <f t="shared" si="333"/>
        <v>0</v>
      </c>
      <c r="BE71" s="323">
        <f t="shared" si="333"/>
        <v>0</v>
      </c>
      <c r="BF71" s="55">
        <f>SUM(AT71:BE71)</f>
        <v>0</v>
      </c>
      <c r="BG71" s="762">
        <f t="shared" si="338"/>
        <v>0</v>
      </c>
      <c r="BH71" s="763">
        <f>S71*D71</f>
        <v>6000000</v>
      </c>
      <c r="BI71" s="764">
        <f>BH71-AS71</f>
        <v>3000000</v>
      </c>
      <c r="BJ71" s="765">
        <f>SUM(Q71/D71)</f>
        <v>0.5</v>
      </c>
      <c r="BK71" s="565"/>
      <c r="BL71" s="323">
        <f>SUM(AO71*14%)</f>
        <v>0</v>
      </c>
      <c r="BM71" s="323"/>
      <c r="BN71" s="323"/>
      <c r="BO71" s="561"/>
      <c r="BP71" s="323"/>
      <c r="BQ71" s="323">
        <f t="shared" si="335"/>
        <v>0</v>
      </c>
      <c r="BR71" s="323">
        <f t="shared" si="335"/>
        <v>0</v>
      </c>
      <c r="BS71" s="323">
        <f t="shared" si="335"/>
        <v>0</v>
      </c>
      <c r="BT71" s="323">
        <f t="shared" si="335"/>
        <v>0</v>
      </c>
      <c r="BU71" s="323">
        <f t="shared" si="335"/>
        <v>0</v>
      </c>
      <c r="BV71" s="323">
        <f t="shared" si="335"/>
        <v>0</v>
      </c>
      <c r="BW71" s="323">
        <f t="shared" si="335"/>
        <v>0</v>
      </c>
      <c r="BX71" s="323">
        <f t="shared" si="335"/>
        <v>0</v>
      </c>
      <c r="BY71" s="323">
        <f t="shared" si="335"/>
        <v>840000.00000000012</v>
      </c>
      <c r="BZ71" s="323">
        <f t="shared" si="335"/>
        <v>420000.00000000006</v>
      </c>
      <c r="CA71" s="323">
        <f t="shared" si="335"/>
        <v>7.0000000000000007E-2</v>
      </c>
      <c r="CB71" s="55">
        <f>SUM(BP71:CA71)</f>
        <v>1260000.0700000003</v>
      </c>
      <c r="CC71" s="323"/>
      <c r="CD71" s="323">
        <f t="shared" si="336"/>
        <v>0</v>
      </c>
      <c r="CE71" s="323">
        <f t="shared" si="336"/>
        <v>0</v>
      </c>
      <c r="CF71" s="323">
        <f t="shared" si="336"/>
        <v>0</v>
      </c>
      <c r="CG71" s="323">
        <f t="shared" si="336"/>
        <v>0</v>
      </c>
      <c r="CH71" s="323">
        <f t="shared" si="336"/>
        <v>0</v>
      </c>
      <c r="CI71" s="323">
        <f t="shared" si="336"/>
        <v>0</v>
      </c>
      <c r="CJ71" s="323">
        <f t="shared" si="336"/>
        <v>0</v>
      </c>
      <c r="CK71" s="323">
        <f t="shared" si="336"/>
        <v>117600.00000000003</v>
      </c>
      <c r="CL71" s="323">
        <f t="shared" si="336"/>
        <v>58800.000000000015</v>
      </c>
      <c r="CM71" s="323">
        <f t="shared" si="336"/>
        <v>9.8000000000000014E-3</v>
      </c>
      <c r="CN71" s="323">
        <f t="shared" si="336"/>
        <v>176400.00980000006</v>
      </c>
      <c r="CO71" s="55">
        <f>SUM(CC71:CN71)</f>
        <v>352800.01960000012</v>
      </c>
      <c r="CP71" s="334"/>
      <c r="CQ71" s="334"/>
      <c r="CR71" s="334"/>
      <c r="CS71" s="334"/>
      <c r="CT71" s="360"/>
      <c r="CU71" s="349"/>
      <c r="CV71" s="361"/>
      <c r="CW71" s="69"/>
      <c r="CX71" s="69"/>
      <c r="CY71" s="69"/>
      <c r="CZ71" s="69"/>
      <c r="DA71" s="69"/>
      <c r="DB71" s="69"/>
      <c r="DC71" s="69"/>
      <c r="DD71" s="69"/>
      <c r="DE71" s="69"/>
    </row>
    <row r="72" spans="1:127" s="27" customFormat="1" ht="25.5" customHeight="1" thickBot="1" x14ac:dyDescent="0.25">
      <c r="A72" s="30"/>
      <c r="B72" s="31" t="s">
        <v>4</v>
      </c>
      <c r="C72" s="31"/>
      <c r="D72" s="30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4"/>
      <c r="R72" s="58"/>
      <c r="S72" s="141"/>
      <c r="T72" s="142"/>
      <c r="U72" s="768"/>
      <c r="V72" s="768"/>
      <c r="W72" s="768"/>
      <c r="X72" s="768"/>
      <c r="Y72" s="768"/>
      <c r="Z72" s="768"/>
      <c r="AA72" s="768"/>
      <c r="AB72" s="768"/>
      <c r="AC72" s="768"/>
      <c r="AD72" s="768"/>
      <c r="AE72" s="768"/>
      <c r="AF72" s="769">
        <f t="shared" ref="AF72:BF72" si="339">SUM(AF68:AF71)</f>
        <v>3791000</v>
      </c>
      <c r="AG72" s="770">
        <f t="shared" si="339"/>
        <v>500000</v>
      </c>
      <c r="AH72" s="770">
        <f>SUM(AH68:AH71)</f>
        <v>3270000</v>
      </c>
      <c r="AI72" s="770">
        <f>SUM(AI68:AI71)</f>
        <v>0</v>
      </c>
      <c r="AJ72" s="769">
        <f t="shared" si="339"/>
        <v>0</v>
      </c>
      <c r="AK72" s="769">
        <f t="shared" si="339"/>
        <v>0</v>
      </c>
      <c r="AL72" s="769">
        <f t="shared" si="339"/>
        <v>0</v>
      </c>
      <c r="AM72" s="769">
        <f t="shared" si="339"/>
        <v>0</v>
      </c>
      <c r="AN72" s="769">
        <f t="shared" si="339"/>
        <v>0</v>
      </c>
      <c r="AO72" s="769">
        <f t="shared" si="339"/>
        <v>0</v>
      </c>
      <c r="AP72" s="769">
        <f t="shared" si="339"/>
        <v>0</v>
      </c>
      <c r="AQ72" s="769">
        <f t="shared" si="339"/>
        <v>0</v>
      </c>
      <c r="AR72" s="769">
        <f t="shared" si="339"/>
        <v>0</v>
      </c>
      <c r="AS72" s="769">
        <f t="shared" si="339"/>
        <v>3770000</v>
      </c>
      <c r="AT72" s="769">
        <f t="shared" si="339"/>
        <v>0</v>
      </c>
      <c r="AU72" s="769">
        <f t="shared" si="339"/>
        <v>20160</v>
      </c>
      <c r="AV72" s="769">
        <f t="shared" si="339"/>
        <v>0</v>
      </c>
      <c r="AW72" s="769">
        <f t="shared" si="339"/>
        <v>0</v>
      </c>
      <c r="AX72" s="769">
        <f t="shared" si="339"/>
        <v>0</v>
      </c>
      <c r="AY72" s="769">
        <f t="shared" si="339"/>
        <v>0</v>
      </c>
      <c r="AZ72" s="769">
        <f t="shared" si="339"/>
        <v>0</v>
      </c>
      <c r="BA72" s="769">
        <f t="shared" si="339"/>
        <v>0</v>
      </c>
      <c r="BB72" s="769">
        <f t="shared" si="339"/>
        <v>0</v>
      </c>
      <c r="BC72" s="769">
        <f t="shared" si="339"/>
        <v>0</v>
      </c>
      <c r="BD72" s="769">
        <f t="shared" si="339"/>
        <v>0</v>
      </c>
      <c r="BE72" s="769">
        <f t="shared" si="339"/>
        <v>0</v>
      </c>
      <c r="BF72" s="769">
        <f t="shared" si="339"/>
        <v>20160</v>
      </c>
      <c r="BG72" s="771">
        <f>AF72-AS72</f>
        <v>21000</v>
      </c>
      <c r="BH72" s="769">
        <f>SUM(BH68:BH71)</f>
        <v>7082000</v>
      </c>
      <c r="BI72" s="769">
        <f>SUM(BI68:BI71)</f>
        <v>3312000</v>
      </c>
      <c r="BJ72" s="100">
        <f>SUM(BJ68:BJ71)/4</f>
        <v>0.625</v>
      </c>
      <c r="BK72" s="772"/>
      <c r="BL72" s="769">
        <f t="shared" ref="BL72:BN72" si="340">SUM(BL68:BL71)</f>
        <v>0</v>
      </c>
      <c r="BM72" s="769">
        <f t="shared" si="340"/>
        <v>144000</v>
      </c>
      <c r="BN72" s="769">
        <f t="shared" si="340"/>
        <v>-144000</v>
      </c>
      <c r="BO72" s="773"/>
      <c r="BP72" s="769">
        <f t="shared" ref="BP72:CO72" si="341">SUM(BP68:BP71)</f>
        <v>0</v>
      </c>
      <c r="BQ72" s="769">
        <f t="shared" si="341"/>
        <v>0</v>
      </c>
      <c r="BR72" s="769">
        <f t="shared" si="341"/>
        <v>0</v>
      </c>
      <c r="BS72" s="769">
        <f t="shared" si="341"/>
        <v>0</v>
      </c>
      <c r="BT72" s="769">
        <f t="shared" si="341"/>
        <v>0</v>
      </c>
      <c r="BU72" s="769">
        <f t="shared" si="341"/>
        <v>0</v>
      </c>
      <c r="BV72" s="769">
        <f t="shared" si="341"/>
        <v>0</v>
      </c>
      <c r="BW72" s="769">
        <f t="shared" si="341"/>
        <v>2822.4</v>
      </c>
      <c r="BX72" s="769">
        <f t="shared" si="341"/>
        <v>2940.0000000000005</v>
      </c>
      <c r="BY72" s="769">
        <f t="shared" si="341"/>
        <v>991480.00000000012</v>
      </c>
      <c r="BZ72" s="769">
        <f t="shared" si="341"/>
        <v>463680.00000000006</v>
      </c>
      <c r="CA72" s="769">
        <f t="shared" si="341"/>
        <v>0.35000000000000003</v>
      </c>
      <c r="CB72" s="769">
        <f t="shared" si="341"/>
        <v>1460922.7500000002</v>
      </c>
      <c r="CC72" s="769">
        <f t="shared" si="341"/>
        <v>0</v>
      </c>
      <c r="CD72" s="769">
        <f t="shared" si="341"/>
        <v>0</v>
      </c>
      <c r="CE72" s="769">
        <f t="shared" si="341"/>
        <v>0</v>
      </c>
      <c r="CF72" s="769">
        <f t="shared" si="341"/>
        <v>0</v>
      </c>
      <c r="CG72" s="769">
        <f t="shared" si="341"/>
        <v>0</v>
      </c>
      <c r="CH72" s="769">
        <f t="shared" si="341"/>
        <v>0</v>
      </c>
      <c r="CI72" s="769">
        <f t="shared" si="341"/>
        <v>395.13600000000002</v>
      </c>
      <c r="CJ72" s="769">
        <f t="shared" si="341"/>
        <v>411.60000000000014</v>
      </c>
      <c r="CK72" s="769">
        <f t="shared" si="341"/>
        <v>138807.20000000004</v>
      </c>
      <c r="CL72" s="769">
        <f t="shared" si="341"/>
        <v>64915.200000000019</v>
      </c>
      <c r="CM72" s="769">
        <f t="shared" si="341"/>
        <v>4.9000000000000009E-2</v>
      </c>
      <c r="CN72" s="769">
        <f t="shared" si="341"/>
        <v>204529.18500000006</v>
      </c>
      <c r="CO72" s="769">
        <f t="shared" si="341"/>
        <v>409058.37000000011</v>
      </c>
      <c r="CP72" s="330"/>
      <c r="CQ72" s="330"/>
      <c r="CR72" s="330"/>
      <c r="CS72" s="330"/>
      <c r="CT72" s="350"/>
      <c r="CU72" s="350"/>
      <c r="CV72" s="362"/>
      <c r="CW72" s="36"/>
      <c r="CX72" s="36"/>
      <c r="CY72" s="36"/>
      <c r="CZ72" s="36"/>
      <c r="DA72" s="36"/>
      <c r="DB72" s="36"/>
      <c r="DC72" s="36"/>
      <c r="DD72" s="36"/>
      <c r="DE72" s="36"/>
    </row>
    <row r="73" spans="1:127" s="16" customFormat="1" ht="25.5" customHeight="1" x14ac:dyDescent="0.2">
      <c r="A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143"/>
      <c r="T73" s="143"/>
      <c r="AE73" s="28"/>
      <c r="AS73" s="38"/>
      <c r="BF73" s="39">
        <f>SUM(AS72+BF72)</f>
        <v>3790160</v>
      </c>
      <c r="BG73" s="40">
        <f>AF72-AS72</f>
        <v>21000</v>
      </c>
      <c r="BH73" s="41">
        <f>SUM(BI72+AS72)</f>
        <v>7082000</v>
      </c>
      <c r="BI73" s="42">
        <f>SUM(BG72)</f>
        <v>21000</v>
      </c>
      <c r="BJ73" s="28" t="s">
        <v>29</v>
      </c>
      <c r="CB73" s="39" t="e">
        <f>SUM(#REF!+CB72)</f>
        <v>#REF!</v>
      </c>
      <c r="CO73" s="39" t="e">
        <f>SUM(#REF!+CO72)</f>
        <v>#REF!</v>
      </c>
      <c r="CP73" s="38"/>
      <c r="CQ73" s="38"/>
      <c r="CR73" s="38"/>
      <c r="CS73" s="38"/>
      <c r="CT73" s="363"/>
      <c r="CU73" s="351"/>
      <c r="CV73" s="362"/>
      <c r="CW73" s="18"/>
      <c r="CX73" s="18"/>
      <c r="CY73" s="18"/>
      <c r="CZ73" s="18"/>
      <c r="DA73" s="18"/>
      <c r="DB73" s="18"/>
      <c r="DC73" s="18"/>
      <c r="DD73" s="18"/>
      <c r="DE73" s="18"/>
      <c r="DF73" s="18"/>
    </row>
    <row r="74" spans="1:127" s="16" customFormat="1" ht="25.5" customHeight="1" x14ac:dyDescent="0.2">
      <c r="A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143"/>
      <c r="T74" s="143"/>
      <c r="AE74" s="28"/>
      <c r="AG74" s="82"/>
      <c r="AS74" s="82"/>
      <c r="AT74" s="82">
        <f>SUM(AG72+AT72)</f>
        <v>500000</v>
      </c>
      <c r="AU74" s="82">
        <f t="shared" ref="AU74:BE74" si="342">SUM(AH72+AU72)</f>
        <v>3290160</v>
      </c>
      <c r="AV74" s="82">
        <f t="shared" si="342"/>
        <v>0</v>
      </c>
      <c r="AW74" s="82">
        <f t="shared" si="342"/>
        <v>0</v>
      </c>
      <c r="AX74" s="82">
        <f t="shared" si="342"/>
        <v>0</v>
      </c>
      <c r="AY74" s="82">
        <f t="shared" si="342"/>
        <v>0</v>
      </c>
      <c r="AZ74" s="82">
        <f t="shared" si="342"/>
        <v>0</v>
      </c>
      <c r="BA74" s="82">
        <f t="shared" si="342"/>
        <v>0</v>
      </c>
      <c r="BB74" s="82">
        <f t="shared" si="342"/>
        <v>0</v>
      </c>
      <c r="BC74" s="82">
        <f t="shared" si="342"/>
        <v>0</v>
      </c>
      <c r="BD74" s="82">
        <f t="shared" si="342"/>
        <v>0</v>
      </c>
      <c r="BE74" s="82">
        <f t="shared" si="342"/>
        <v>0</v>
      </c>
      <c r="BF74" s="82">
        <f>SUM(AT74:BE74)</f>
        <v>3790160</v>
      </c>
      <c r="BG74" s="28"/>
      <c r="BH74" s="43">
        <f>SUM(BH72+BH61)</f>
        <v>88536700</v>
      </c>
      <c r="BI74" s="44">
        <f>SUM(BI72-BI73)</f>
        <v>3291000</v>
      </c>
      <c r="BJ74" s="28" t="s">
        <v>28</v>
      </c>
      <c r="BL74" s="82"/>
      <c r="BM74" s="82"/>
      <c r="BN74" s="82"/>
      <c r="BO74" s="82"/>
      <c r="BP74" s="82">
        <f t="shared" ref="BP74:CA74" si="343">SUM(AY72+BP72)</f>
        <v>0</v>
      </c>
      <c r="BQ74" s="82">
        <f t="shared" si="343"/>
        <v>0</v>
      </c>
      <c r="BR74" s="82">
        <f t="shared" si="343"/>
        <v>0</v>
      </c>
      <c r="BS74" s="82">
        <f t="shared" si="343"/>
        <v>0</v>
      </c>
      <c r="BT74" s="82">
        <f t="shared" si="343"/>
        <v>0</v>
      </c>
      <c r="BU74" s="82">
        <f t="shared" si="343"/>
        <v>0</v>
      </c>
      <c r="BV74" s="82">
        <f t="shared" si="343"/>
        <v>0</v>
      </c>
      <c r="BW74" s="82">
        <f t="shared" si="343"/>
        <v>22982.400000000001</v>
      </c>
      <c r="BX74" s="82">
        <f t="shared" si="343"/>
        <v>23940</v>
      </c>
      <c r="BY74" s="82">
        <f t="shared" si="343"/>
        <v>8073480</v>
      </c>
      <c r="BZ74" s="82">
        <f t="shared" si="343"/>
        <v>3775680</v>
      </c>
      <c r="CA74" s="82">
        <f t="shared" si="343"/>
        <v>0.97500000000000009</v>
      </c>
      <c r="CB74" s="82">
        <f>SUM(BP74:CA74)</f>
        <v>11896083.375</v>
      </c>
      <c r="CC74" s="82">
        <f t="shared" ref="CC74:CN74" si="344">SUM(BQ72+CC72)</f>
        <v>0</v>
      </c>
      <c r="CD74" s="82">
        <f t="shared" si="344"/>
        <v>0</v>
      </c>
      <c r="CE74" s="82">
        <f t="shared" si="344"/>
        <v>0</v>
      </c>
      <c r="CF74" s="82">
        <f t="shared" si="344"/>
        <v>0</v>
      </c>
      <c r="CG74" s="82">
        <f t="shared" si="344"/>
        <v>0</v>
      </c>
      <c r="CH74" s="82">
        <f t="shared" si="344"/>
        <v>0</v>
      </c>
      <c r="CI74" s="82">
        <f t="shared" si="344"/>
        <v>3217.5360000000001</v>
      </c>
      <c r="CJ74" s="82">
        <f t="shared" si="344"/>
        <v>3351.6000000000004</v>
      </c>
      <c r="CK74" s="82">
        <f t="shared" si="344"/>
        <v>1130287.2000000002</v>
      </c>
      <c r="CL74" s="82">
        <f t="shared" si="344"/>
        <v>528595.20000000007</v>
      </c>
      <c r="CM74" s="82">
        <f t="shared" si="344"/>
        <v>0.39900000000000002</v>
      </c>
      <c r="CN74" s="82">
        <f t="shared" si="344"/>
        <v>1665451.9350000003</v>
      </c>
      <c r="CO74" s="82">
        <f>SUM(CC74:CN74)</f>
        <v>3330903.8700000006</v>
      </c>
      <c r="CP74" s="38"/>
      <c r="CQ74" s="38"/>
      <c r="CR74" s="38"/>
      <c r="CS74" s="38"/>
      <c r="CT74" s="363"/>
      <c r="CU74" s="351"/>
      <c r="CV74" s="362"/>
      <c r="CW74" s="18"/>
      <c r="CX74" s="18"/>
      <c r="CY74" s="18"/>
      <c r="CZ74" s="18"/>
      <c r="DA74" s="18"/>
      <c r="DB74" s="18"/>
      <c r="DC74" s="18"/>
      <c r="DD74" s="18"/>
      <c r="DE74" s="18"/>
      <c r="DF74" s="18"/>
    </row>
    <row r="75" spans="1:127" s="16" customFormat="1" ht="25.5" customHeight="1" x14ac:dyDescent="0.2">
      <c r="A75" s="811" t="s">
        <v>7</v>
      </c>
      <c r="B75" s="812"/>
      <c r="C75" s="83" t="s">
        <v>173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34"/>
      <c r="T75" s="14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6"/>
      <c r="AF75" s="17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318"/>
      <c r="AT75" s="328"/>
      <c r="AU75" s="328"/>
      <c r="AV75" s="328"/>
      <c r="AW75" s="328"/>
      <c r="AX75" s="328"/>
      <c r="AY75" s="328"/>
      <c r="AZ75" s="328"/>
      <c r="BA75" s="328"/>
      <c r="BB75" s="328"/>
      <c r="BC75" s="328"/>
      <c r="BJ75" s="17"/>
      <c r="BK75" s="85"/>
      <c r="BL75" s="328"/>
      <c r="BM75" s="328"/>
      <c r="BN75" s="328"/>
      <c r="BP75" s="328"/>
      <c r="BQ75" s="328"/>
      <c r="BR75" s="328"/>
      <c r="BS75" s="328"/>
      <c r="BT75" s="328"/>
      <c r="BU75" s="328"/>
      <c r="BV75" s="328"/>
      <c r="BW75" s="328"/>
      <c r="BX75" s="328"/>
      <c r="BY75" s="328"/>
      <c r="CC75" s="328"/>
      <c r="CD75" s="328"/>
      <c r="CE75" s="328"/>
      <c r="CF75" s="328"/>
      <c r="CG75" s="328"/>
      <c r="CH75" s="328"/>
      <c r="CI75" s="328"/>
      <c r="CJ75" s="328"/>
      <c r="CK75" s="328"/>
      <c r="CL75" s="328"/>
      <c r="CP75" s="331"/>
      <c r="CQ75" s="331"/>
      <c r="CR75" s="331"/>
      <c r="CS75" s="331"/>
      <c r="CT75" s="17"/>
      <c r="CU75" s="347"/>
      <c r="CV75" s="357"/>
      <c r="CW75" s="85"/>
      <c r="CX75" s="85"/>
      <c r="CY75" s="87"/>
      <c r="CZ75" s="87"/>
      <c r="DA75" s="87"/>
      <c r="DB75" s="84"/>
      <c r="DC75" s="84"/>
      <c r="DD75" s="87"/>
      <c r="DE75" s="87"/>
      <c r="DF75" s="18"/>
      <c r="DG75" s="18"/>
      <c r="DH75" s="18"/>
      <c r="DI75" s="18"/>
      <c r="DJ75" s="18"/>
      <c r="DK75" s="89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</row>
    <row r="76" spans="1:127" s="7" customFormat="1" ht="25.5" customHeight="1" x14ac:dyDescent="0.2">
      <c r="A76" s="813" t="s">
        <v>8</v>
      </c>
      <c r="B76" s="787" t="s">
        <v>9</v>
      </c>
      <c r="C76" s="787" t="s">
        <v>22</v>
      </c>
      <c r="D76" s="854" t="s">
        <v>10</v>
      </c>
      <c r="E76" s="855"/>
      <c r="F76" s="855"/>
      <c r="G76" s="855"/>
      <c r="H76" s="855"/>
      <c r="I76" s="855"/>
      <c r="J76" s="855"/>
      <c r="K76" s="855"/>
      <c r="L76" s="855"/>
      <c r="M76" s="855"/>
      <c r="N76" s="855"/>
      <c r="O76" s="855"/>
      <c r="P76" s="855"/>
      <c r="Q76" s="856"/>
      <c r="R76" s="787" t="s">
        <v>20</v>
      </c>
      <c r="S76" s="807" t="s">
        <v>17</v>
      </c>
      <c r="T76" s="808"/>
      <c r="U76" s="808"/>
      <c r="V76" s="808"/>
      <c r="W76" s="808"/>
      <c r="X76" s="808"/>
      <c r="Y76" s="808"/>
      <c r="Z76" s="808"/>
      <c r="AA76" s="808"/>
      <c r="AB76" s="808"/>
      <c r="AC76" s="808"/>
      <c r="AD76" s="808"/>
      <c r="AE76" s="809"/>
      <c r="AF76" s="857" t="s">
        <v>5</v>
      </c>
      <c r="AG76" s="858"/>
      <c r="AH76" s="858"/>
      <c r="AI76" s="858"/>
      <c r="AJ76" s="858"/>
      <c r="AK76" s="858"/>
      <c r="AL76" s="858"/>
      <c r="AM76" s="858"/>
      <c r="AN76" s="858"/>
      <c r="AO76" s="858"/>
      <c r="AP76" s="858"/>
      <c r="AQ76" s="858"/>
      <c r="AR76" s="858"/>
      <c r="AS76" s="859"/>
      <c r="AT76" s="800" t="s">
        <v>32</v>
      </c>
      <c r="AU76" s="801"/>
      <c r="AV76" s="801"/>
      <c r="AW76" s="801"/>
      <c r="AX76" s="801"/>
      <c r="AY76" s="801"/>
      <c r="AZ76" s="801"/>
      <c r="BA76" s="801"/>
      <c r="BB76" s="801"/>
      <c r="BC76" s="801"/>
      <c r="BD76" s="801"/>
      <c r="BE76" s="801"/>
      <c r="BF76" s="802"/>
      <c r="BG76" s="787" t="s">
        <v>29</v>
      </c>
      <c r="BH76" s="787" t="s">
        <v>57</v>
      </c>
      <c r="BI76" s="790" t="s">
        <v>30</v>
      </c>
      <c r="BJ76" s="84"/>
      <c r="BK76" s="84"/>
      <c r="BL76" s="84"/>
      <c r="BM76" s="84"/>
      <c r="BN76" s="84"/>
      <c r="BO76" s="84"/>
      <c r="BP76" s="774" t="s">
        <v>32</v>
      </c>
      <c r="BQ76" s="775"/>
      <c r="BR76" s="775"/>
      <c r="BS76" s="775"/>
      <c r="BT76" s="775"/>
      <c r="BU76" s="775"/>
      <c r="BV76" s="775"/>
      <c r="BW76" s="775"/>
      <c r="BX76" s="775"/>
      <c r="BY76" s="775"/>
      <c r="BZ76" s="775"/>
      <c r="CA76" s="775"/>
      <c r="CB76" s="775"/>
      <c r="CC76" s="775"/>
      <c r="CD76" s="775"/>
      <c r="CE76" s="775"/>
      <c r="CF76" s="775"/>
      <c r="CG76" s="775"/>
      <c r="CH76" s="775"/>
      <c r="CI76" s="775"/>
      <c r="CJ76" s="775"/>
      <c r="CK76" s="775"/>
      <c r="CL76" s="775"/>
      <c r="CM76" s="775"/>
      <c r="CN76" s="775"/>
      <c r="CO76" s="776"/>
      <c r="CP76" s="332"/>
      <c r="CQ76" s="332"/>
      <c r="CR76" s="332"/>
      <c r="CS76" s="332"/>
      <c r="CT76" s="17"/>
      <c r="CU76" s="347"/>
      <c r="CV76" s="357"/>
      <c r="CW76" s="17"/>
      <c r="CX76" s="17"/>
      <c r="CY76" s="17"/>
      <c r="CZ76" s="17"/>
      <c r="DA76" s="17"/>
      <c r="DB76" s="17"/>
      <c r="DC76" s="17"/>
      <c r="DD76" s="19"/>
      <c r="DE76" s="19"/>
    </row>
    <row r="77" spans="1:127" s="7" customFormat="1" ht="25.5" customHeight="1" x14ac:dyDescent="0.2">
      <c r="A77" s="814"/>
      <c r="B77" s="788"/>
      <c r="C77" s="788"/>
      <c r="D77" s="797" t="s">
        <v>18</v>
      </c>
      <c r="E77" s="795" t="s">
        <v>19</v>
      </c>
      <c r="F77" s="796"/>
      <c r="G77" s="796"/>
      <c r="H77" s="796"/>
      <c r="I77" s="796"/>
      <c r="J77" s="796"/>
      <c r="K77" s="796"/>
      <c r="L77" s="796"/>
      <c r="M77" s="796"/>
      <c r="N77" s="796"/>
      <c r="O77" s="796"/>
      <c r="P77" s="796"/>
      <c r="Q77" s="799"/>
      <c r="R77" s="788"/>
      <c r="S77" s="793" t="s">
        <v>18</v>
      </c>
      <c r="T77" s="795" t="s">
        <v>19</v>
      </c>
      <c r="U77" s="796"/>
      <c r="V77" s="796"/>
      <c r="W77" s="796"/>
      <c r="X77" s="796"/>
      <c r="Y77" s="796"/>
      <c r="Z77" s="796"/>
      <c r="AA77" s="796"/>
      <c r="AB77" s="796"/>
      <c r="AC77" s="796"/>
      <c r="AD77" s="796"/>
      <c r="AE77" s="799"/>
      <c r="AF77" s="797" t="s">
        <v>18</v>
      </c>
      <c r="AG77" s="795" t="s">
        <v>19</v>
      </c>
      <c r="AH77" s="796"/>
      <c r="AI77" s="796"/>
      <c r="AJ77" s="796"/>
      <c r="AK77" s="796"/>
      <c r="AL77" s="796"/>
      <c r="AM77" s="796"/>
      <c r="AN77" s="796"/>
      <c r="AO77" s="796"/>
      <c r="AP77" s="796"/>
      <c r="AQ77" s="796"/>
      <c r="AR77" s="796"/>
      <c r="AS77" s="799"/>
      <c r="AT77" s="860"/>
      <c r="AU77" s="861"/>
      <c r="AV77" s="861"/>
      <c r="AW77" s="861"/>
      <c r="AX77" s="861"/>
      <c r="AY77" s="861"/>
      <c r="AZ77" s="861"/>
      <c r="BA77" s="861"/>
      <c r="BB77" s="861"/>
      <c r="BC77" s="861"/>
      <c r="BD77" s="861"/>
      <c r="BE77" s="861"/>
      <c r="BF77" s="862"/>
      <c r="BG77" s="788"/>
      <c r="BH77" s="788"/>
      <c r="BI77" s="791"/>
      <c r="BJ77" s="84"/>
      <c r="BK77" s="17"/>
      <c r="BL77" s="17"/>
      <c r="BM77" s="17"/>
      <c r="BN77" s="17"/>
      <c r="BO77" s="17"/>
      <c r="BP77" s="778" t="s">
        <v>230</v>
      </c>
      <c r="BQ77" s="779"/>
      <c r="BR77" s="779"/>
      <c r="BS77" s="779"/>
      <c r="BT77" s="779"/>
      <c r="BU77" s="779"/>
      <c r="BV77" s="779"/>
      <c r="BW77" s="779"/>
      <c r="BX77" s="779"/>
      <c r="BY77" s="779"/>
      <c r="BZ77" s="779"/>
      <c r="CA77" s="779"/>
      <c r="CB77" s="780"/>
      <c r="CC77" s="781" t="s">
        <v>231</v>
      </c>
      <c r="CD77" s="782"/>
      <c r="CE77" s="782"/>
      <c r="CF77" s="782"/>
      <c r="CG77" s="782"/>
      <c r="CH77" s="782"/>
      <c r="CI77" s="782"/>
      <c r="CJ77" s="782"/>
      <c r="CK77" s="782"/>
      <c r="CL77" s="782"/>
      <c r="CM77" s="782"/>
      <c r="CN77" s="782"/>
      <c r="CO77" s="783"/>
      <c r="CP77" s="332"/>
      <c r="CQ77" s="332"/>
      <c r="CR77" s="332"/>
      <c r="CS77" s="332"/>
      <c r="CT77" s="17"/>
      <c r="CU77" s="347"/>
      <c r="CV77" s="357"/>
      <c r="CW77" s="17"/>
      <c r="CX77" s="17"/>
      <c r="CY77" s="17"/>
      <c r="CZ77" s="17"/>
      <c r="DA77" s="17"/>
      <c r="DB77" s="17"/>
      <c r="DC77" s="17"/>
      <c r="DD77" s="19"/>
      <c r="DE77" s="19"/>
    </row>
    <row r="78" spans="1:127" s="5" customFormat="1" ht="25.5" customHeight="1" x14ac:dyDescent="0.2">
      <c r="A78" s="815"/>
      <c r="B78" s="789"/>
      <c r="C78" s="789"/>
      <c r="D78" s="798"/>
      <c r="E78" s="20">
        <v>1</v>
      </c>
      <c r="F78" s="20">
        <v>2</v>
      </c>
      <c r="G78" s="20">
        <v>3</v>
      </c>
      <c r="H78" s="20">
        <v>4</v>
      </c>
      <c r="I78" s="20">
        <v>5</v>
      </c>
      <c r="J78" s="20">
        <v>6</v>
      </c>
      <c r="K78" s="20">
        <v>7</v>
      </c>
      <c r="L78" s="20">
        <v>8</v>
      </c>
      <c r="M78" s="20">
        <v>9</v>
      </c>
      <c r="N78" s="20">
        <v>10</v>
      </c>
      <c r="O78" s="20">
        <v>11</v>
      </c>
      <c r="P78" s="20">
        <v>12</v>
      </c>
      <c r="Q78" s="20" t="s">
        <v>21</v>
      </c>
      <c r="R78" s="789"/>
      <c r="S78" s="863"/>
      <c r="T78" s="20">
        <v>1</v>
      </c>
      <c r="U78" s="20">
        <v>2</v>
      </c>
      <c r="V78" s="20">
        <v>3</v>
      </c>
      <c r="W78" s="20">
        <v>4</v>
      </c>
      <c r="X78" s="20">
        <v>5</v>
      </c>
      <c r="Y78" s="20">
        <v>6</v>
      </c>
      <c r="Z78" s="20">
        <v>7</v>
      </c>
      <c r="AA78" s="20">
        <v>8</v>
      </c>
      <c r="AB78" s="20">
        <v>9</v>
      </c>
      <c r="AC78" s="20">
        <v>10</v>
      </c>
      <c r="AD78" s="20">
        <v>11</v>
      </c>
      <c r="AE78" s="20">
        <v>12</v>
      </c>
      <c r="AF78" s="798"/>
      <c r="AG78" s="20">
        <v>1</v>
      </c>
      <c r="AH78" s="20">
        <v>2</v>
      </c>
      <c r="AI78" s="20">
        <v>3</v>
      </c>
      <c r="AJ78" s="20">
        <v>4</v>
      </c>
      <c r="AK78" s="20">
        <v>5</v>
      </c>
      <c r="AL78" s="20">
        <v>6</v>
      </c>
      <c r="AM78" s="20">
        <v>7</v>
      </c>
      <c r="AN78" s="20">
        <v>8</v>
      </c>
      <c r="AO78" s="20">
        <v>9</v>
      </c>
      <c r="AP78" s="20">
        <v>10</v>
      </c>
      <c r="AQ78" s="20">
        <v>11</v>
      </c>
      <c r="AR78" s="20">
        <v>12</v>
      </c>
      <c r="AS78" s="20" t="s">
        <v>13</v>
      </c>
      <c r="AT78" s="111">
        <v>1</v>
      </c>
      <c r="AU78" s="111">
        <v>2</v>
      </c>
      <c r="AV78" s="111">
        <v>3</v>
      </c>
      <c r="AW78" s="111">
        <v>4</v>
      </c>
      <c r="AX78" s="111">
        <v>5</v>
      </c>
      <c r="AY78" s="111">
        <v>6</v>
      </c>
      <c r="AZ78" s="111">
        <v>7</v>
      </c>
      <c r="BA78" s="111">
        <v>8</v>
      </c>
      <c r="BB78" s="111">
        <v>9</v>
      </c>
      <c r="BC78" s="111">
        <v>10</v>
      </c>
      <c r="BD78" s="111">
        <v>11</v>
      </c>
      <c r="BE78" s="111">
        <v>12</v>
      </c>
      <c r="BF78" s="20" t="s">
        <v>13</v>
      </c>
      <c r="BG78" s="789"/>
      <c r="BH78" s="789"/>
      <c r="BI78" s="792"/>
      <c r="BJ78" s="6"/>
      <c r="BK78" s="564"/>
      <c r="BL78" s="111">
        <v>3</v>
      </c>
      <c r="BM78" s="111"/>
      <c r="BN78" s="111"/>
      <c r="BO78" s="337"/>
      <c r="BP78" s="111">
        <v>1</v>
      </c>
      <c r="BQ78" s="111">
        <v>2</v>
      </c>
      <c r="BR78" s="111">
        <v>3</v>
      </c>
      <c r="BS78" s="111">
        <v>4</v>
      </c>
      <c r="BT78" s="111">
        <v>5</v>
      </c>
      <c r="BU78" s="111">
        <v>6</v>
      </c>
      <c r="BV78" s="111">
        <v>7</v>
      </c>
      <c r="BW78" s="111">
        <v>8</v>
      </c>
      <c r="BX78" s="111">
        <v>9</v>
      </c>
      <c r="BY78" s="111">
        <v>10</v>
      </c>
      <c r="BZ78" s="111">
        <v>11</v>
      </c>
      <c r="CA78" s="111">
        <v>12</v>
      </c>
      <c r="CB78" s="20" t="s">
        <v>13</v>
      </c>
      <c r="CC78" s="111">
        <v>1</v>
      </c>
      <c r="CD78" s="111">
        <v>2</v>
      </c>
      <c r="CE78" s="111">
        <v>3</v>
      </c>
      <c r="CF78" s="111">
        <v>4</v>
      </c>
      <c r="CG78" s="111">
        <v>5</v>
      </c>
      <c r="CH78" s="111">
        <v>6</v>
      </c>
      <c r="CI78" s="111">
        <v>7</v>
      </c>
      <c r="CJ78" s="111">
        <v>8</v>
      </c>
      <c r="CK78" s="111">
        <v>9</v>
      </c>
      <c r="CL78" s="111">
        <v>10</v>
      </c>
      <c r="CM78" s="111">
        <v>11</v>
      </c>
      <c r="CN78" s="111">
        <v>12</v>
      </c>
      <c r="CO78" s="20" t="s">
        <v>13</v>
      </c>
      <c r="CP78" s="333"/>
      <c r="CQ78" s="333"/>
      <c r="CR78" s="333"/>
      <c r="CS78" s="333"/>
      <c r="CT78" s="358"/>
      <c r="CU78" s="348"/>
      <c r="CV78" s="359"/>
      <c r="CW78" s="21"/>
      <c r="CX78" s="21"/>
      <c r="CY78" s="21"/>
      <c r="CZ78" s="21"/>
      <c r="DA78" s="21"/>
      <c r="DB78" s="21"/>
      <c r="DC78" s="21"/>
      <c r="DD78" s="21"/>
      <c r="DE78" s="21"/>
    </row>
    <row r="79" spans="1:127" s="70" customFormat="1" ht="25.5" customHeight="1" thickBot="1" x14ac:dyDescent="0.25">
      <c r="A79" s="64" t="s">
        <v>172</v>
      </c>
      <c r="B79" s="125" t="s">
        <v>174</v>
      </c>
      <c r="C79" s="123" t="s">
        <v>62</v>
      </c>
      <c r="D79" s="490">
        <v>14</v>
      </c>
      <c r="E79" s="75">
        <v>14</v>
      </c>
      <c r="F79" s="75"/>
      <c r="G79" s="129"/>
      <c r="H79" s="129"/>
      <c r="I79" s="129"/>
      <c r="J79" s="75"/>
      <c r="K79" s="129"/>
      <c r="L79" s="129"/>
      <c r="M79" s="129"/>
      <c r="N79" s="129"/>
      <c r="O79" s="129"/>
      <c r="P79" s="129"/>
      <c r="Q79" s="130">
        <f>SUM(E79:P79)</f>
        <v>14</v>
      </c>
      <c r="R79" s="124" t="s">
        <v>24</v>
      </c>
      <c r="S79" s="374">
        <v>3000000</v>
      </c>
      <c r="T79" s="374">
        <v>2500000</v>
      </c>
      <c r="U79" s="321"/>
      <c r="V79" s="322"/>
      <c r="W79" s="322"/>
      <c r="X79" s="322"/>
      <c r="Y79" s="321"/>
      <c r="Z79" s="322"/>
      <c r="AA79" s="322"/>
      <c r="AB79" s="322"/>
      <c r="AC79" s="322"/>
      <c r="AD79" s="322"/>
      <c r="AE79" s="322"/>
      <c r="AF79" s="51">
        <f>Q79*S79</f>
        <v>42000000</v>
      </c>
      <c r="AG79" s="323">
        <f t="shared" ref="AG79" si="345">T79*E79</f>
        <v>35000000</v>
      </c>
      <c r="AH79" s="323">
        <f t="shared" ref="AH79" si="346">U79*F79</f>
        <v>0</v>
      </c>
      <c r="AI79" s="323">
        <f t="shared" ref="AI79" si="347">V79*G79</f>
        <v>0</v>
      </c>
      <c r="AJ79" s="323">
        <f t="shared" ref="AJ79" si="348">W79*H79</f>
        <v>0</v>
      </c>
      <c r="AK79" s="323">
        <f t="shared" ref="AK79" si="349">X79*I79</f>
        <v>0</v>
      </c>
      <c r="AL79" s="323">
        <f t="shared" ref="AL79" si="350">Y79*J79</f>
        <v>0</v>
      </c>
      <c r="AM79" s="323">
        <f t="shared" ref="AM79" si="351">Z79*K79</f>
        <v>0</v>
      </c>
      <c r="AN79" s="323">
        <f t="shared" ref="AN79" si="352">AA79*L79</f>
        <v>0</v>
      </c>
      <c r="AO79" s="323">
        <f t="shared" ref="AO79" si="353">AB79*M79</f>
        <v>0</v>
      </c>
      <c r="AP79" s="323">
        <f t="shared" ref="AP79" si="354">AC79*N79</f>
        <v>0</v>
      </c>
      <c r="AQ79" s="323">
        <f t="shared" ref="AQ79" si="355">AD79*O79</f>
        <v>0</v>
      </c>
      <c r="AR79" s="323">
        <f t="shared" ref="AR79" si="356">AE79*P79</f>
        <v>0</v>
      </c>
      <c r="AS79" s="324">
        <f t="shared" ref="AS79" si="357">SUM(AG79:AR79)</f>
        <v>35000000</v>
      </c>
      <c r="AT79" s="323">
        <f t="shared" ref="AT79:AU79" si="358">SUM(AG79*14%)</f>
        <v>4900000.0000000009</v>
      </c>
      <c r="AU79" s="323">
        <f t="shared" si="358"/>
        <v>0</v>
      </c>
      <c r="AV79" s="323">
        <f t="shared" ref="AV79" si="359">SUM(AI79*14%)</f>
        <v>0</v>
      </c>
      <c r="AW79" s="323">
        <f t="shared" ref="AW79" si="360">SUM(AJ79*14%)</f>
        <v>0</v>
      </c>
      <c r="AX79" s="323">
        <f t="shared" ref="AX79" si="361">SUM(AK79*14%)</f>
        <v>0</v>
      </c>
      <c r="AY79" s="323">
        <f t="shared" ref="AY79" si="362">SUM(AL79*14%)</f>
        <v>0</v>
      </c>
      <c r="AZ79" s="323">
        <f t="shared" ref="AZ79" si="363">SUM(AM79*14%)</f>
        <v>0</v>
      </c>
      <c r="BA79" s="323">
        <f t="shared" ref="BA79" si="364">SUM(AN79*14%)</f>
        <v>0</v>
      </c>
      <c r="BB79" s="323">
        <f t="shared" ref="BB79" si="365">SUM(AO79*14%)</f>
        <v>0</v>
      </c>
      <c r="BC79" s="323">
        <f t="shared" ref="BC79" si="366">SUM(AP79*14%)</f>
        <v>0</v>
      </c>
      <c r="BD79" s="323">
        <f t="shared" ref="BD79" si="367">SUM(AQ79*14%)</f>
        <v>0</v>
      </c>
      <c r="BE79" s="323">
        <f t="shared" ref="BE79" si="368">SUM(AR79*14%)</f>
        <v>0</v>
      </c>
      <c r="BF79" s="55">
        <f>SUM(AT79:BE79)</f>
        <v>4900000.0000000009</v>
      </c>
      <c r="BG79" s="72">
        <f t="shared" ref="BG79" si="369">AF79-AS79-BF79</f>
        <v>2099999.9999999991</v>
      </c>
      <c r="BH79" s="73">
        <f>S79*D79</f>
        <v>42000000</v>
      </c>
      <c r="BI79" s="74">
        <f>BH79-AS79-BF79</f>
        <v>2099999.9999999991</v>
      </c>
      <c r="BJ79" s="99">
        <f>SUM(Q79/D79)</f>
        <v>1</v>
      </c>
      <c r="BK79" s="565"/>
      <c r="BL79" s="323">
        <f>SUM(AO79*14%)</f>
        <v>0</v>
      </c>
      <c r="BM79" s="323"/>
      <c r="BN79" s="323"/>
      <c r="BO79" s="561"/>
      <c r="BP79" s="323">
        <f t="shared" ref="BP79:CA79" si="370">SUM(AY79*14%)</f>
        <v>0</v>
      </c>
      <c r="BQ79" s="323">
        <f t="shared" si="370"/>
        <v>0</v>
      </c>
      <c r="BR79" s="323">
        <f t="shared" si="370"/>
        <v>0</v>
      </c>
      <c r="BS79" s="323">
        <f t="shared" si="370"/>
        <v>0</v>
      </c>
      <c r="BT79" s="323">
        <f t="shared" si="370"/>
        <v>0</v>
      </c>
      <c r="BU79" s="323">
        <f t="shared" si="370"/>
        <v>0</v>
      </c>
      <c r="BV79" s="323">
        <f t="shared" si="370"/>
        <v>0</v>
      </c>
      <c r="BW79" s="323">
        <f t="shared" si="370"/>
        <v>686000.00000000023</v>
      </c>
      <c r="BX79" s="323">
        <f t="shared" si="370"/>
        <v>293999.99999999988</v>
      </c>
      <c r="BY79" s="323">
        <f t="shared" si="370"/>
        <v>5880000.0000000009</v>
      </c>
      <c r="BZ79" s="323">
        <f t="shared" si="370"/>
        <v>293999.99999999988</v>
      </c>
      <c r="CA79" s="323">
        <f t="shared" si="370"/>
        <v>0.14000000000000001</v>
      </c>
      <c r="CB79" s="55">
        <f>SUM(BP79:CA79)</f>
        <v>7154000.1400000006</v>
      </c>
      <c r="CC79" s="323">
        <f t="shared" ref="CC79:CN79" si="371">SUM(BQ79*14%)</f>
        <v>0</v>
      </c>
      <c r="CD79" s="323">
        <f t="shared" si="371"/>
        <v>0</v>
      </c>
      <c r="CE79" s="323">
        <f t="shared" si="371"/>
        <v>0</v>
      </c>
      <c r="CF79" s="323">
        <f t="shared" si="371"/>
        <v>0</v>
      </c>
      <c r="CG79" s="323">
        <f t="shared" si="371"/>
        <v>0</v>
      </c>
      <c r="CH79" s="323">
        <f t="shared" si="371"/>
        <v>0</v>
      </c>
      <c r="CI79" s="323">
        <f t="shared" si="371"/>
        <v>96040.000000000044</v>
      </c>
      <c r="CJ79" s="323">
        <f t="shared" si="371"/>
        <v>41159.999999999985</v>
      </c>
      <c r="CK79" s="323">
        <f t="shared" si="371"/>
        <v>823200.00000000023</v>
      </c>
      <c r="CL79" s="323">
        <f t="shared" si="371"/>
        <v>41159.999999999985</v>
      </c>
      <c r="CM79" s="323">
        <f t="shared" si="371"/>
        <v>1.9600000000000003E-2</v>
      </c>
      <c r="CN79" s="323">
        <f t="shared" si="371"/>
        <v>1001560.0196000002</v>
      </c>
      <c r="CO79" s="55">
        <f>SUM(CC79:CN79)</f>
        <v>2003120.0392000005</v>
      </c>
      <c r="CP79" s="334"/>
      <c r="CQ79" s="334"/>
      <c r="CR79" s="334"/>
      <c r="CS79" s="334"/>
      <c r="CT79" s="360"/>
      <c r="CU79" s="349"/>
      <c r="CV79" s="361"/>
      <c r="CW79" s="69"/>
      <c r="CX79" s="69"/>
      <c r="CY79" s="69"/>
      <c r="CZ79" s="69"/>
      <c r="DA79" s="69"/>
      <c r="DB79" s="69"/>
      <c r="DC79" s="69"/>
      <c r="DD79" s="69"/>
      <c r="DE79" s="69"/>
    </row>
    <row r="80" spans="1:127" s="894" customFormat="1" ht="25.5" customHeight="1" thickBot="1" x14ac:dyDescent="0.25">
      <c r="A80" s="885"/>
      <c r="B80" s="886" t="s">
        <v>4</v>
      </c>
      <c r="C80" s="886"/>
      <c r="D80" s="885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4"/>
      <c r="R80" s="887"/>
      <c r="S80" s="888"/>
      <c r="T80" s="889"/>
      <c r="U80" s="890"/>
      <c r="V80" s="890"/>
      <c r="W80" s="890"/>
      <c r="X80" s="890"/>
      <c r="Y80" s="890"/>
      <c r="Z80" s="890"/>
      <c r="AA80" s="890"/>
      <c r="AB80" s="890"/>
      <c r="AC80" s="890"/>
      <c r="AD80" s="890"/>
      <c r="AE80" s="890"/>
      <c r="AF80" s="579">
        <f t="shared" ref="AF80:BF80" si="372">SUM(AF79:AF79)</f>
        <v>42000000</v>
      </c>
      <c r="AG80" s="579">
        <f t="shared" si="372"/>
        <v>35000000</v>
      </c>
      <c r="AH80" s="579">
        <f t="shared" si="372"/>
        <v>0</v>
      </c>
      <c r="AI80" s="579">
        <f t="shared" si="372"/>
        <v>0</v>
      </c>
      <c r="AJ80" s="579">
        <f t="shared" si="372"/>
        <v>0</v>
      </c>
      <c r="AK80" s="579">
        <f t="shared" si="372"/>
        <v>0</v>
      </c>
      <c r="AL80" s="579">
        <f t="shared" si="372"/>
        <v>0</v>
      </c>
      <c r="AM80" s="579">
        <f t="shared" si="372"/>
        <v>0</v>
      </c>
      <c r="AN80" s="579">
        <f t="shared" si="372"/>
        <v>0</v>
      </c>
      <c r="AO80" s="579">
        <f t="shared" si="372"/>
        <v>0</v>
      </c>
      <c r="AP80" s="579">
        <f t="shared" si="372"/>
        <v>0</v>
      </c>
      <c r="AQ80" s="579">
        <f t="shared" si="372"/>
        <v>0</v>
      </c>
      <c r="AR80" s="579">
        <f t="shared" si="372"/>
        <v>0</v>
      </c>
      <c r="AS80" s="579">
        <f>SUM(AS79:AS79)-5000000</f>
        <v>30000000</v>
      </c>
      <c r="AT80" s="579">
        <f t="shared" si="372"/>
        <v>4900000.0000000009</v>
      </c>
      <c r="AU80" s="579">
        <f t="shared" si="372"/>
        <v>0</v>
      </c>
      <c r="AV80" s="579">
        <f t="shared" si="372"/>
        <v>0</v>
      </c>
      <c r="AW80" s="579">
        <f t="shared" si="372"/>
        <v>0</v>
      </c>
      <c r="AX80" s="579">
        <f t="shared" si="372"/>
        <v>0</v>
      </c>
      <c r="AY80" s="579">
        <f t="shared" si="372"/>
        <v>0</v>
      </c>
      <c r="AZ80" s="579">
        <f t="shared" si="372"/>
        <v>0</v>
      </c>
      <c r="BA80" s="579">
        <f t="shared" si="372"/>
        <v>0</v>
      </c>
      <c r="BB80" s="579">
        <f t="shared" si="372"/>
        <v>0</v>
      </c>
      <c r="BC80" s="579">
        <f t="shared" si="372"/>
        <v>0</v>
      </c>
      <c r="BD80" s="579">
        <f t="shared" si="372"/>
        <v>0</v>
      </c>
      <c r="BE80" s="579">
        <f t="shared" si="372"/>
        <v>0</v>
      </c>
      <c r="BF80" s="579">
        <f t="shared" si="372"/>
        <v>4900000.0000000009</v>
      </c>
      <c r="BG80" s="891">
        <f>SUM(BG79)</f>
        <v>2099999.9999999991</v>
      </c>
      <c r="BH80" s="891">
        <f t="shared" ref="BH80:BI80" si="373">SUM(BH79)</f>
        <v>42000000</v>
      </c>
      <c r="BI80" s="891">
        <f t="shared" si="373"/>
        <v>2099999.9999999991</v>
      </c>
      <c r="BJ80" s="892">
        <f>SUM(BJ79:BJ79)</f>
        <v>1</v>
      </c>
      <c r="BK80" s="566"/>
      <c r="BL80" s="579">
        <f t="shared" ref="BL80" si="374">SUM(BL79:BL79)</f>
        <v>0</v>
      </c>
      <c r="BM80" s="579"/>
      <c r="BN80" s="579"/>
      <c r="BO80" s="562"/>
      <c r="BP80" s="579">
        <f t="shared" ref="BP80:CB80" si="375">SUM(BP79:BP79)</f>
        <v>0</v>
      </c>
      <c r="BQ80" s="579">
        <f t="shared" si="375"/>
        <v>0</v>
      </c>
      <c r="BR80" s="579">
        <f t="shared" si="375"/>
        <v>0</v>
      </c>
      <c r="BS80" s="579">
        <f t="shared" si="375"/>
        <v>0</v>
      </c>
      <c r="BT80" s="579">
        <f t="shared" si="375"/>
        <v>0</v>
      </c>
      <c r="BU80" s="579">
        <f t="shared" si="375"/>
        <v>0</v>
      </c>
      <c r="BV80" s="579">
        <f t="shared" si="375"/>
        <v>0</v>
      </c>
      <c r="BW80" s="579">
        <f t="shared" si="375"/>
        <v>686000.00000000023</v>
      </c>
      <c r="BX80" s="579">
        <f t="shared" si="375"/>
        <v>293999.99999999988</v>
      </c>
      <c r="BY80" s="579">
        <f t="shared" si="375"/>
        <v>5880000.0000000009</v>
      </c>
      <c r="BZ80" s="579">
        <f t="shared" si="375"/>
        <v>293999.99999999988</v>
      </c>
      <c r="CA80" s="579">
        <f t="shared" si="375"/>
        <v>0.14000000000000001</v>
      </c>
      <c r="CB80" s="579">
        <f t="shared" si="375"/>
        <v>7154000.1400000006</v>
      </c>
      <c r="CC80" s="579">
        <f t="shared" ref="CC80:CO80" si="376">SUM(CC79:CC79)</f>
        <v>0</v>
      </c>
      <c r="CD80" s="579">
        <f t="shared" si="376"/>
        <v>0</v>
      </c>
      <c r="CE80" s="579">
        <f t="shared" si="376"/>
        <v>0</v>
      </c>
      <c r="CF80" s="579">
        <f t="shared" si="376"/>
        <v>0</v>
      </c>
      <c r="CG80" s="579">
        <f t="shared" si="376"/>
        <v>0</v>
      </c>
      <c r="CH80" s="579">
        <f t="shared" si="376"/>
        <v>0</v>
      </c>
      <c r="CI80" s="579">
        <f t="shared" si="376"/>
        <v>96040.000000000044</v>
      </c>
      <c r="CJ80" s="579">
        <f t="shared" si="376"/>
        <v>41159.999999999985</v>
      </c>
      <c r="CK80" s="579">
        <f t="shared" si="376"/>
        <v>823200.00000000023</v>
      </c>
      <c r="CL80" s="579">
        <f t="shared" si="376"/>
        <v>41159.999999999985</v>
      </c>
      <c r="CM80" s="579">
        <f t="shared" si="376"/>
        <v>1.9600000000000003E-2</v>
      </c>
      <c r="CN80" s="579">
        <f t="shared" si="376"/>
        <v>1001560.0196000002</v>
      </c>
      <c r="CO80" s="579">
        <f t="shared" si="376"/>
        <v>2003120.0392000005</v>
      </c>
      <c r="CP80" s="334"/>
      <c r="CQ80" s="334"/>
      <c r="CR80" s="334"/>
      <c r="CS80" s="334"/>
      <c r="CT80" s="349"/>
      <c r="CU80" s="349"/>
      <c r="CV80" s="361"/>
      <c r="CW80" s="893"/>
      <c r="CX80" s="893"/>
      <c r="CY80" s="893"/>
      <c r="CZ80" s="893"/>
      <c r="DA80" s="893"/>
      <c r="DB80" s="893"/>
      <c r="DC80" s="893"/>
      <c r="DD80" s="893"/>
      <c r="DE80" s="893"/>
    </row>
    <row r="81" spans="1:127" s="16" customFormat="1" ht="25.5" customHeight="1" x14ac:dyDescent="0.2">
      <c r="A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143"/>
      <c r="T81" s="143"/>
      <c r="AE81" s="28"/>
      <c r="AS81" s="38"/>
      <c r="BF81" s="39">
        <f>SUM(AS80+BF80)</f>
        <v>34900000</v>
      </c>
      <c r="BG81" s="40">
        <f>AF80-AS80-BF80</f>
        <v>7099999.9999999991</v>
      </c>
      <c r="BH81" s="41">
        <f>SUM(BI80+AS80+BF80)</f>
        <v>37000000</v>
      </c>
      <c r="BI81" s="42">
        <f>SUM(BG80)</f>
        <v>2099999.9999999991</v>
      </c>
      <c r="BJ81" s="28" t="s">
        <v>29</v>
      </c>
      <c r="CB81" s="39" t="e">
        <f>SUM(#REF!+CB80)</f>
        <v>#REF!</v>
      </c>
      <c r="CO81" s="39" t="e">
        <f>SUM(#REF!+CO80)</f>
        <v>#REF!</v>
      </c>
      <c r="CP81" s="38"/>
      <c r="CQ81" s="38"/>
      <c r="CR81" s="38"/>
      <c r="CS81" s="38"/>
      <c r="CT81" s="363"/>
      <c r="CU81" s="351"/>
      <c r="CV81" s="362"/>
      <c r="CW81" s="18"/>
      <c r="CX81" s="18"/>
      <c r="CY81" s="18"/>
      <c r="CZ81" s="18"/>
      <c r="DA81" s="18"/>
      <c r="DB81" s="18"/>
      <c r="DC81" s="18"/>
      <c r="DD81" s="18"/>
      <c r="DE81" s="18"/>
      <c r="DF81" s="18"/>
    </row>
    <row r="82" spans="1:127" s="16" customFormat="1" ht="25.5" customHeight="1" x14ac:dyDescent="0.2">
      <c r="A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143"/>
      <c r="T82" s="143"/>
      <c r="AE82" s="28"/>
      <c r="AG82" s="82"/>
      <c r="AS82" s="82"/>
      <c r="AT82" s="513">
        <f>SUM(AG80+AT80)</f>
        <v>39900000</v>
      </c>
      <c r="AU82" s="82">
        <f t="shared" ref="AU82" si="377">SUM(AH80+AU80)</f>
        <v>0</v>
      </c>
      <c r="AV82" s="82">
        <f t="shared" ref="AV82" si="378">SUM(AI80+AV80)</f>
        <v>0</v>
      </c>
      <c r="AW82" s="82">
        <f t="shared" ref="AW82" si="379">SUM(AJ80+AW80)</f>
        <v>0</v>
      </c>
      <c r="AX82" s="82">
        <f t="shared" ref="AX82" si="380">SUM(AK80+AX80)</f>
        <v>0</v>
      </c>
      <c r="AY82" s="82">
        <f t="shared" ref="AY82" si="381">SUM(AL80+AY80)</f>
        <v>0</v>
      </c>
      <c r="AZ82" s="82">
        <f t="shared" ref="AZ82" si="382">SUM(AM80+AZ80)</f>
        <v>0</v>
      </c>
      <c r="BA82" s="82">
        <f t="shared" ref="BA82" si="383">SUM(AN80+BA80)</f>
        <v>0</v>
      </c>
      <c r="BB82" s="82">
        <f t="shared" ref="BB82" si="384">SUM(AO80+BB80)</f>
        <v>0</v>
      </c>
      <c r="BC82" s="82">
        <f t="shared" ref="BC82" si="385">SUM(AP80+BC80)</f>
        <v>0</v>
      </c>
      <c r="BD82" s="82">
        <f t="shared" ref="BD82" si="386">SUM(AQ80+BD80)</f>
        <v>0</v>
      </c>
      <c r="BE82" s="82">
        <f t="shared" ref="BE82" si="387">SUM(AR80+BE80)</f>
        <v>0</v>
      </c>
      <c r="BF82" s="82">
        <f>SUM(AT82:BE82)</f>
        <v>39900000</v>
      </c>
      <c r="BG82" s="28"/>
      <c r="BH82" s="43"/>
      <c r="BI82" s="44">
        <f>SUM(BI80-BI81)</f>
        <v>0</v>
      </c>
      <c r="BJ82" s="28" t="s">
        <v>28</v>
      </c>
      <c r="BL82" s="82">
        <f>SUM(AO80+BL80)</f>
        <v>0</v>
      </c>
      <c r="BM82" s="82"/>
      <c r="BN82" s="82"/>
      <c r="BO82" s="82"/>
      <c r="BP82" s="513">
        <f t="shared" ref="BP82:CA82" si="388">SUM(AY80+BP80)</f>
        <v>0</v>
      </c>
      <c r="BQ82" s="82">
        <f t="shared" si="388"/>
        <v>0</v>
      </c>
      <c r="BR82" s="82">
        <f t="shared" si="388"/>
        <v>0</v>
      </c>
      <c r="BS82" s="82">
        <f t="shared" si="388"/>
        <v>0</v>
      </c>
      <c r="BT82" s="82">
        <f t="shared" si="388"/>
        <v>0</v>
      </c>
      <c r="BU82" s="82">
        <f t="shared" si="388"/>
        <v>0</v>
      </c>
      <c r="BV82" s="82">
        <f t="shared" si="388"/>
        <v>0</v>
      </c>
      <c r="BW82" s="82">
        <f t="shared" si="388"/>
        <v>5586000.0000000009</v>
      </c>
      <c r="BX82" s="82">
        <f t="shared" si="388"/>
        <v>2393999.9999999991</v>
      </c>
      <c r="BY82" s="82">
        <f t="shared" si="388"/>
        <v>47880000</v>
      </c>
      <c r="BZ82" s="82">
        <f t="shared" si="388"/>
        <v>2393999.9999999991</v>
      </c>
      <c r="CA82" s="82">
        <f t="shared" si="388"/>
        <v>1.1400000000000001</v>
      </c>
      <c r="CB82" s="82">
        <f>SUM(BP82:CA82)</f>
        <v>58254001.140000001</v>
      </c>
      <c r="CC82" s="513">
        <f t="shared" ref="CC82:CN82" si="389">SUM(BQ80+CC80)</f>
        <v>0</v>
      </c>
      <c r="CD82" s="82">
        <f t="shared" si="389"/>
        <v>0</v>
      </c>
      <c r="CE82" s="82">
        <f t="shared" si="389"/>
        <v>0</v>
      </c>
      <c r="CF82" s="82">
        <f t="shared" si="389"/>
        <v>0</v>
      </c>
      <c r="CG82" s="82">
        <f t="shared" si="389"/>
        <v>0</v>
      </c>
      <c r="CH82" s="82">
        <f t="shared" si="389"/>
        <v>0</v>
      </c>
      <c r="CI82" s="82">
        <f t="shared" si="389"/>
        <v>782040.00000000023</v>
      </c>
      <c r="CJ82" s="82">
        <f t="shared" si="389"/>
        <v>335159.99999999988</v>
      </c>
      <c r="CK82" s="82">
        <f t="shared" si="389"/>
        <v>6703200.0000000009</v>
      </c>
      <c r="CL82" s="82">
        <f t="shared" si="389"/>
        <v>335159.99999999988</v>
      </c>
      <c r="CM82" s="82">
        <f t="shared" si="389"/>
        <v>0.15960000000000002</v>
      </c>
      <c r="CN82" s="82">
        <f t="shared" si="389"/>
        <v>8155560.1596000008</v>
      </c>
      <c r="CO82" s="82">
        <f>SUM(CC82:CN82)</f>
        <v>16311120.319200002</v>
      </c>
      <c r="CP82" s="38"/>
      <c r="CQ82" s="38"/>
      <c r="CR82" s="38"/>
      <c r="CS82" s="38"/>
      <c r="CT82" s="363"/>
      <c r="CU82" s="351"/>
      <c r="CV82" s="362"/>
      <c r="CW82" s="18"/>
      <c r="CX82" s="18"/>
      <c r="CY82" s="18"/>
      <c r="CZ82" s="18"/>
      <c r="DA82" s="18"/>
      <c r="DB82" s="18"/>
      <c r="DC82" s="18"/>
      <c r="DD82" s="18"/>
      <c r="DE82" s="18"/>
      <c r="DF82" s="18"/>
    </row>
    <row r="83" spans="1:127" s="83" customFormat="1" ht="24.75" customHeight="1" x14ac:dyDescent="0.2">
      <c r="A83" s="811" t="s">
        <v>7</v>
      </c>
      <c r="B83" s="812"/>
      <c r="C83" s="83" t="s">
        <v>180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34"/>
      <c r="T83" s="14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17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318"/>
      <c r="AS83" s="338" t="e">
        <f>SUM(#REF!-#REF!)</f>
        <v>#REF!</v>
      </c>
      <c r="AT83" s="342" t="e">
        <f>SUM(AS83*#REF!)</f>
        <v>#REF!</v>
      </c>
      <c r="AU83" s="342" t="e">
        <f>SUM(AS83*#REF!)</f>
        <v>#REF!</v>
      </c>
      <c r="AV83" s="318" t="e">
        <f>SUM(AS83*#REF!)</f>
        <v>#REF!</v>
      </c>
      <c r="AW83" s="318" t="e">
        <f>SUM(AS83*#REF!)</f>
        <v>#REF!</v>
      </c>
      <c r="AX83" s="342"/>
      <c r="AY83" s="341"/>
      <c r="AZ83" s="85"/>
      <c r="BA83" s="85"/>
      <c r="BB83" s="85"/>
      <c r="BC83" s="85"/>
      <c r="BD83" s="85"/>
      <c r="BE83" s="85"/>
      <c r="BF83" s="84"/>
      <c r="BG83" s="84"/>
      <c r="BH83" s="84"/>
      <c r="BI83" s="88"/>
      <c r="BJ83" s="17"/>
      <c r="BK83" s="318"/>
      <c r="BL83" s="318" t="e">
        <f>SUM(#REF!*#REF!)</f>
        <v>#REF!</v>
      </c>
      <c r="BM83" s="318"/>
      <c r="BN83" s="318"/>
      <c r="BO83" s="85"/>
      <c r="BP83" s="342" t="e">
        <f>SUM(#REF!*#REF!)</f>
        <v>#REF!</v>
      </c>
      <c r="BQ83" s="342" t="e">
        <f>SUM(#REF!*#REF!)</f>
        <v>#REF!</v>
      </c>
      <c r="BR83" s="318" t="e">
        <f>SUM(#REF!*#REF!)</f>
        <v>#REF!</v>
      </c>
      <c r="BS83" s="318" t="e">
        <f>SUM(#REF!*#REF!)</f>
        <v>#REF!</v>
      </c>
      <c r="BT83" s="342"/>
      <c r="BU83" s="341"/>
      <c r="BV83" s="85"/>
      <c r="BW83" s="85"/>
      <c r="BX83" s="85"/>
      <c r="BY83" s="85"/>
      <c r="BZ83" s="85"/>
      <c r="CA83" s="85"/>
      <c r="CB83" s="84"/>
      <c r="CC83" s="342" t="e">
        <f>SUM(#REF!*#REF!)</f>
        <v>#REF!</v>
      </c>
      <c r="CD83" s="342" t="e">
        <f>SUM(#REF!*#REF!)</f>
        <v>#REF!</v>
      </c>
      <c r="CE83" s="318" t="e">
        <f>SUM(#REF!*#REF!)</f>
        <v>#REF!</v>
      </c>
      <c r="CF83" s="318" t="e">
        <f>SUM(#REF!*#REF!)</f>
        <v>#REF!</v>
      </c>
      <c r="CG83" s="342"/>
      <c r="CH83" s="341"/>
      <c r="CI83" s="85"/>
      <c r="CJ83" s="85"/>
      <c r="CK83" s="85"/>
      <c r="CL83" s="85"/>
      <c r="CM83" s="85"/>
      <c r="CN83" s="85"/>
      <c r="CO83" s="84"/>
      <c r="CP83" s="320"/>
      <c r="CQ83" s="320"/>
      <c r="CR83" s="320"/>
      <c r="CS83" s="320"/>
      <c r="CT83" s="17"/>
      <c r="CU83" s="347"/>
      <c r="CV83" s="357"/>
      <c r="CW83" s="85"/>
      <c r="CX83" s="85"/>
      <c r="CY83" s="84"/>
      <c r="CZ83" s="84"/>
      <c r="DA83" s="84"/>
      <c r="DB83" s="84"/>
      <c r="DC83" s="88"/>
      <c r="DD83" s="84"/>
      <c r="DE83" s="84"/>
      <c r="DF83" s="224"/>
      <c r="DG83" s="224"/>
      <c r="DH83" s="224"/>
      <c r="DI83" s="224"/>
      <c r="DJ83" s="224"/>
      <c r="DK83" s="224"/>
      <c r="DL83" s="224"/>
      <c r="DM83" s="224"/>
      <c r="DN83" s="224"/>
      <c r="DO83" s="224"/>
      <c r="DP83" s="224"/>
      <c r="DQ83" s="224"/>
      <c r="DR83" s="224"/>
      <c r="DS83" s="224"/>
      <c r="DT83" s="224"/>
      <c r="DU83" s="224"/>
      <c r="DV83" s="224"/>
      <c r="DW83" s="224"/>
    </row>
    <row r="84" spans="1:127" s="7" customFormat="1" ht="48.75" customHeight="1" x14ac:dyDescent="0.2">
      <c r="A84" s="813" t="s">
        <v>8</v>
      </c>
      <c r="B84" s="787" t="s">
        <v>9</v>
      </c>
      <c r="C84" s="787" t="s">
        <v>22</v>
      </c>
      <c r="D84" s="806" t="s">
        <v>10</v>
      </c>
      <c r="E84" s="806"/>
      <c r="F84" s="806"/>
      <c r="G84" s="806"/>
      <c r="H84" s="806"/>
      <c r="I84" s="806"/>
      <c r="J84" s="806"/>
      <c r="K84" s="806"/>
      <c r="L84" s="806"/>
      <c r="M84" s="806"/>
      <c r="N84" s="806"/>
      <c r="O84" s="806"/>
      <c r="P84" s="806"/>
      <c r="Q84" s="806"/>
      <c r="R84" s="787" t="s">
        <v>20</v>
      </c>
      <c r="S84" s="807" t="s">
        <v>17</v>
      </c>
      <c r="T84" s="808"/>
      <c r="U84" s="808"/>
      <c r="V84" s="808"/>
      <c r="W84" s="808"/>
      <c r="X84" s="808"/>
      <c r="Y84" s="808"/>
      <c r="Z84" s="808"/>
      <c r="AA84" s="808"/>
      <c r="AB84" s="808"/>
      <c r="AC84" s="808"/>
      <c r="AD84" s="808"/>
      <c r="AE84" s="809"/>
      <c r="AF84" s="810" t="s">
        <v>5</v>
      </c>
      <c r="AG84" s="810"/>
      <c r="AH84" s="810"/>
      <c r="AI84" s="810"/>
      <c r="AJ84" s="810"/>
      <c r="AK84" s="810"/>
      <c r="AL84" s="810"/>
      <c r="AM84" s="810"/>
      <c r="AN84" s="810"/>
      <c r="AO84" s="810"/>
      <c r="AP84" s="810"/>
      <c r="AQ84" s="810"/>
      <c r="AR84" s="810"/>
      <c r="AS84" s="810"/>
      <c r="AT84" s="800" t="s">
        <v>32</v>
      </c>
      <c r="AU84" s="801"/>
      <c r="AV84" s="801"/>
      <c r="AW84" s="801"/>
      <c r="AX84" s="801"/>
      <c r="AY84" s="801"/>
      <c r="AZ84" s="801"/>
      <c r="BA84" s="801"/>
      <c r="BB84" s="801"/>
      <c r="BC84" s="801"/>
      <c r="BD84" s="801"/>
      <c r="BE84" s="801"/>
      <c r="BF84" s="802"/>
      <c r="BG84" s="787" t="s">
        <v>29</v>
      </c>
      <c r="BH84" s="787" t="s">
        <v>57</v>
      </c>
      <c r="BI84" s="790" t="s">
        <v>30</v>
      </c>
      <c r="BJ84" s="84"/>
      <c r="BK84" s="84"/>
      <c r="BL84" s="84"/>
      <c r="BM84" s="84"/>
      <c r="BN84" s="84"/>
      <c r="BO84" s="84"/>
      <c r="BP84" s="774" t="s">
        <v>32</v>
      </c>
      <c r="BQ84" s="775"/>
      <c r="BR84" s="775"/>
      <c r="BS84" s="775"/>
      <c r="BT84" s="775"/>
      <c r="BU84" s="775"/>
      <c r="BV84" s="775"/>
      <c r="BW84" s="775"/>
      <c r="BX84" s="775"/>
      <c r="BY84" s="775"/>
      <c r="BZ84" s="775"/>
      <c r="CA84" s="775"/>
      <c r="CB84" s="775"/>
      <c r="CC84" s="775"/>
      <c r="CD84" s="775"/>
      <c r="CE84" s="775"/>
      <c r="CF84" s="775"/>
      <c r="CG84" s="775"/>
      <c r="CH84" s="775"/>
      <c r="CI84" s="775"/>
      <c r="CJ84" s="775"/>
      <c r="CK84" s="775"/>
      <c r="CL84" s="775"/>
      <c r="CM84" s="775"/>
      <c r="CN84" s="775"/>
      <c r="CO84" s="776"/>
      <c r="CP84" s="332"/>
      <c r="CQ84" s="332"/>
      <c r="CR84" s="332"/>
      <c r="CS84" s="332"/>
      <c r="CT84" s="17"/>
      <c r="CU84" s="347"/>
      <c r="CV84" s="357"/>
      <c r="CW84" s="17"/>
      <c r="CX84" s="17"/>
      <c r="CY84" s="17"/>
      <c r="CZ84" s="17"/>
      <c r="DA84" s="17"/>
      <c r="DB84" s="17"/>
      <c r="DC84" s="17"/>
      <c r="DD84" s="19"/>
      <c r="DE84" s="19"/>
    </row>
    <row r="85" spans="1:127" s="7" customFormat="1" ht="48.75" customHeight="1" x14ac:dyDescent="0.2">
      <c r="A85" s="814"/>
      <c r="B85" s="788"/>
      <c r="C85" s="788"/>
      <c r="D85" s="797" t="s">
        <v>18</v>
      </c>
      <c r="E85" s="795" t="s">
        <v>19</v>
      </c>
      <c r="F85" s="796"/>
      <c r="G85" s="796"/>
      <c r="H85" s="796"/>
      <c r="I85" s="796"/>
      <c r="J85" s="796"/>
      <c r="K85" s="796"/>
      <c r="L85" s="796"/>
      <c r="M85" s="796"/>
      <c r="N85" s="796"/>
      <c r="O85" s="796"/>
      <c r="P85" s="796"/>
      <c r="Q85" s="796"/>
      <c r="R85" s="788"/>
      <c r="S85" s="793" t="s">
        <v>18</v>
      </c>
      <c r="T85" s="795" t="s">
        <v>19</v>
      </c>
      <c r="U85" s="796"/>
      <c r="V85" s="796"/>
      <c r="W85" s="796"/>
      <c r="X85" s="796"/>
      <c r="Y85" s="796"/>
      <c r="Z85" s="796"/>
      <c r="AA85" s="796"/>
      <c r="AB85" s="796"/>
      <c r="AC85" s="796"/>
      <c r="AD85" s="796"/>
      <c r="AE85" s="799"/>
      <c r="AF85" s="797" t="s">
        <v>18</v>
      </c>
      <c r="AG85" s="795" t="s">
        <v>19</v>
      </c>
      <c r="AH85" s="796"/>
      <c r="AI85" s="796"/>
      <c r="AJ85" s="796"/>
      <c r="AK85" s="796"/>
      <c r="AL85" s="796"/>
      <c r="AM85" s="796"/>
      <c r="AN85" s="796"/>
      <c r="AO85" s="796"/>
      <c r="AP85" s="796"/>
      <c r="AQ85" s="796"/>
      <c r="AR85" s="796"/>
      <c r="AS85" s="799"/>
      <c r="AT85" s="803"/>
      <c r="AU85" s="804"/>
      <c r="AV85" s="804"/>
      <c r="AW85" s="804"/>
      <c r="AX85" s="804"/>
      <c r="AY85" s="804"/>
      <c r="AZ85" s="804"/>
      <c r="BA85" s="804"/>
      <c r="BB85" s="804"/>
      <c r="BC85" s="804"/>
      <c r="BD85" s="804"/>
      <c r="BE85" s="804"/>
      <c r="BF85" s="805"/>
      <c r="BG85" s="788"/>
      <c r="BH85" s="788"/>
      <c r="BI85" s="791"/>
      <c r="BJ85" s="84"/>
      <c r="BK85" s="17"/>
      <c r="BL85" s="17"/>
      <c r="BM85" s="17"/>
      <c r="BN85" s="17"/>
      <c r="BO85" s="17"/>
      <c r="BP85" s="778" t="s">
        <v>230</v>
      </c>
      <c r="BQ85" s="779"/>
      <c r="BR85" s="779"/>
      <c r="BS85" s="779"/>
      <c r="BT85" s="779"/>
      <c r="BU85" s="779"/>
      <c r="BV85" s="779"/>
      <c r="BW85" s="779"/>
      <c r="BX85" s="779"/>
      <c r="BY85" s="779"/>
      <c r="BZ85" s="779"/>
      <c r="CA85" s="779"/>
      <c r="CB85" s="780"/>
      <c r="CC85" s="781" t="s">
        <v>231</v>
      </c>
      <c r="CD85" s="782"/>
      <c r="CE85" s="782"/>
      <c r="CF85" s="782"/>
      <c r="CG85" s="782"/>
      <c r="CH85" s="782"/>
      <c r="CI85" s="782"/>
      <c r="CJ85" s="782"/>
      <c r="CK85" s="782"/>
      <c r="CL85" s="782"/>
      <c r="CM85" s="782"/>
      <c r="CN85" s="782"/>
      <c r="CO85" s="783"/>
      <c r="CP85" s="332"/>
      <c r="CQ85" s="332"/>
      <c r="CR85" s="332"/>
      <c r="CS85" s="332"/>
      <c r="CT85" s="17"/>
      <c r="CU85" s="347"/>
      <c r="CV85" s="357"/>
      <c r="CW85" s="17"/>
      <c r="CX85" s="17"/>
      <c r="CY85" s="17"/>
      <c r="CZ85" s="17"/>
      <c r="DA85" s="17"/>
      <c r="DB85" s="17"/>
      <c r="DC85" s="17"/>
      <c r="DD85" s="19"/>
      <c r="DE85" s="19"/>
    </row>
    <row r="86" spans="1:127" s="5" customFormat="1" ht="28.5" customHeight="1" x14ac:dyDescent="0.2">
      <c r="A86" s="815"/>
      <c r="B86" s="789"/>
      <c r="C86" s="789"/>
      <c r="D86" s="798"/>
      <c r="E86" s="20">
        <v>1</v>
      </c>
      <c r="F86" s="20">
        <v>2</v>
      </c>
      <c r="G86" s="20">
        <v>3</v>
      </c>
      <c r="H86" s="20">
        <v>4</v>
      </c>
      <c r="I86" s="20">
        <v>5</v>
      </c>
      <c r="J86" s="20">
        <v>6</v>
      </c>
      <c r="K86" s="20">
        <v>7</v>
      </c>
      <c r="L86" s="20">
        <v>8</v>
      </c>
      <c r="M86" s="20">
        <v>9</v>
      </c>
      <c r="N86" s="20">
        <v>10</v>
      </c>
      <c r="O86" s="20">
        <v>11</v>
      </c>
      <c r="P86" s="20">
        <v>12</v>
      </c>
      <c r="Q86" s="20" t="s">
        <v>21</v>
      </c>
      <c r="R86" s="789"/>
      <c r="S86" s="794"/>
      <c r="T86" s="20">
        <v>1</v>
      </c>
      <c r="U86" s="20">
        <v>2</v>
      </c>
      <c r="V86" s="20">
        <v>3</v>
      </c>
      <c r="W86" s="20">
        <v>4</v>
      </c>
      <c r="X86" s="20">
        <v>5</v>
      </c>
      <c r="Y86" s="20">
        <v>6</v>
      </c>
      <c r="Z86" s="20">
        <v>7</v>
      </c>
      <c r="AA86" s="20">
        <v>8</v>
      </c>
      <c r="AB86" s="20">
        <v>9</v>
      </c>
      <c r="AC86" s="20">
        <v>10</v>
      </c>
      <c r="AD86" s="20">
        <v>11</v>
      </c>
      <c r="AE86" s="20">
        <v>12</v>
      </c>
      <c r="AF86" s="798"/>
      <c r="AG86" s="20">
        <v>1</v>
      </c>
      <c r="AH86" s="20">
        <v>2</v>
      </c>
      <c r="AI86" s="20">
        <v>3</v>
      </c>
      <c r="AJ86" s="20">
        <v>4</v>
      </c>
      <c r="AK86" s="20">
        <v>5</v>
      </c>
      <c r="AL86" s="20">
        <v>6</v>
      </c>
      <c r="AM86" s="20">
        <v>7</v>
      </c>
      <c r="AN86" s="20">
        <v>8</v>
      </c>
      <c r="AO86" s="20">
        <v>9</v>
      </c>
      <c r="AP86" s="20">
        <v>10</v>
      </c>
      <c r="AQ86" s="20">
        <v>11</v>
      </c>
      <c r="AR86" s="20">
        <v>12</v>
      </c>
      <c r="AS86" s="20" t="s">
        <v>13</v>
      </c>
      <c r="AT86" s="111">
        <v>1</v>
      </c>
      <c r="AU86" s="111">
        <v>2</v>
      </c>
      <c r="AV86" s="111">
        <v>3</v>
      </c>
      <c r="AW86" s="111">
        <v>4</v>
      </c>
      <c r="AX86" s="111">
        <v>5</v>
      </c>
      <c r="AY86" s="111">
        <v>6</v>
      </c>
      <c r="AZ86" s="111">
        <v>7</v>
      </c>
      <c r="BA86" s="111">
        <v>8</v>
      </c>
      <c r="BB86" s="111">
        <v>9</v>
      </c>
      <c r="BC86" s="111">
        <v>10</v>
      </c>
      <c r="BD86" s="111">
        <v>11</v>
      </c>
      <c r="BE86" s="111">
        <v>12</v>
      </c>
      <c r="BF86" s="20" t="s">
        <v>13</v>
      </c>
      <c r="BG86" s="789"/>
      <c r="BH86" s="789"/>
      <c r="BI86" s="792"/>
      <c r="BJ86" s="6"/>
      <c r="BK86" s="564"/>
      <c r="BL86" s="111">
        <v>3</v>
      </c>
      <c r="BM86" s="111"/>
      <c r="BN86" s="111"/>
      <c r="BO86" s="337"/>
      <c r="BP86" s="111">
        <v>1</v>
      </c>
      <c r="BQ86" s="111">
        <v>2</v>
      </c>
      <c r="BR86" s="111">
        <v>3</v>
      </c>
      <c r="BS86" s="111">
        <v>4</v>
      </c>
      <c r="BT86" s="111">
        <v>5</v>
      </c>
      <c r="BU86" s="111">
        <v>6</v>
      </c>
      <c r="BV86" s="111">
        <v>7</v>
      </c>
      <c r="BW86" s="111">
        <v>8</v>
      </c>
      <c r="BX86" s="111">
        <v>9</v>
      </c>
      <c r="BY86" s="111">
        <v>10</v>
      </c>
      <c r="BZ86" s="111">
        <v>11</v>
      </c>
      <c r="CA86" s="111">
        <v>12</v>
      </c>
      <c r="CB86" s="20" t="s">
        <v>13</v>
      </c>
      <c r="CC86" s="111">
        <v>1</v>
      </c>
      <c r="CD86" s="111">
        <v>2</v>
      </c>
      <c r="CE86" s="111">
        <v>3</v>
      </c>
      <c r="CF86" s="111">
        <v>4</v>
      </c>
      <c r="CG86" s="111">
        <v>5</v>
      </c>
      <c r="CH86" s="111">
        <v>6</v>
      </c>
      <c r="CI86" s="111">
        <v>7</v>
      </c>
      <c r="CJ86" s="111">
        <v>8</v>
      </c>
      <c r="CK86" s="111">
        <v>9</v>
      </c>
      <c r="CL86" s="111">
        <v>10</v>
      </c>
      <c r="CM86" s="111">
        <v>11</v>
      </c>
      <c r="CN86" s="111">
        <v>12</v>
      </c>
      <c r="CO86" s="20" t="s">
        <v>13</v>
      </c>
      <c r="CP86" s="333"/>
      <c r="CQ86" s="333"/>
      <c r="CR86" s="333"/>
      <c r="CS86" s="333"/>
      <c r="CT86" s="358"/>
      <c r="CU86" s="348"/>
      <c r="CV86" s="359"/>
      <c r="CW86" s="21"/>
      <c r="CX86" s="21"/>
      <c r="CY86" s="21"/>
      <c r="CZ86" s="21"/>
      <c r="DA86" s="21"/>
      <c r="DB86" s="21"/>
      <c r="DC86" s="21"/>
      <c r="DD86" s="21"/>
      <c r="DE86" s="21"/>
    </row>
    <row r="87" spans="1:127" s="70" customFormat="1" ht="24.75" customHeight="1" x14ac:dyDescent="0.2">
      <c r="A87" s="64"/>
      <c r="B87" s="345" t="s">
        <v>181</v>
      </c>
      <c r="C87" s="65" t="s">
        <v>73</v>
      </c>
      <c r="D87" s="486">
        <v>16</v>
      </c>
      <c r="E87" s="66">
        <v>16</v>
      </c>
      <c r="F87" s="66"/>
      <c r="G87" s="428"/>
      <c r="H87" s="67"/>
      <c r="I87" s="67"/>
      <c r="J87" s="67"/>
      <c r="K87" s="67"/>
      <c r="L87" s="67"/>
      <c r="M87" s="67"/>
      <c r="N87" s="67"/>
      <c r="O87" s="67"/>
      <c r="P87" s="67"/>
      <c r="Q87" s="339">
        <f>SUM(E87:P87)</f>
        <v>16</v>
      </c>
      <c r="R87" s="375" t="s">
        <v>14</v>
      </c>
      <c r="S87" s="374">
        <v>19500</v>
      </c>
      <c r="T87" s="321">
        <v>17000</v>
      </c>
      <c r="U87" s="433"/>
      <c r="V87" s="432"/>
      <c r="W87" s="434"/>
      <c r="X87" s="434"/>
      <c r="Y87" s="322"/>
      <c r="Z87" s="322"/>
      <c r="AA87" s="322"/>
      <c r="AB87" s="322"/>
      <c r="AC87" s="322"/>
      <c r="AD87" s="322"/>
      <c r="AE87" s="322"/>
      <c r="AF87" s="51">
        <f>Q87*S87</f>
        <v>312000</v>
      </c>
      <c r="AG87" s="323">
        <f>T87*E87</f>
        <v>272000</v>
      </c>
      <c r="AH87" s="323">
        <f t="shared" ref="AH87:AH116" si="390">U87*F87</f>
        <v>0</v>
      </c>
      <c r="AI87" s="323">
        <f t="shared" ref="AI87:AI116" si="391">V87*G87</f>
        <v>0</v>
      </c>
      <c r="AJ87" s="323">
        <f t="shared" ref="AJ87:AJ116" si="392">W87*H87</f>
        <v>0</v>
      </c>
      <c r="AK87" s="323">
        <f t="shared" ref="AK87:AK116" si="393">X87*I87</f>
        <v>0</v>
      </c>
      <c r="AL87" s="323">
        <f t="shared" ref="AL87:AL116" si="394">Y87*J87</f>
        <v>0</v>
      </c>
      <c r="AM87" s="323">
        <f t="shared" ref="AM87:AM116" si="395">Z87*K87</f>
        <v>0</v>
      </c>
      <c r="AN87" s="323">
        <f t="shared" ref="AN87:AN116" si="396">AA87*L87</f>
        <v>0</v>
      </c>
      <c r="AO87" s="323">
        <f t="shared" ref="AO87:AO116" si="397">AB87*M87</f>
        <v>0</v>
      </c>
      <c r="AP87" s="323">
        <f t="shared" ref="AP87:AP116" si="398">AC87*N87</f>
        <v>0</v>
      </c>
      <c r="AQ87" s="323">
        <f t="shared" ref="AQ87:AQ116" si="399">AD87*O87</f>
        <v>0</v>
      </c>
      <c r="AR87" s="323">
        <f t="shared" ref="AR87:AR116" si="400">AE87*P87</f>
        <v>0</v>
      </c>
      <c r="AS87" s="324">
        <f t="shared" ref="AS87:AS89" si="401">SUM(AG87:AR87)</f>
        <v>272000</v>
      </c>
      <c r="AT87" s="323">
        <f>SUM(AG87*14%)</f>
        <v>38080</v>
      </c>
      <c r="AU87" s="323">
        <f t="shared" ref="AU87:AU116" si="402">SUM(AH87*14%)</f>
        <v>0</v>
      </c>
      <c r="AV87" s="323">
        <f t="shared" ref="AV87:AV116" si="403">SUM(AI87*14%)</f>
        <v>0</v>
      </c>
      <c r="AW87" s="323">
        <f t="shared" ref="AW87:AW116" si="404">SUM(AJ87*14%)</f>
        <v>0</v>
      </c>
      <c r="AX87" s="323"/>
      <c r="AY87" s="323"/>
      <c r="AZ87" s="323"/>
      <c r="BA87" s="323"/>
      <c r="BB87" s="323"/>
      <c r="BC87" s="323"/>
      <c r="BD87" s="323"/>
      <c r="BE87" s="323"/>
      <c r="BF87" s="55">
        <f t="shared" ref="BF87:BF116" si="405">SUM(AT87:BE87)</f>
        <v>38080</v>
      </c>
      <c r="BG87" s="72">
        <f t="shared" ref="BG87:BG117" si="406">AF87-AS87-BF87</f>
        <v>1920</v>
      </c>
      <c r="BH87" s="73">
        <f>S87*D87</f>
        <v>312000</v>
      </c>
      <c r="BI87" s="74">
        <f>BH87-AS87-BF87</f>
        <v>1920</v>
      </c>
      <c r="BJ87" s="99">
        <f t="shared" ref="BJ87:BJ116" si="407">SUM(Q87/D87)</f>
        <v>1</v>
      </c>
      <c r="BK87" s="565"/>
      <c r="BL87" s="323">
        <f t="shared" ref="BL87:BL108" si="408">SUM(AO87*14%)</f>
        <v>0</v>
      </c>
      <c r="BM87" s="323"/>
      <c r="BN87" s="323"/>
      <c r="BO87" s="561"/>
      <c r="BP87" s="323">
        <f t="shared" ref="BP87:BP108" si="409">SUM(AY87*14%)</f>
        <v>0</v>
      </c>
      <c r="BQ87" s="323">
        <f t="shared" ref="BQ87:BQ108" si="410">SUM(AZ87*14%)</f>
        <v>0</v>
      </c>
      <c r="BR87" s="323">
        <f t="shared" ref="BR87:BR108" si="411">SUM(BA87*14%)</f>
        <v>0</v>
      </c>
      <c r="BS87" s="323">
        <f t="shared" ref="BS87:BS108" si="412">SUM(BB87*14%)</f>
        <v>0</v>
      </c>
      <c r="BT87" s="323"/>
      <c r="BU87" s="323"/>
      <c r="BV87" s="323"/>
      <c r="BW87" s="323"/>
      <c r="BX87" s="323"/>
      <c r="BY87" s="323"/>
      <c r="BZ87" s="323"/>
      <c r="CA87" s="323"/>
      <c r="CB87" s="55">
        <f t="shared" ref="CB87:CB117" si="413">SUM(BP87:CA87)</f>
        <v>0</v>
      </c>
      <c r="CC87" s="323">
        <f t="shared" ref="CC87:CC108" si="414">SUM(BQ87*14%)</f>
        <v>0</v>
      </c>
      <c r="CD87" s="323">
        <f t="shared" ref="CD87:CD108" si="415">SUM(BR87*14%)</f>
        <v>0</v>
      </c>
      <c r="CE87" s="323">
        <f t="shared" ref="CE87:CE108" si="416">SUM(BS87*14%)</f>
        <v>0</v>
      </c>
      <c r="CF87" s="323">
        <f t="shared" ref="CF87:CF108" si="417">SUM(BT87*14%)</f>
        <v>0</v>
      </c>
      <c r="CG87" s="323"/>
      <c r="CH87" s="323"/>
      <c r="CI87" s="323"/>
      <c r="CJ87" s="323"/>
      <c r="CK87" s="323"/>
      <c r="CL87" s="323"/>
      <c r="CM87" s="323"/>
      <c r="CN87" s="323"/>
      <c r="CO87" s="55">
        <f t="shared" ref="CO87:CO117" si="418">SUM(CC87:CN87)</f>
        <v>0</v>
      </c>
      <c r="CP87" s="334"/>
      <c r="CQ87" s="334"/>
      <c r="CR87" s="334"/>
      <c r="CS87" s="334"/>
      <c r="CT87" s="360"/>
      <c r="CU87" s="349"/>
      <c r="CV87" s="361"/>
      <c r="CW87" s="69"/>
      <c r="CX87" s="69"/>
      <c r="CY87" s="69"/>
      <c r="CZ87" s="69"/>
      <c r="DA87" s="69"/>
      <c r="DB87" s="69"/>
      <c r="DC87" s="69"/>
      <c r="DD87" s="69"/>
      <c r="DE87" s="69"/>
    </row>
    <row r="88" spans="1:127" s="70" customFormat="1" ht="24.75" customHeight="1" x14ac:dyDescent="0.2">
      <c r="A88" s="64"/>
      <c r="B88" s="345" t="s">
        <v>182</v>
      </c>
      <c r="C88" s="65" t="s">
        <v>73</v>
      </c>
      <c r="D88" s="486">
        <v>16</v>
      </c>
      <c r="E88" s="66">
        <v>16</v>
      </c>
      <c r="F88" s="66"/>
      <c r="G88" s="429"/>
      <c r="H88" s="67"/>
      <c r="I88" s="67"/>
      <c r="J88" s="67"/>
      <c r="K88" s="67"/>
      <c r="L88" s="67"/>
      <c r="M88" s="67"/>
      <c r="N88" s="67"/>
      <c r="O88" s="67"/>
      <c r="P88" s="67"/>
      <c r="Q88" s="339">
        <f t="shared" ref="Q88:Q116" si="419">SUM(E88:P88)</f>
        <v>16</v>
      </c>
      <c r="R88" s="375" t="s">
        <v>69</v>
      </c>
      <c r="S88" s="374">
        <v>5000</v>
      </c>
      <c r="T88" s="325">
        <v>4000</v>
      </c>
      <c r="U88" s="433"/>
      <c r="V88" s="434"/>
      <c r="W88" s="434"/>
      <c r="X88" s="434"/>
      <c r="Y88" s="322"/>
      <c r="Z88" s="322"/>
      <c r="AA88" s="322"/>
      <c r="AB88" s="322"/>
      <c r="AC88" s="322"/>
      <c r="AD88" s="322"/>
      <c r="AE88" s="322"/>
      <c r="AF88" s="51">
        <f t="shared" ref="AF88:AF117" si="420">Q88*S88</f>
        <v>80000</v>
      </c>
      <c r="AG88" s="323">
        <f t="shared" ref="AG88" si="421">T88*E88</f>
        <v>64000</v>
      </c>
      <c r="AH88" s="323">
        <f t="shared" si="390"/>
        <v>0</v>
      </c>
      <c r="AI88" s="323">
        <f t="shared" si="391"/>
        <v>0</v>
      </c>
      <c r="AJ88" s="323">
        <f t="shared" si="392"/>
        <v>0</v>
      </c>
      <c r="AK88" s="323">
        <f t="shared" si="393"/>
        <v>0</v>
      </c>
      <c r="AL88" s="323">
        <f t="shared" si="394"/>
        <v>0</v>
      </c>
      <c r="AM88" s="323">
        <f t="shared" si="395"/>
        <v>0</v>
      </c>
      <c r="AN88" s="323">
        <f t="shared" si="396"/>
        <v>0</v>
      </c>
      <c r="AO88" s="323">
        <f t="shared" si="397"/>
        <v>0</v>
      </c>
      <c r="AP88" s="323">
        <f t="shared" si="398"/>
        <v>0</v>
      </c>
      <c r="AQ88" s="323">
        <f t="shared" si="399"/>
        <v>0</v>
      </c>
      <c r="AR88" s="323">
        <f t="shared" si="400"/>
        <v>0</v>
      </c>
      <c r="AS88" s="324">
        <f t="shared" si="401"/>
        <v>64000</v>
      </c>
      <c r="AT88" s="323">
        <f t="shared" ref="AT88:AT101" si="422">SUM(AG88*14%)</f>
        <v>8960</v>
      </c>
      <c r="AU88" s="323">
        <f t="shared" si="402"/>
        <v>0</v>
      </c>
      <c r="AV88" s="323">
        <f t="shared" si="403"/>
        <v>0</v>
      </c>
      <c r="AW88" s="323">
        <f t="shared" si="404"/>
        <v>0</v>
      </c>
      <c r="AX88" s="323"/>
      <c r="AY88" s="323"/>
      <c r="AZ88" s="323"/>
      <c r="BA88" s="323"/>
      <c r="BB88" s="323"/>
      <c r="BC88" s="323"/>
      <c r="BD88" s="323"/>
      <c r="BE88" s="323"/>
      <c r="BF88" s="55">
        <f t="shared" si="405"/>
        <v>8960</v>
      </c>
      <c r="BG88" s="72">
        <f t="shared" si="406"/>
        <v>7040</v>
      </c>
      <c r="BH88" s="73">
        <f t="shared" ref="BH88:BH117" si="423">S88*D88</f>
        <v>80000</v>
      </c>
      <c r="BI88" s="74">
        <f t="shared" ref="BI88:BI117" si="424">BH88-AS88-BF88</f>
        <v>7040</v>
      </c>
      <c r="BJ88" s="99">
        <f t="shared" si="407"/>
        <v>1</v>
      </c>
      <c r="BK88" s="565"/>
      <c r="BL88" s="323">
        <f t="shared" si="408"/>
        <v>0</v>
      </c>
      <c r="BM88" s="323"/>
      <c r="BN88" s="323"/>
      <c r="BO88" s="561"/>
      <c r="BP88" s="323">
        <f t="shared" si="409"/>
        <v>0</v>
      </c>
      <c r="BQ88" s="323">
        <f t="shared" si="410"/>
        <v>0</v>
      </c>
      <c r="BR88" s="323">
        <f t="shared" si="411"/>
        <v>0</v>
      </c>
      <c r="BS88" s="323">
        <f t="shared" si="412"/>
        <v>0</v>
      </c>
      <c r="BT88" s="323"/>
      <c r="BU88" s="323"/>
      <c r="BV88" s="323"/>
      <c r="BW88" s="323"/>
      <c r="BX88" s="323"/>
      <c r="BY88" s="323"/>
      <c r="BZ88" s="323"/>
      <c r="CA88" s="323"/>
      <c r="CB88" s="55">
        <f t="shared" si="413"/>
        <v>0</v>
      </c>
      <c r="CC88" s="323">
        <f t="shared" si="414"/>
        <v>0</v>
      </c>
      <c r="CD88" s="323">
        <f t="shared" si="415"/>
        <v>0</v>
      </c>
      <c r="CE88" s="323">
        <f t="shared" si="416"/>
        <v>0</v>
      </c>
      <c r="CF88" s="323">
        <f t="shared" si="417"/>
        <v>0</v>
      </c>
      <c r="CG88" s="323"/>
      <c r="CH88" s="323"/>
      <c r="CI88" s="323"/>
      <c r="CJ88" s="323"/>
      <c r="CK88" s="323"/>
      <c r="CL88" s="323"/>
      <c r="CM88" s="323"/>
      <c r="CN88" s="323"/>
      <c r="CO88" s="55">
        <f t="shared" si="418"/>
        <v>0</v>
      </c>
      <c r="CP88" s="334"/>
      <c r="CQ88" s="334"/>
      <c r="CR88" s="334"/>
      <c r="CS88" s="334"/>
      <c r="CT88" s="360"/>
      <c r="CU88" s="349"/>
      <c r="CV88" s="361"/>
      <c r="CW88" s="69"/>
      <c r="CX88" s="69"/>
      <c r="CY88" s="69"/>
      <c r="CZ88" s="69"/>
      <c r="DA88" s="69"/>
      <c r="DB88" s="69"/>
      <c r="DC88" s="69"/>
      <c r="DD88" s="69"/>
      <c r="DE88" s="69"/>
    </row>
    <row r="89" spans="1:127" s="70" customFormat="1" ht="24.75" customHeight="1" x14ac:dyDescent="0.2">
      <c r="A89" s="64"/>
      <c r="B89" s="430" t="s">
        <v>183</v>
      </c>
      <c r="C89" s="65" t="s">
        <v>73</v>
      </c>
      <c r="D89" s="486">
        <v>16</v>
      </c>
      <c r="E89" s="66">
        <v>16</v>
      </c>
      <c r="F89" s="66"/>
      <c r="G89" s="428"/>
      <c r="H89" s="67"/>
      <c r="I89" s="67"/>
      <c r="J89" s="67"/>
      <c r="K89" s="67"/>
      <c r="L89" s="67"/>
      <c r="M89" s="67"/>
      <c r="N89" s="67"/>
      <c r="O89" s="67"/>
      <c r="P89" s="67"/>
      <c r="Q89" s="339">
        <f t="shared" si="419"/>
        <v>16</v>
      </c>
      <c r="R89" s="375" t="s">
        <v>69</v>
      </c>
      <c r="S89" s="374">
        <v>5000</v>
      </c>
      <c r="T89" s="321">
        <v>3500</v>
      </c>
      <c r="U89" s="433"/>
      <c r="V89" s="432"/>
      <c r="W89" s="432"/>
      <c r="X89" s="434"/>
      <c r="Y89" s="322"/>
      <c r="Z89" s="322"/>
      <c r="AA89" s="322"/>
      <c r="AB89" s="322"/>
      <c r="AC89" s="322"/>
      <c r="AD89" s="322"/>
      <c r="AE89" s="322"/>
      <c r="AF89" s="51">
        <f t="shared" si="420"/>
        <v>80000</v>
      </c>
      <c r="AG89" s="323">
        <f>T89*E89</f>
        <v>56000</v>
      </c>
      <c r="AH89" s="323">
        <f t="shared" si="390"/>
        <v>0</v>
      </c>
      <c r="AI89" s="323">
        <f t="shared" si="391"/>
        <v>0</v>
      </c>
      <c r="AJ89" s="323">
        <f t="shared" si="392"/>
        <v>0</v>
      </c>
      <c r="AK89" s="323">
        <f t="shared" si="393"/>
        <v>0</v>
      </c>
      <c r="AL89" s="323">
        <f t="shared" si="394"/>
        <v>0</v>
      </c>
      <c r="AM89" s="323">
        <f t="shared" si="395"/>
        <v>0</v>
      </c>
      <c r="AN89" s="323">
        <f t="shared" si="396"/>
        <v>0</v>
      </c>
      <c r="AO89" s="323">
        <f t="shared" si="397"/>
        <v>0</v>
      </c>
      <c r="AP89" s="323">
        <f t="shared" si="398"/>
        <v>0</v>
      </c>
      <c r="AQ89" s="323">
        <f t="shared" si="399"/>
        <v>0</v>
      </c>
      <c r="AR89" s="323">
        <f t="shared" si="400"/>
        <v>0</v>
      </c>
      <c r="AS89" s="324">
        <f t="shared" si="401"/>
        <v>56000</v>
      </c>
      <c r="AT89" s="323">
        <f t="shared" si="422"/>
        <v>7840.0000000000009</v>
      </c>
      <c r="AU89" s="323">
        <f t="shared" si="402"/>
        <v>0</v>
      </c>
      <c r="AV89" s="323">
        <f t="shared" si="403"/>
        <v>0</v>
      </c>
      <c r="AW89" s="323">
        <f t="shared" si="404"/>
        <v>0</v>
      </c>
      <c r="AX89" s="323"/>
      <c r="AY89" s="323"/>
      <c r="AZ89" s="323"/>
      <c r="BA89" s="323"/>
      <c r="BB89" s="323"/>
      <c r="BC89" s="323"/>
      <c r="BD89" s="323"/>
      <c r="BE89" s="323"/>
      <c r="BF89" s="55">
        <f t="shared" si="405"/>
        <v>7840.0000000000009</v>
      </c>
      <c r="BG89" s="72">
        <f t="shared" si="406"/>
        <v>16160</v>
      </c>
      <c r="BH89" s="73">
        <f t="shared" si="423"/>
        <v>80000</v>
      </c>
      <c r="BI89" s="74">
        <f t="shared" si="424"/>
        <v>16160</v>
      </c>
      <c r="BJ89" s="99">
        <f t="shared" si="407"/>
        <v>1</v>
      </c>
      <c r="BK89" s="565"/>
      <c r="BL89" s="323">
        <f t="shared" si="408"/>
        <v>0</v>
      </c>
      <c r="BM89" s="323"/>
      <c r="BN89" s="323"/>
      <c r="BO89" s="561"/>
      <c r="BP89" s="323">
        <f t="shared" si="409"/>
        <v>0</v>
      </c>
      <c r="BQ89" s="323">
        <f t="shared" si="410"/>
        <v>0</v>
      </c>
      <c r="BR89" s="323">
        <f t="shared" si="411"/>
        <v>0</v>
      </c>
      <c r="BS89" s="323">
        <f t="shared" si="412"/>
        <v>0</v>
      </c>
      <c r="BT89" s="323"/>
      <c r="BU89" s="323"/>
      <c r="BV89" s="323"/>
      <c r="BW89" s="323"/>
      <c r="BX89" s="323"/>
      <c r="BY89" s="323"/>
      <c r="BZ89" s="323"/>
      <c r="CA89" s="323"/>
      <c r="CB89" s="55">
        <f t="shared" si="413"/>
        <v>0</v>
      </c>
      <c r="CC89" s="323">
        <f t="shared" si="414"/>
        <v>0</v>
      </c>
      <c r="CD89" s="323">
        <f t="shared" si="415"/>
        <v>0</v>
      </c>
      <c r="CE89" s="323">
        <f t="shared" si="416"/>
        <v>0</v>
      </c>
      <c r="CF89" s="323">
        <f t="shared" si="417"/>
        <v>0</v>
      </c>
      <c r="CG89" s="323"/>
      <c r="CH89" s="323"/>
      <c r="CI89" s="323"/>
      <c r="CJ89" s="323"/>
      <c r="CK89" s="323"/>
      <c r="CL89" s="323"/>
      <c r="CM89" s="323"/>
      <c r="CN89" s="323"/>
      <c r="CO89" s="55">
        <f t="shared" si="418"/>
        <v>0</v>
      </c>
      <c r="CP89" s="334"/>
      <c r="CQ89" s="334"/>
      <c r="CR89" s="334"/>
      <c r="CS89" s="334"/>
      <c r="CT89" s="360"/>
      <c r="CU89" s="349"/>
      <c r="CV89" s="361"/>
      <c r="CW89" s="69"/>
      <c r="CX89" s="69"/>
      <c r="CY89" s="69"/>
      <c r="CZ89" s="69"/>
      <c r="DA89" s="69"/>
      <c r="DB89" s="69"/>
      <c r="DC89" s="69"/>
      <c r="DD89" s="69"/>
      <c r="DE89" s="69"/>
    </row>
    <row r="90" spans="1:127" s="70" customFormat="1" ht="24.75" customHeight="1" x14ac:dyDescent="0.2">
      <c r="A90" s="64"/>
      <c r="B90" s="345" t="s">
        <v>16</v>
      </c>
      <c r="C90" s="65" t="s">
        <v>73</v>
      </c>
      <c r="D90" s="486">
        <v>16</v>
      </c>
      <c r="E90" s="66">
        <v>16</v>
      </c>
      <c r="F90" s="66"/>
      <c r="G90" s="428"/>
      <c r="H90" s="67"/>
      <c r="I90" s="67"/>
      <c r="J90" s="67"/>
      <c r="K90" s="67"/>
      <c r="L90" s="67"/>
      <c r="M90" s="67"/>
      <c r="N90" s="67"/>
      <c r="O90" s="67"/>
      <c r="P90" s="67"/>
      <c r="Q90" s="339">
        <f t="shared" si="419"/>
        <v>16</v>
      </c>
      <c r="R90" s="375" t="s">
        <v>69</v>
      </c>
      <c r="S90" s="374">
        <v>3500</v>
      </c>
      <c r="T90" s="325">
        <v>3000</v>
      </c>
      <c r="U90" s="433"/>
      <c r="V90" s="434"/>
      <c r="W90" s="434"/>
      <c r="X90" s="434"/>
      <c r="Y90" s="322"/>
      <c r="Z90" s="322"/>
      <c r="AA90" s="322"/>
      <c r="AB90" s="322"/>
      <c r="AC90" s="322"/>
      <c r="AD90" s="322"/>
      <c r="AE90" s="322"/>
      <c r="AF90" s="51">
        <f t="shared" si="420"/>
        <v>56000</v>
      </c>
      <c r="AG90" s="323">
        <f t="shared" ref="AG90:AG93" si="425">T90*E90</f>
        <v>48000</v>
      </c>
      <c r="AH90" s="323">
        <f t="shared" si="390"/>
        <v>0</v>
      </c>
      <c r="AI90" s="323">
        <f t="shared" si="391"/>
        <v>0</v>
      </c>
      <c r="AJ90" s="323">
        <f t="shared" si="392"/>
        <v>0</v>
      </c>
      <c r="AK90" s="323">
        <f t="shared" si="393"/>
        <v>0</v>
      </c>
      <c r="AL90" s="323">
        <f t="shared" si="394"/>
        <v>0</v>
      </c>
      <c r="AM90" s="323">
        <f t="shared" si="395"/>
        <v>0</v>
      </c>
      <c r="AN90" s="323">
        <f t="shared" si="396"/>
        <v>0</v>
      </c>
      <c r="AO90" s="323">
        <f t="shared" si="397"/>
        <v>0</v>
      </c>
      <c r="AP90" s="323">
        <f t="shared" si="398"/>
        <v>0</v>
      </c>
      <c r="AQ90" s="323">
        <f t="shared" si="399"/>
        <v>0</v>
      </c>
      <c r="AR90" s="323">
        <f t="shared" si="400"/>
        <v>0</v>
      </c>
      <c r="AS90" s="324">
        <f t="shared" ref="AS90:AS95" si="426">SUM(AG90:AR90)</f>
        <v>48000</v>
      </c>
      <c r="AT90" s="323">
        <f t="shared" si="422"/>
        <v>6720.0000000000009</v>
      </c>
      <c r="AU90" s="323">
        <f t="shared" si="402"/>
        <v>0</v>
      </c>
      <c r="AV90" s="323">
        <f t="shared" si="403"/>
        <v>0</v>
      </c>
      <c r="AW90" s="323">
        <f t="shared" si="404"/>
        <v>0</v>
      </c>
      <c r="AX90" s="323"/>
      <c r="AY90" s="323"/>
      <c r="AZ90" s="323"/>
      <c r="BA90" s="323"/>
      <c r="BB90" s="323"/>
      <c r="BC90" s="323"/>
      <c r="BD90" s="323"/>
      <c r="BE90" s="323"/>
      <c r="BF90" s="55">
        <f t="shared" si="405"/>
        <v>6720.0000000000009</v>
      </c>
      <c r="BG90" s="72">
        <f t="shared" si="406"/>
        <v>1279.9999999999991</v>
      </c>
      <c r="BH90" s="73">
        <f t="shared" si="423"/>
        <v>56000</v>
      </c>
      <c r="BI90" s="74">
        <f t="shared" si="424"/>
        <v>1279.9999999999991</v>
      </c>
      <c r="BJ90" s="99">
        <f t="shared" si="407"/>
        <v>1</v>
      </c>
      <c r="BK90" s="565"/>
      <c r="BL90" s="323">
        <f t="shared" si="408"/>
        <v>0</v>
      </c>
      <c r="BM90" s="323"/>
      <c r="BN90" s="323"/>
      <c r="BO90" s="561"/>
      <c r="BP90" s="323">
        <f t="shared" si="409"/>
        <v>0</v>
      </c>
      <c r="BQ90" s="323">
        <f t="shared" si="410"/>
        <v>0</v>
      </c>
      <c r="BR90" s="323">
        <f t="shared" si="411"/>
        <v>0</v>
      </c>
      <c r="BS90" s="323">
        <f t="shared" si="412"/>
        <v>0</v>
      </c>
      <c r="BT90" s="323"/>
      <c r="BU90" s="323"/>
      <c r="BV90" s="323"/>
      <c r="BW90" s="323"/>
      <c r="BX90" s="323"/>
      <c r="BY90" s="323"/>
      <c r="BZ90" s="323"/>
      <c r="CA90" s="323"/>
      <c r="CB90" s="55">
        <f t="shared" si="413"/>
        <v>0</v>
      </c>
      <c r="CC90" s="323">
        <f t="shared" si="414"/>
        <v>0</v>
      </c>
      <c r="CD90" s="323">
        <f t="shared" si="415"/>
        <v>0</v>
      </c>
      <c r="CE90" s="323">
        <f t="shared" si="416"/>
        <v>0</v>
      </c>
      <c r="CF90" s="323">
        <f t="shared" si="417"/>
        <v>0</v>
      </c>
      <c r="CG90" s="323"/>
      <c r="CH90" s="323"/>
      <c r="CI90" s="323"/>
      <c r="CJ90" s="323"/>
      <c r="CK90" s="323"/>
      <c r="CL90" s="323"/>
      <c r="CM90" s="323"/>
      <c r="CN90" s="323"/>
      <c r="CO90" s="55">
        <f t="shared" si="418"/>
        <v>0</v>
      </c>
      <c r="CP90" s="334"/>
      <c r="CQ90" s="334"/>
      <c r="CR90" s="334"/>
      <c r="CS90" s="334"/>
      <c r="CT90" s="360"/>
      <c r="CU90" s="349"/>
      <c r="CV90" s="361"/>
      <c r="CW90" s="69"/>
      <c r="CX90" s="69"/>
      <c r="CY90" s="69"/>
      <c r="CZ90" s="69"/>
      <c r="DA90" s="69"/>
      <c r="DB90" s="69"/>
      <c r="DC90" s="69"/>
      <c r="DD90" s="69"/>
      <c r="DE90" s="69"/>
    </row>
    <row r="91" spans="1:127" s="70" customFormat="1" ht="24.75" customHeight="1" x14ac:dyDescent="0.2">
      <c r="A91" s="64"/>
      <c r="B91" s="345" t="s">
        <v>184</v>
      </c>
      <c r="C91" s="65" t="s">
        <v>73</v>
      </c>
      <c r="D91" s="486">
        <v>16</v>
      </c>
      <c r="E91" s="66">
        <v>16</v>
      </c>
      <c r="F91" s="66"/>
      <c r="G91" s="431"/>
      <c r="H91" s="67"/>
      <c r="I91" s="67"/>
      <c r="J91" s="67"/>
      <c r="K91" s="67"/>
      <c r="L91" s="67"/>
      <c r="M91" s="67"/>
      <c r="N91" s="67"/>
      <c r="O91" s="67"/>
      <c r="P91" s="67"/>
      <c r="Q91" s="421">
        <f t="shared" si="419"/>
        <v>16</v>
      </c>
      <c r="R91" s="375" t="s">
        <v>160</v>
      </c>
      <c r="S91" s="374">
        <v>6000</v>
      </c>
      <c r="T91" s="325">
        <v>5000</v>
      </c>
      <c r="U91" s="433"/>
      <c r="V91" s="434"/>
      <c r="W91" s="434"/>
      <c r="X91" s="434"/>
      <c r="Y91" s="322"/>
      <c r="Z91" s="322"/>
      <c r="AA91" s="322"/>
      <c r="AB91" s="322"/>
      <c r="AC91" s="322"/>
      <c r="AD91" s="322"/>
      <c r="AE91" s="322"/>
      <c r="AF91" s="51">
        <f t="shared" si="420"/>
        <v>96000</v>
      </c>
      <c r="AG91" s="323">
        <f t="shared" si="425"/>
        <v>80000</v>
      </c>
      <c r="AH91" s="323">
        <f t="shared" si="390"/>
        <v>0</v>
      </c>
      <c r="AI91" s="323">
        <f t="shared" si="391"/>
        <v>0</v>
      </c>
      <c r="AJ91" s="323">
        <f t="shared" si="392"/>
        <v>0</v>
      </c>
      <c r="AK91" s="323">
        <f t="shared" si="393"/>
        <v>0</v>
      </c>
      <c r="AL91" s="323">
        <f t="shared" si="394"/>
        <v>0</v>
      </c>
      <c r="AM91" s="323">
        <f t="shared" si="395"/>
        <v>0</v>
      </c>
      <c r="AN91" s="323">
        <f t="shared" si="396"/>
        <v>0</v>
      </c>
      <c r="AO91" s="323">
        <f t="shared" si="397"/>
        <v>0</v>
      </c>
      <c r="AP91" s="323">
        <f t="shared" si="398"/>
        <v>0</v>
      </c>
      <c r="AQ91" s="323">
        <f t="shared" si="399"/>
        <v>0</v>
      </c>
      <c r="AR91" s="323">
        <f t="shared" si="400"/>
        <v>0</v>
      </c>
      <c r="AS91" s="324">
        <f t="shared" si="426"/>
        <v>80000</v>
      </c>
      <c r="AT91" s="323">
        <f t="shared" si="422"/>
        <v>11200.000000000002</v>
      </c>
      <c r="AU91" s="323">
        <f t="shared" si="402"/>
        <v>0</v>
      </c>
      <c r="AV91" s="323">
        <f t="shared" si="403"/>
        <v>0</v>
      </c>
      <c r="AW91" s="323">
        <f t="shared" si="404"/>
        <v>0</v>
      </c>
      <c r="AX91" s="323"/>
      <c r="AY91" s="323"/>
      <c r="AZ91" s="323"/>
      <c r="BA91" s="323"/>
      <c r="BB91" s="323"/>
      <c r="BC91" s="323"/>
      <c r="BD91" s="323"/>
      <c r="BE91" s="323"/>
      <c r="BF91" s="55">
        <f t="shared" si="405"/>
        <v>11200.000000000002</v>
      </c>
      <c r="BG91" s="72">
        <f t="shared" si="406"/>
        <v>4799.9999999999982</v>
      </c>
      <c r="BH91" s="73">
        <f t="shared" si="423"/>
        <v>96000</v>
      </c>
      <c r="BI91" s="74">
        <f t="shared" si="424"/>
        <v>4799.9999999999982</v>
      </c>
      <c r="BJ91" s="99">
        <f t="shared" si="407"/>
        <v>1</v>
      </c>
      <c r="BK91" s="565"/>
      <c r="BL91" s="323">
        <f t="shared" si="408"/>
        <v>0</v>
      </c>
      <c r="BM91" s="323"/>
      <c r="BN91" s="323"/>
      <c r="BO91" s="561"/>
      <c r="BP91" s="323">
        <f t="shared" si="409"/>
        <v>0</v>
      </c>
      <c r="BQ91" s="323">
        <f t="shared" si="410"/>
        <v>0</v>
      </c>
      <c r="BR91" s="323">
        <f t="shared" si="411"/>
        <v>0</v>
      </c>
      <c r="BS91" s="323">
        <f t="shared" si="412"/>
        <v>0</v>
      </c>
      <c r="BT91" s="323"/>
      <c r="BU91" s="323"/>
      <c r="BV91" s="323"/>
      <c r="BW91" s="323"/>
      <c r="BX91" s="323"/>
      <c r="BY91" s="323"/>
      <c r="BZ91" s="323"/>
      <c r="CA91" s="323"/>
      <c r="CB91" s="55">
        <f t="shared" si="413"/>
        <v>0</v>
      </c>
      <c r="CC91" s="323">
        <f t="shared" si="414"/>
        <v>0</v>
      </c>
      <c r="CD91" s="323">
        <f t="shared" si="415"/>
        <v>0</v>
      </c>
      <c r="CE91" s="323">
        <f t="shared" si="416"/>
        <v>0</v>
      </c>
      <c r="CF91" s="323">
        <f t="shared" si="417"/>
        <v>0</v>
      </c>
      <c r="CG91" s="323"/>
      <c r="CH91" s="323"/>
      <c r="CI91" s="323"/>
      <c r="CJ91" s="323"/>
      <c r="CK91" s="323"/>
      <c r="CL91" s="323"/>
      <c r="CM91" s="323"/>
      <c r="CN91" s="323"/>
      <c r="CO91" s="55">
        <f t="shared" si="418"/>
        <v>0</v>
      </c>
      <c r="CP91" s="334"/>
      <c r="CQ91" s="334"/>
      <c r="CR91" s="334"/>
      <c r="CS91" s="334"/>
      <c r="CT91" s="360"/>
      <c r="CU91" s="349"/>
      <c r="CV91" s="361"/>
      <c r="CW91" s="69"/>
      <c r="CX91" s="69"/>
      <c r="CY91" s="69"/>
      <c r="CZ91" s="69"/>
      <c r="DA91" s="69"/>
      <c r="DB91" s="69"/>
      <c r="DC91" s="69"/>
      <c r="DD91" s="69"/>
      <c r="DE91" s="69"/>
    </row>
    <row r="92" spans="1:127" s="70" customFormat="1" ht="24.75" customHeight="1" x14ac:dyDescent="0.2">
      <c r="A92" s="64"/>
      <c r="B92" s="345" t="s">
        <v>185</v>
      </c>
      <c r="C92" s="65" t="s">
        <v>73</v>
      </c>
      <c r="D92" s="486">
        <v>16</v>
      </c>
      <c r="E92" s="66">
        <v>16</v>
      </c>
      <c r="F92" s="66"/>
      <c r="G92" s="429"/>
      <c r="H92" s="67"/>
      <c r="I92" s="67"/>
      <c r="J92" s="67"/>
      <c r="K92" s="67"/>
      <c r="L92" s="67"/>
      <c r="M92" s="67"/>
      <c r="N92" s="67"/>
      <c r="O92" s="67"/>
      <c r="P92" s="67"/>
      <c r="Q92" s="339">
        <f t="shared" si="419"/>
        <v>16</v>
      </c>
      <c r="R92" s="375" t="s">
        <v>161</v>
      </c>
      <c r="S92" s="374">
        <v>5000</v>
      </c>
      <c r="T92" s="374">
        <v>4000</v>
      </c>
      <c r="U92" s="433"/>
      <c r="V92" s="434"/>
      <c r="W92" s="434"/>
      <c r="X92" s="434"/>
      <c r="Y92" s="322"/>
      <c r="Z92" s="322"/>
      <c r="AA92" s="322"/>
      <c r="AB92" s="322"/>
      <c r="AC92" s="322"/>
      <c r="AD92" s="322"/>
      <c r="AE92" s="322"/>
      <c r="AF92" s="51">
        <f t="shared" si="420"/>
        <v>80000</v>
      </c>
      <c r="AG92" s="323">
        <f t="shared" si="425"/>
        <v>64000</v>
      </c>
      <c r="AH92" s="323">
        <f t="shared" si="390"/>
        <v>0</v>
      </c>
      <c r="AI92" s="323">
        <f t="shared" si="391"/>
        <v>0</v>
      </c>
      <c r="AJ92" s="323">
        <f t="shared" si="392"/>
        <v>0</v>
      </c>
      <c r="AK92" s="323">
        <f t="shared" si="393"/>
        <v>0</v>
      </c>
      <c r="AL92" s="323">
        <f t="shared" si="394"/>
        <v>0</v>
      </c>
      <c r="AM92" s="323">
        <f t="shared" si="395"/>
        <v>0</v>
      </c>
      <c r="AN92" s="323">
        <f t="shared" si="396"/>
        <v>0</v>
      </c>
      <c r="AO92" s="323">
        <f t="shared" si="397"/>
        <v>0</v>
      </c>
      <c r="AP92" s="323">
        <f t="shared" si="398"/>
        <v>0</v>
      </c>
      <c r="AQ92" s="323">
        <f t="shared" si="399"/>
        <v>0</v>
      </c>
      <c r="AR92" s="323">
        <f t="shared" si="400"/>
        <v>0</v>
      </c>
      <c r="AS92" s="324">
        <f t="shared" si="426"/>
        <v>64000</v>
      </c>
      <c r="AT92" s="323">
        <f t="shared" si="422"/>
        <v>8960</v>
      </c>
      <c r="AU92" s="323">
        <f t="shared" si="402"/>
        <v>0</v>
      </c>
      <c r="AV92" s="323">
        <f t="shared" si="403"/>
        <v>0</v>
      </c>
      <c r="AW92" s="323">
        <f t="shared" si="404"/>
        <v>0</v>
      </c>
      <c r="AX92" s="323"/>
      <c r="AY92" s="323"/>
      <c r="AZ92" s="323"/>
      <c r="BA92" s="323"/>
      <c r="BB92" s="323"/>
      <c r="BC92" s="323"/>
      <c r="BD92" s="323"/>
      <c r="BE92" s="323"/>
      <c r="BF92" s="55">
        <f t="shared" si="405"/>
        <v>8960</v>
      </c>
      <c r="BG92" s="72">
        <f t="shared" si="406"/>
        <v>7040</v>
      </c>
      <c r="BH92" s="73">
        <f t="shared" si="423"/>
        <v>80000</v>
      </c>
      <c r="BI92" s="74">
        <f t="shared" si="424"/>
        <v>7040</v>
      </c>
      <c r="BJ92" s="99">
        <f t="shared" si="407"/>
        <v>1</v>
      </c>
      <c r="BK92" s="565"/>
      <c r="BL92" s="323">
        <f t="shared" si="408"/>
        <v>0</v>
      </c>
      <c r="BM92" s="323"/>
      <c r="BN92" s="323"/>
      <c r="BO92" s="561"/>
      <c r="BP92" s="323">
        <f t="shared" si="409"/>
        <v>0</v>
      </c>
      <c r="BQ92" s="323">
        <f t="shared" si="410"/>
        <v>0</v>
      </c>
      <c r="BR92" s="323">
        <f t="shared" si="411"/>
        <v>0</v>
      </c>
      <c r="BS92" s="323">
        <f t="shared" si="412"/>
        <v>0</v>
      </c>
      <c r="BT92" s="323"/>
      <c r="BU92" s="323"/>
      <c r="BV92" s="323"/>
      <c r="BW92" s="323"/>
      <c r="BX92" s="323"/>
      <c r="BY92" s="323"/>
      <c r="BZ92" s="323"/>
      <c r="CA92" s="323"/>
      <c r="CB92" s="55">
        <f t="shared" si="413"/>
        <v>0</v>
      </c>
      <c r="CC92" s="323">
        <f t="shared" si="414"/>
        <v>0</v>
      </c>
      <c r="CD92" s="323">
        <f t="shared" si="415"/>
        <v>0</v>
      </c>
      <c r="CE92" s="323">
        <f t="shared" si="416"/>
        <v>0</v>
      </c>
      <c r="CF92" s="323">
        <f t="shared" si="417"/>
        <v>0</v>
      </c>
      <c r="CG92" s="323"/>
      <c r="CH92" s="323"/>
      <c r="CI92" s="323"/>
      <c r="CJ92" s="323"/>
      <c r="CK92" s="323"/>
      <c r="CL92" s="323"/>
      <c r="CM92" s="323"/>
      <c r="CN92" s="323"/>
      <c r="CO92" s="55">
        <f t="shared" si="418"/>
        <v>0</v>
      </c>
      <c r="CP92" s="334"/>
      <c r="CQ92" s="334"/>
      <c r="CR92" s="334"/>
      <c r="CS92" s="334"/>
      <c r="CT92" s="360"/>
      <c r="CU92" s="349"/>
      <c r="CV92" s="361"/>
      <c r="CW92" s="69"/>
      <c r="CX92" s="69"/>
      <c r="CY92" s="69"/>
      <c r="CZ92" s="69"/>
      <c r="DA92" s="69"/>
      <c r="DB92" s="69"/>
      <c r="DC92" s="69"/>
      <c r="DD92" s="69"/>
      <c r="DE92" s="69"/>
    </row>
    <row r="93" spans="1:127" s="70" customFormat="1" ht="24.75" customHeight="1" x14ac:dyDescent="0.2">
      <c r="A93" s="64"/>
      <c r="B93" s="345" t="s">
        <v>186</v>
      </c>
      <c r="C93" s="65" t="s">
        <v>73</v>
      </c>
      <c r="D93" s="486">
        <v>16</v>
      </c>
      <c r="E93" s="66">
        <v>16</v>
      </c>
      <c r="F93" s="66"/>
      <c r="G93" s="429"/>
      <c r="H93" s="67"/>
      <c r="I93" s="67"/>
      <c r="J93" s="67"/>
      <c r="K93" s="67"/>
      <c r="L93" s="67"/>
      <c r="M93" s="67"/>
      <c r="N93" s="67"/>
      <c r="O93" s="67"/>
      <c r="P93" s="67"/>
      <c r="Q93" s="339">
        <f t="shared" si="419"/>
        <v>16</v>
      </c>
      <c r="R93" s="375" t="s">
        <v>69</v>
      </c>
      <c r="S93" s="374">
        <v>3000</v>
      </c>
      <c r="T93" s="374">
        <v>2500</v>
      </c>
      <c r="U93" s="433"/>
      <c r="V93" s="434"/>
      <c r="W93" s="434"/>
      <c r="X93" s="434"/>
      <c r="Y93" s="322"/>
      <c r="Z93" s="322"/>
      <c r="AA93" s="322"/>
      <c r="AB93" s="322"/>
      <c r="AC93" s="322"/>
      <c r="AD93" s="322"/>
      <c r="AE93" s="322"/>
      <c r="AF93" s="51">
        <f t="shared" si="420"/>
        <v>48000</v>
      </c>
      <c r="AG93" s="323">
        <f t="shared" si="425"/>
        <v>40000</v>
      </c>
      <c r="AH93" s="323">
        <f t="shared" si="390"/>
        <v>0</v>
      </c>
      <c r="AI93" s="323">
        <f t="shared" si="391"/>
        <v>0</v>
      </c>
      <c r="AJ93" s="323">
        <f t="shared" si="392"/>
        <v>0</v>
      </c>
      <c r="AK93" s="323">
        <f t="shared" si="393"/>
        <v>0</v>
      </c>
      <c r="AL93" s="323">
        <f t="shared" si="394"/>
        <v>0</v>
      </c>
      <c r="AM93" s="323">
        <f t="shared" si="395"/>
        <v>0</v>
      </c>
      <c r="AN93" s="323">
        <f t="shared" si="396"/>
        <v>0</v>
      </c>
      <c r="AO93" s="323">
        <f t="shared" si="397"/>
        <v>0</v>
      </c>
      <c r="AP93" s="323">
        <f t="shared" si="398"/>
        <v>0</v>
      </c>
      <c r="AQ93" s="323">
        <f t="shared" si="399"/>
        <v>0</v>
      </c>
      <c r="AR93" s="323">
        <f t="shared" si="400"/>
        <v>0</v>
      </c>
      <c r="AS93" s="324">
        <f t="shared" si="426"/>
        <v>40000</v>
      </c>
      <c r="AT93" s="323">
        <f t="shared" si="422"/>
        <v>5600.0000000000009</v>
      </c>
      <c r="AU93" s="323">
        <f t="shared" si="402"/>
        <v>0</v>
      </c>
      <c r="AV93" s="323">
        <f t="shared" si="403"/>
        <v>0</v>
      </c>
      <c r="AW93" s="323">
        <f t="shared" si="404"/>
        <v>0</v>
      </c>
      <c r="AX93" s="323"/>
      <c r="AY93" s="323"/>
      <c r="AZ93" s="323"/>
      <c r="BA93" s="323"/>
      <c r="BB93" s="323"/>
      <c r="BC93" s="323"/>
      <c r="BD93" s="323"/>
      <c r="BE93" s="323"/>
      <c r="BF93" s="55">
        <f t="shared" si="405"/>
        <v>5600.0000000000009</v>
      </c>
      <c r="BG93" s="72">
        <f t="shared" si="406"/>
        <v>2399.9999999999991</v>
      </c>
      <c r="BH93" s="73">
        <f t="shared" si="423"/>
        <v>48000</v>
      </c>
      <c r="BI93" s="74">
        <f t="shared" si="424"/>
        <v>2399.9999999999991</v>
      </c>
      <c r="BJ93" s="99">
        <f t="shared" si="407"/>
        <v>1</v>
      </c>
      <c r="BK93" s="565"/>
      <c r="BL93" s="323">
        <f t="shared" si="408"/>
        <v>0</v>
      </c>
      <c r="BM93" s="323"/>
      <c r="BN93" s="323"/>
      <c r="BO93" s="561"/>
      <c r="BP93" s="323">
        <f t="shared" si="409"/>
        <v>0</v>
      </c>
      <c r="BQ93" s="323">
        <f t="shared" si="410"/>
        <v>0</v>
      </c>
      <c r="BR93" s="323">
        <f t="shared" si="411"/>
        <v>0</v>
      </c>
      <c r="BS93" s="323">
        <f t="shared" si="412"/>
        <v>0</v>
      </c>
      <c r="BT93" s="323"/>
      <c r="BU93" s="323"/>
      <c r="BV93" s="323"/>
      <c r="BW93" s="323"/>
      <c r="BX93" s="323"/>
      <c r="BY93" s="323"/>
      <c r="BZ93" s="323"/>
      <c r="CA93" s="323"/>
      <c r="CB93" s="55">
        <f t="shared" si="413"/>
        <v>0</v>
      </c>
      <c r="CC93" s="323">
        <f t="shared" si="414"/>
        <v>0</v>
      </c>
      <c r="CD93" s="323">
        <f t="shared" si="415"/>
        <v>0</v>
      </c>
      <c r="CE93" s="323">
        <f t="shared" si="416"/>
        <v>0</v>
      </c>
      <c r="CF93" s="323">
        <f t="shared" si="417"/>
        <v>0</v>
      </c>
      <c r="CG93" s="323"/>
      <c r="CH93" s="323"/>
      <c r="CI93" s="323"/>
      <c r="CJ93" s="323"/>
      <c r="CK93" s="323"/>
      <c r="CL93" s="323"/>
      <c r="CM93" s="323"/>
      <c r="CN93" s="323"/>
      <c r="CO93" s="55">
        <f t="shared" si="418"/>
        <v>0</v>
      </c>
      <c r="CP93" s="334"/>
      <c r="CQ93" s="334"/>
      <c r="CR93" s="334"/>
      <c r="CS93" s="334"/>
      <c r="CT93" s="360"/>
      <c r="CU93" s="349"/>
      <c r="CV93" s="361"/>
      <c r="CW93" s="69"/>
      <c r="CX93" s="69"/>
      <c r="CY93" s="69"/>
      <c r="CZ93" s="69"/>
      <c r="DA93" s="69"/>
      <c r="DB93" s="69"/>
      <c r="DC93" s="69"/>
      <c r="DD93" s="69"/>
      <c r="DE93" s="69"/>
    </row>
    <row r="94" spans="1:127" s="70" customFormat="1" ht="24.75" customHeight="1" x14ac:dyDescent="0.2">
      <c r="A94" s="64"/>
      <c r="B94" s="345" t="s">
        <v>187</v>
      </c>
      <c r="C94" s="65" t="s">
        <v>73</v>
      </c>
      <c r="D94" s="486">
        <v>16</v>
      </c>
      <c r="E94" s="66">
        <v>16</v>
      </c>
      <c r="F94" s="66"/>
      <c r="G94" s="429"/>
      <c r="H94" s="67"/>
      <c r="I94" s="67"/>
      <c r="J94" s="67"/>
      <c r="K94" s="67"/>
      <c r="L94" s="67"/>
      <c r="M94" s="67"/>
      <c r="N94" s="67"/>
      <c r="O94" s="67"/>
      <c r="P94" s="67"/>
      <c r="Q94" s="339">
        <f t="shared" si="419"/>
        <v>16</v>
      </c>
      <c r="R94" s="375" t="s">
        <v>69</v>
      </c>
      <c r="S94" s="374">
        <v>3500</v>
      </c>
      <c r="T94" s="376">
        <v>3000</v>
      </c>
      <c r="U94" s="433"/>
      <c r="V94" s="434"/>
      <c r="W94" s="434"/>
      <c r="X94" s="434"/>
      <c r="Y94" s="322"/>
      <c r="Z94" s="322"/>
      <c r="AA94" s="322"/>
      <c r="AB94" s="322"/>
      <c r="AC94" s="322"/>
      <c r="AD94" s="322"/>
      <c r="AE94" s="322"/>
      <c r="AF94" s="51">
        <f t="shared" si="420"/>
        <v>56000</v>
      </c>
      <c r="AG94" s="323">
        <f>T94*E94</f>
        <v>48000</v>
      </c>
      <c r="AH94" s="323">
        <f t="shared" si="390"/>
        <v>0</v>
      </c>
      <c r="AI94" s="323">
        <f t="shared" si="391"/>
        <v>0</v>
      </c>
      <c r="AJ94" s="323">
        <f t="shared" si="392"/>
        <v>0</v>
      </c>
      <c r="AK94" s="323">
        <f t="shared" si="393"/>
        <v>0</v>
      </c>
      <c r="AL94" s="323">
        <f t="shared" si="394"/>
        <v>0</v>
      </c>
      <c r="AM94" s="323">
        <f t="shared" si="395"/>
        <v>0</v>
      </c>
      <c r="AN94" s="323">
        <f t="shared" si="396"/>
        <v>0</v>
      </c>
      <c r="AO94" s="323">
        <f t="shared" si="397"/>
        <v>0</v>
      </c>
      <c r="AP94" s="323">
        <f t="shared" si="398"/>
        <v>0</v>
      </c>
      <c r="AQ94" s="323">
        <f t="shared" si="399"/>
        <v>0</v>
      </c>
      <c r="AR94" s="323">
        <f t="shared" si="400"/>
        <v>0</v>
      </c>
      <c r="AS94" s="324">
        <f t="shared" si="426"/>
        <v>48000</v>
      </c>
      <c r="AT94" s="323">
        <f t="shared" si="422"/>
        <v>6720.0000000000009</v>
      </c>
      <c r="AU94" s="323">
        <f t="shared" si="402"/>
        <v>0</v>
      </c>
      <c r="AV94" s="323">
        <f t="shared" si="403"/>
        <v>0</v>
      </c>
      <c r="AW94" s="323">
        <f t="shared" si="404"/>
        <v>0</v>
      </c>
      <c r="AX94" s="323"/>
      <c r="AY94" s="323"/>
      <c r="AZ94" s="323"/>
      <c r="BA94" s="323"/>
      <c r="BB94" s="323"/>
      <c r="BC94" s="323"/>
      <c r="BD94" s="323"/>
      <c r="BE94" s="323"/>
      <c r="BF94" s="55">
        <f t="shared" si="405"/>
        <v>6720.0000000000009</v>
      </c>
      <c r="BG94" s="72">
        <f t="shared" si="406"/>
        <v>1279.9999999999991</v>
      </c>
      <c r="BH94" s="73">
        <f t="shared" si="423"/>
        <v>56000</v>
      </c>
      <c r="BI94" s="74">
        <f t="shared" si="424"/>
        <v>1279.9999999999991</v>
      </c>
      <c r="BJ94" s="99">
        <f t="shared" si="407"/>
        <v>1</v>
      </c>
      <c r="BK94" s="565"/>
      <c r="BL94" s="323">
        <f t="shared" si="408"/>
        <v>0</v>
      </c>
      <c r="BM94" s="323"/>
      <c r="BN94" s="323"/>
      <c r="BO94" s="561"/>
      <c r="BP94" s="323">
        <f t="shared" si="409"/>
        <v>0</v>
      </c>
      <c r="BQ94" s="323">
        <f t="shared" si="410"/>
        <v>0</v>
      </c>
      <c r="BR94" s="323">
        <f t="shared" si="411"/>
        <v>0</v>
      </c>
      <c r="BS94" s="323">
        <f t="shared" si="412"/>
        <v>0</v>
      </c>
      <c r="BT94" s="323"/>
      <c r="BU94" s="323"/>
      <c r="BV94" s="323"/>
      <c r="BW94" s="323"/>
      <c r="BX94" s="323"/>
      <c r="BY94" s="323"/>
      <c r="BZ94" s="323"/>
      <c r="CA94" s="323"/>
      <c r="CB94" s="55">
        <f t="shared" si="413"/>
        <v>0</v>
      </c>
      <c r="CC94" s="323">
        <f t="shared" si="414"/>
        <v>0</v>
      </c>
      <c r="CD94" s="323">
        <f t="shared" si="415"/>
        <v>0</v>
      </c>
      <c r="CE94" s="323">
        <f t="shared" si="416"/>
        <v>0</v>
      </c>
      <c r="CF94" s="323">
        <f t="shared" si="417"/>
        <v>0</v>
      </c>
      <c r="CG94" s="323"/>
      <c r="CH94" s="323"/>
      <c r="CI94" s="323"/>
      <c r="CJ94" s="323"/>
      <c r="CK94" s="323"/>
      <c r="CL94" s="323"/>
      <c r="CM94" s="323"/>
      <c r="CN94" s="323"/>
      <c r="CO94" s="55">
        <f t="shared" si="418"/>
        <v>0</v>
      </c>
      <c r="CP94" s="334"/>
      <c r="CQ94" s="334"/>
      <c r="CR94" s="334"/>
      <c r="CS94" s="334"/>
      <c r="CT94" s="360"/>
      <c r="CU94" s="349"/>
      <c r="CV94" s="361"/>
      <c r="CW94" s="69"/>
      <c r="CX94" s="69"/>
      <c r="CY94" s="69"/>
      <c r="CZ94" s="69"/>
      <c r="DA94" s="69"/>
      <c r="DB94" s="69"/>
      <c r="DC94" s="69"/>
      <c r="DD94" s="69"/>
      <c r="DE94" s="69"/>
    </row>
    <row r="95" spans="1:127" s="70" customFormat="1" ht="24.75" customHeight="1" x14ac:dyDescent="0.2">
      <c r="A95" s="64"/>
      <c r="B95" s="345" t="s">
        <v>188</v>
      </c>
      <c r="C95" s="65" t="s">
        <v>73</v>
      </c>
      <c r="D95" s="486">
        <v>16</v>
      </c>
      <c r="E95" s="66">
        <v>16</v>
      </c>
      <c r="F95" s="66"/>
      <c r="G95" s="429"/>
      <c r="H95" s="67"/>
      <c r="I95" s="67"/>
      <c r="J95" s="67"/>
      <c r="K95" s="67"/>
      <c r="L95" s="67"/>
      <c r="M95" s="67"/>
      <c r="N95" s="67"/>
      <c r="O95" s="67"/>
      <c r="P95" s="67"/>
      <c r="Q95" s="339">
        <f t="shared" si="419"/>
        <v>16</v>
      </c>
      <c r="R95" s="375" t="s">
        <v>162</v>
      </c>
      <c r="S95" s="374">
        <v>6000</v>
      </c>
      <c r="T95" s="376">
        <v>5000</v>
      </c>
      <c r="U95" s="433"/>
      <c r="V95" s="434"/>
      <c r="W95" s="434"/>
      <c r="X95" s="434"/>
      <c r="Y95" s="322"/>
      <c r="Z95" s="322"/>
      <c r="AA95" s="322"/>
      <c r="AB95" s="322"/>
      <c r="AC95" s="322"/>
      <c r="AD95" s="322"/>
      <c r="AE95" s="322"/>
      <c r="AF95" s="51">
        <f t="shared" si="420"/>
        <v>96000</v>
      </c>
      <c r="AG95" s="323">
        <f>T95*E95</f>
        <v>80000</v>
      </c>
      <c r="AH95" s="323">
        <f t="shared" si="390"/>
        <v>0</v>
      </c>
      <c r="AI95" s="323">
        <f t="shared" si="391"/>
        <v>0</v>
      </c>
      <c r="AJ95" s="323">
        <f t="shared" si="392"/>
        <v>0</v>
      </c>
      <c r="AK95" s="323">
        <f t="shared" si="393"/>
        <v>0</v>
      </c>
      <c r="AL95" s="323">
        <f t="shared" si="394"/>
        <v>0</v>
      </c>
      <c r="AM95" s="323">
        <f t="shared" si="395"/>
        <v>0</v>
      </c>
      <c r="AN95" s="323">
        <f t="shared" si="396"/>
        <v>0</v>
      </c>
      <c r="AO95" s="323">
        <f t="shared" si="397"/>
        <v>0</v>
      </c>
      <c r="AP95" s="323">
        <f t="shared" si="398"/>
        <v>0</v>
      </c>
      <c r="AQ95" s="323">
        <f t="shared" si="399"/>
        <v>0</v>
      </c>
      <c r="AR95" s="323">
        <f t="shared" si="400"/>
        <v>0</v>
      </c>
      <c r="AS95" s="324">
        <f t="shared" si="426"/>
        <v>80000</v>
      </c>
      <c r="AT95" s="323">
        <f t="shared" si="422"/>
        <v>11200.000000000002</v>
      </c>
      <c r="AU95" s="323">
        <f t="shared" si="402"/>
        <v>0</v>
      </c>
      <c r="AV95" s="323">
        <f t="shared" si="403"/>
        <v>0</v>
      </c>
      <c r="AW95" s="323">
        <f t="shared" si="404"/>
        <v>0</v>
      </c>
      <c r="AX95" s="323"/>
      <c r="AY95" s="323"/>
      <c r="AZ95" s="323"/>
      <c r="BA95" s="323"/>
      <c r="BB95" s="323"/>
      <c r="BC95" s="323"/>
      <c r="BD95" s="323"/>
      <c r="BE95" s="323"/>
      <c r="BF95" s="55">
        <f t="shared" si="405"/>
        <v>11200.000000000002</v>
      </c>
      <c r="BG95" s="72">
        <f t="shared" si="406"/>
        <v>4799.9999999999982</v>
      </c>
      <c r="BH95" s="73">
        <f t="shared" si="423"/>
        <v>96000</v>
      </c>
      <c r="BI95" s="74">
        <f t="shared" si="424"/>
        <v>4799.9999999999982</v>
      </c>
      <c r="BJ95" s="99">
        <f t="shared" si="407"/>
        <v>1</v>
      </c>
      <c r="BK95" s="565"/>
      <c r="BL95" s="323">
        <f t="shared" si="408"/>
        <v>0</v>
      </c>
      <c r="BM95" s="323"/>
      <c r="BN95" s="323"/>
      <c r="BO95" s="561"/>
      <c r="BP95" s="323">
        <f t="shared" si="409"/>
        <v>0</v>
      </c>
      <c r="BQ95" s="323">
        <f t="shared" si="410"/>
        <v>0</v>
      </c>
      <c r="BR95" s="323">
        <f t="shared" si="411"/>
        <v>0</v>
      </c>
      <c r="BS95" s="323">
        <f t="shared" si="412"/>
        <v>0</v>
      </c>
      <c r="BT95" s="323"/>
      <c r="BU95" s="323"/>
      <c r="BV95" s="323"/>
      <c r="BW95" s="323"/>
      <c r="BX95" s="323"/>
      <c r="BY95" s="323"/>
      <c r="BZ95" s="323"/>
      <c r="CA95" s="323"/>
      <c r="CB95" s="55">
        <f t="shared" si="413"/>
        <v>0</v>
      </c>
      <c r="CC95" s="323">
        <f t="shared" si="414"/>
        <v>0</v>
      </c>
      <c r="CD95" s="323">
        <f t="shared" si="415"/>
        <v>0</v>
      </c>
      <c r="CE95" s="323">
        <f t="shared" si="416"/>
        <v>0</v>
      </c>
      <c r="CF95" s="323">
        <f t="shared" si="417"/>
        <v>0</v>
      </c>
      <c r="CG95" s="323"/>
      <c r="CH95" s="323"/>
      <c r="CI95" s="323"/>
      <c r="CJ95" s="323"/>
      <c r="CK95" s="323"/>
      <c r="CL95" s="323"/>
      <c r="CM95" s="323"/>
      <c r="CN95" s="323"/>
      <c r="CO95" s="55">
        <f t="shared" si="418"/>
        <v>0</v>
      </c>
      <c r="CP95" s="334"/>
      <c r="CQ95" s="334"/>
      <c r="CR95" s="334"/>
      <c r="CS95" s="334"/>
      <c r="CT95" s="360"/>
      <c r="CU95" s="349"/>
      <c r="CV95" s="361"/>
      <c r="CW95" s="69"/>
      <c r="CX95" s="69"/>
      <c r="CY95" s="69"/>
      <c r="CZ95" s="69"/>
      <c r="DA95" s="69"/>
      <c r="DB95" s="69"/>
      <c r="DC95" s="69"/>
      <c r="DD95" s="69"/>
      <c r="DE95" s="69"/>
    </row>
    <row r="96" spans="1:127" s="70" customFormat="1" ht="24.75" customHeight="1" x14ac:dyDescent="0.2">
      <c r="A96" s="64"/>
      <c r="B96" s="430" t="s">
        <v>189</v>
      </c>
      <c r="C96" s="65" t="s">
        <v>73</v>
      </c>
      <c r="D96" s="486">
        <v>16</v>
      </c>
      <c r="E96" s="66">
        <v>16</v>
      </c>
      <c r="F96" s="66"/>
      <c r="G96" s="428"/>
      <c r="H96" s="67"/>
      <c r="I96" s="67"/>
      <c r="J96" s="67"/>
      <c r="K96" s="67"/>
      <c r="L96" s="67"/>
      <c r="M96" s="67"/>
      <c r="N96" s="67"/>
      <c r="O96" s="67"/>
      <c r="P96" s="67"/>
      <c r="Q96" s="339">
        <f t="shared" si="419"/>
        <v>16</v>
      </c>
      <c r="R96" s="375" t="s">
        <v>163</v>
      </c>
      <c r="S96" s="374">
        <v>6000</v>
      </c>
      <c r="T96" s="321">
        <v>5000</v>
      </c>
      <c r="U96" s="433"/>
      <c r="V96" s="432"/>
      <c r="W96" s="432"/>
      <c r="X96" s="434"/>
      <c r="Y96" s="322"/>
      <c r="Z96" s="322"/>
      <c r="AA96" s="322"/>
      <c r="AB96" s="322"/>
      <c r="AC96" s="322"/>
      <c r="AD96" s="322"/>
      <c r="AE96" s="322"/>
      <c r="AF96" s="51">
        <f t="shared" si="420"/>
        <v>96000</v>
      </c>
      <c r="AG96" s="323">
        <f>T96*E96</f>
        <v>80000</v>
      </c>
      <c r="AH96" s="323">
        <f t="shared" si="390"/>
        <v>0</v>
      </c>
      <c r="AI96" s="323">
        <f t="shared" si="391"/>
        <v>0</v>
      </c>
      <c r="AJ96" s="323">
        <f t="shared" si="392"/>
        <v>0</v>
      </c>
      <c r="AK96" s="323">
        <f t="shared" si="393"/>
        <v>0</v>
      </c>
      <c r="AL96" s="323">
        <f t="shared" si="394"/>
        <v>0</v>
      </c>
      <c r="AM96" s="323">
        <f t="shared" si="395"/>
        <v>0</v>
      </c>
      <c r="AN96" s="323">
        <f t="shared" si="396"/>
        <v>0</v>
      </c>
      <c r="AO96" s="323">
        <f t="shared" si="397"/>
        <v>0</v>
      </c>
      <c r="AP96" s="323">
        <f t="shared" si="398"/>
        <v>0</v>
      </c>
      <c r="AQ96" s="323">
        <f t="shared" si="399"/>
        <v>0</v>
      </c>
      <c r="AR96" s="323">
        <f t="shared" si="400"/>
        <v>0</v>
      </c>
      <c r="AS96" s="324">
        <f t="shared" ref="AS96" si="427">SUM(AG96:AR96)</f>
        <v>80000</v>
      </c>
      <c r="AT96" s="323">
        <f t="shared" si="422"/>
        <v>11200.000000000002</v>
      </c>
      <c r="AU96" s="323">
        <f t="shared" si="402"/>
        <v>0</v>
      </c>
      <c r="AV96" s="323">
        <f t="shared" si="403"/>
        <v>0</v>
      </c>
      <c r="AW96" s="323">
        <f t="shared" si="404"/>
        <v>0</v>
      </c>
      <c r="AX96" s="323"/>
      <c r="AY96" s="323"/>
      <c r="AZ96" s="323"/>
      <c r="BA96" s="323"/>
      <c r="BB96" s="323"/>
      <c r="BC96" s="323"/>
      <c r="BD96" s="323"/>
      <c r="BE96" s="323"/>
      <c r="BF96" s="55">
        <f t="shared" si="405"/>
        <v>11200.000000000002</v>
      </c>
      <c r="BG96" s="72">
        <f t="shared" si="406"/>
        <v>4799.9999999999982</v>
      </c>
      <c r="BH96" s="73">
        <f t="shared" si="423"/>
        <v>96000</v>
      </c>
      <c r="BI96" s="74">
        <f t="shared" si="424"/>
        <v>4799.9999999999982</v>
      </c>
      <c r="BJ96" s="99">
        <f t="shared" si="407"/>
        <v>1</v>
      </c>
      <c r="BK96" s="565"/>
      <c r="BL96" s="323">
        <f t="shared" si="408"/>
        <v>0</v>
      </c>
      <c r="BM96" s="323"/>
      <c r="BN96" s="323"/>
      <c r="BO96" s="561"/>
      <c r="BP96" s="323">
        <f t="shared" si="409"/>
        <v>0</v>
      </c>
      <c r="BQ96" s="323">
        <f t="shared" si="410"/>
        <v>0</v>
      </c>
      <c r="BR96" s="323">
        <f t="shared" si="411"/>
        <v>0</v>
      </c>
      <c r="BS96" s="323">
        <f t="shared" si="412"/>
        <v>0</v>
      </c>
      <c r="BT96" s="323"/>
      <c r="BU96" s="323"/>
      <c r="BV96" s="323"/>
      <c r="BW96" s="323"/>
      <c r="BX96" s="323"/>
      <c r="BY96" s="323"/>
      <c r="BZ96" s="323"/>
      <c r="CA96" s="323"/>
      <c r="CB96" s="55">
        <f t="shared" si="413"/>
        <v>0</v>
      </c>
      <c r="CC96" s="323">
        <f t="shared" si="414"/>
        <v>0</v>
      </c>
      <c r="CD96" s="323">
        <f t="shared" si="415"/>
        <v>0</v>
      </c>
      <c r="CE96" s="323">
        <f t="shared" si="416"/>
        <v>0</v>
      </c>
      <c r="CF96" s="323">
        <f t="shared" si="417"/>
        <v>0</v>
      </c>
      <c r="CG96" s="323"/>
      <c r="CH96" s="323"/>
      <c r="CI96" s="323"/>
      <c r="CJ96" s="323"/>
      <c r="CK96" s="323"/>
      <c r="CL96" s="323"/>
      <c r="CM96" s="323"/>
      <c r="CN96" s="323"/>
      <c r="CO96" s="55">
        <f t="shared" si="418"/>
        <v>0</v>
      </c>
      <c r="CP96" s="334"/>
      <c r="CQ96" s="334"/>
      <c r="CR96" s="334"/>
      <c r="CS96" s="334"/>
      <c r="CT96" s="360"/>
      <c r="CU96" s="349"/>
      <c r="CV96" s="361"/>
      <c r="CW96" s="69"/>
      <c r="CX96" s="69"/>
      <c r="CY96" s="69"/>
      <c r="CZ96" s="69"/>
      <c r="DA96" s="69"/>
      <c r="DB96" s="69"/>
      <c r="DC96" s="69"/>
      <c r="DD96" s="69"/>
      <c r="DE96" s="69"/>
    </row>
    <row r="97" spans="1:109" s="70" customFormat="1" ht="24.75" customHeight="1" x14ac:dyDescent="0.2">
      <c r="A97" s="64"/>
      <c r="B97" s="345" t="s">
        <v>190</v>
      </c>
      <c r="C97" s="65" t="s">
        <v>73</v>
      </c>
      <c r="D97" s="486">
        <v>16</v>
      </c>
      <c r="E97" s="66">
        <v>16</v>
      </c>
      <c r="F97" s="66"/>
      <c r="G97" s="428"/>
      <c r="H97" s="67"/>
      <c r="I97" s="67"/>
      <c r="J97" s="67"/>
      <c r="K97" s="67"/>
      <c r="L97" s="67"/>
      <c r="M97" s="67"/>
      <c r="N97" s="67"/>
      <c r="O97" s="67"/>
      <c r="P97" s="67"/>
      <c r="Q97" s="339">
        <f t="shared" si="419"/>
        <v>16</v>
      </c>
      <c r="R97" s="375" t="s">
        <v>164</v>
      </c>
      <c r="S97" s="374">
        <v>6000</v>
      </c>
      <c r="T97" s="325">
        <v>5000</v>
      </c>
      <c r="U97" s="433"/>
      <c r="V97" s="434"/>
      <c r="W97" s="434"/>
      <c r="X97" s="434"/>
      <c r="Y97" s="322"/>
      <c r="Z97" s="322"/>
      <c r="AA97" s="322"/>
      <c r="AB97" s="322"/>
      <c r="AC97" s="322"/>
      <c r="AD97" s="322"/>
      <c r="AE97" s="322"/>
      <c r="AF97" s="51">
        <f t="shared" si="420"/>
        <v>96000</v>
      </c>
      <c r="AG97" s="323">
        <f t="shared" ref="AG97:AG100" si="428">T97*E97</f>
        <v>80000</v>
      </c>
      <c r="AH97" s="323">
        <f t="shared" si="390"/>
        <v>0</v>
      </c>
      <c r="AI97" s="323">
        <f t="shared" si="391"/>
        <v>0</v>
      </c>
      <c r="AJ97" s="323">
        <f t="shared" si="392"/>
        <v>0</v>
      </c>
      <c r="AK97" s="323">
        <f t="shared" si="393"/>
        <v>0</v>
      </c>
      <c r="AL97" s="323">
        <f t="shared" si="394"/>
        <v>0</v>
      </c>
      <c r="AM97" s="323">
        <f t="shared" si="395"/>
        <v>0</v>
      </c>
      <c r="AN97" s="323">
        <f t="shared" si="396"/>
        <v>0</v>
      </c>
      <c r="AO97" s="323">
        <f t="shared" si="397"/>
        <v>0</v>
      </c>
      <c r="AP97" s="323">
        <f t="shared" si="398"/>
        <v>0</v>
      </c>
      <c r="AQ97" s="323">
        <f t="shared" si="399"/>
        <v>0</v>
      </c>
      <c r="AR97" s="323">
        <f t="shared" si="400"/>
        <v>0</v>
      </c>
      <c r="AS97" s="324">
        <f t="shared" ref="AS97:AS116" si="429">SUM(AG97:AR97)</f>
        <v>80000</v>
      </c>
      <c r="AT97" s="323">
        <f t="shared" si="422"/>
        <v>11200.000000000002</v>
      </c>
      <c r="AU97" s="323">
        <f t="shared" si="402"/>
        <v>0</v>
      </c>
      <c r="AV97" s="323">
        <f t="shared" si="403"/>
        <v>0</v>
      </c>
      <c r="AW97" s="323">
        <f t="shared" si="404"/>
        <v>0</v>
      </c>
      <c r="AX97" s="323"/>
      <c r="AY97" s="323"/>
      <c r="AZ97" s="323"/>
      <c r="BA97" s="323"/>
      <c r="BB97" s="323"/>
      <c r="BC97" s="323"/>
      <c r="BD97" s="323"/>
      <c r="BE97" s="323"/>
      <c r="BF97" s="55">
        <f t="shared" si="405"/>
        <v>11200.000000000002</v>
      </c>
      <c r="BG97" s="72">
        <f t="shared" si="406"/>
        <v>4799.9999999999982</v>
      </c>
      <c r="BH97" s="73">
        <f t="shared" si="423"/>
        <v>96000</v>
      </c>
      <c r="BI97" s="74">
        <f t="shared" si="424"/>
        <v>4799.9999999999982</v>
      </c>
      <c r="BJ97" s="99">
        <f t="shared" si="407"/>
        <v>1</v>
      </c>
      <c r="BK97" s="565"/>
      <c r="BL97" s="323">
        <f t="shared" si="408"/>
        <v>0</v>
      </c>
      <c r="BM97" s="323"/>
      <c r="BN97" s="323"/>
      <c r="BO97" s="561"/>
      <c r="BP97" s="323">
        <f t="shared" si="409"/>
        <v>0</v>
      </c>
      <c r="BQ97" s="323">
        <f t="shared" si="410"/>
        <v>0</v>
      </c>
      <c r="BR97" s="323">
        <f t="shared" si="411"/>
        <v>0</v>
      </c>
      <c r="BS97" s="323">
        <f t="shared" si="412"/>
        <v>0</v>
      </c>
      <c r="BT97" s="323"/>
      <c r="BU97" s="323"/>
      <c r="BV97" s="323"/>
      <c r="BW97" s="323"/>
      <c r="BX97" s="323"/>
      <c r="BY97" s="323"/>
      <c r="BZ97" s="323"/>
      <c r="CA97" s="323"/>
      <c r="CB97" s="55">
        <f t="shared" si="413"/>
        <v>0</v>
      </c>
      <c r="CC97" s="323">
        <f t="shared" si="414"/>
        <v>0</v>
      </c>
      <c r="CD97" s="323">
        <f t="shared" si="415"/>
        <v>0</v>
      </c>
      <c r="CE97" s="323">
        <f t="shared" si="416"/>
        <v>0</v>
      </c>
      <c r="CF97" s="323">
        <f t="shared" si="417"/>
        <v>0</v>
      </c>
      <c r="CG97" s="323"/>
      <c r="CH97" s="323"/>
      <c r="CI97" s="323"/>
      <c r="CJ97" s="323"/>
      <c r="CK97" s="323"/>
      <c r="CL97" s="323"/>
      <c r="CM97" s="323"/>
      <c r="CN97" s="323"/>
      <c r="CO97" s="55">
        <f t="shared" si="418"/>
        <v>0</v>
      </c>
      <c r="CP97" s="334"/>
      <c r="CQ97" s="334"/>
      <c r="CR97" s="334"/>
      <c r="CS97" s="334"/>
      <c r="CT97" s="360"/>
      <c r="CU97" s="349"/>
      <c r="CV97" s="361"/>
      <c r="CW97" s="69"/>
      <c r="CX97" s="69"/>
      <c r="CY97" s="69"/>
      <c r="CZ97" s="69"/>
      <c r="DA97" s="69"/>
      <c r="DB97" s="69"/>
      <c r="DC97" s="69"/>
      <c r="DD97" s="69"/>
      <c r="DE97" s="69"/>
    </row>
    <row r="98" spans="1:109" s="70" customFormat="1" ht="24.75" customHeight="1" x14ac:dyDescent="0.2">
      <c r="A98" s="64"/>
      <c r="B98" s="345" t="s">
        <v>191</v>
      </c>
      <c r="C98" s="65" t="s">
        <v>73</v>
      </c>
      <c r="D98" s="486">
        <v>16</v>
      </c>
      <c r="E98" s="66">
        <v>16</v>
      </c>
      <c r="F98" s="66"/>
      <c r="G98" s="431"/>
      <c r="H98" s="67"/>
      <c r="I98" s="67"/>
      <c r="J98" s="67"/>
      <c r="K98" s="67"/>
      <c r="L98" s="67"/>
      <c r="M98" s="67"/>
      <c r="N98" s="67"/>
      <c r="O98" s="67"/>
      <c r="P98" s="67"/>
      <c r="Q98" s="421">
        <f t="shared" si="419"/>
        <v>16</v>
      </c>
      <c r="R98" s="375" t="s">
        <v>164</v>
      </c>
      <c r="S98" s="374">
        <v>17500</v>
      </c>
      <c r="T98" s="325">
        <v>15000</v>
      </c>
      <c r="U98" s="433"/>
      <c r="V98" s="434"/>
      <c r="W98" s="434"/>
      <c r="X98" s="434"/>
      <c r="Y98" s="322"/>
      <c r="Z98" s="322"/>
      <c r="AA98" s="322"/>
      <c r="AB98" s="322"/>
      <c r="AC98" s="322"/>
      <c r="AD98" s="322"/>
      <c r="AE98" s="322"/>
      <c r="AF98" s="51">
        <f t="shared" si="420"/>
        <v>280000</v>
      </c>
      <c r="AG98" s="323">
        <f t="shared" si="428"/>
        <v>240000</v>
      </c>
      <c r="AH98" s="323">
        <f t="shared" si="390"/>
        <v>0</v>
      </c>
      <c r="AI98" s="323">
        <f t="shared" si="391"/>
        <v>0</v>
      </c>
      <c r="AJ98" s="323">
        <f t="shared" si="392"/>
        <v>0</v>
      </c>
      <c r="AK98" s="323">
        <f t="shared" si="393"/>
        <v>0</v>
      </c>
      <c r="AL98" s="323">
        <f t="shared" si="394"/>
        <v>0</v>
      </c>
      <c r="AM98" s="323">
        <f t="shared" si="395"/>
        <v>0</v>
      </c>
      <c r="AN98" s="323">
        <f t="shared" si="396"/>
        <v>0</v>
      </c>
      <c r="AO98" s="323">
        <f t="shared" si="397"/>
        <v>0</v>
      </c>
      <c r="AP98" s="323">
        <f t="shared" si="398"/>
        <v>0</v>
      </c>
      <c r="AQ98" s="323">
        <f t="shared" si="399"/>
        <v>0</v>
      </c>
      <c r="AR98" s="323">
        <f t="shared" si="400"/>
        <v>0</v>
      </c>
      <c r="AS98" s="324">
        <f t="shared" si="429"/>
        <v>240000</v>
      </c>
      <c r="AT98" s="323">
        <f t="shared" si="422"/>
        <v>33600</v>
      </c>
      <c r="AU98" s="323">
        <f t="shared" si="402"/>
        <v>0</v>
      </c>
      <c r="AV98" s="323">
        <f t="shared" si="403"/>
        <v>0</v>
      </c>
      <c r="AW98" s="323">
        <f t="shared" si="404"/>
        <v>0</v>
      </c>
      <c r="AX98" s="323"/>
      <c r="AY98" s="323"/>
      <c r="AZ98" s="323"/>
      <c r="BA98" s="323"/>
      <c r="BB98" s="323"/>
      <c r="BC98" s="323"/>
      <c r="BD98" s="323"/>
      <c r="BE98" s="323"/>
      <c r="BF98" s="55">
        <f t="shared" si="405"/>
        <v>33600</v>
      </c>
      <c r="BG98" s="72">
        <f t="shared" si="406"/>
        <v>6400</v>
      </c>
      <c r="BH98" s="73">
        <f t="shared" si="423"/>
        <v>280000</v>
      </c>
      <c r="BI98" s="74">
        <f t="shared" si="424"/>
        <v>6400</v>
      </c>
      <c r="BJ98" s="99">
        <f t="shared" si="407"/>
        <v>1</v>
      </c>
      <c r="BK98" s="565"/>
      <c r="BL98" s="323">
        <f t="shared" si="408"/>
        <v>0</v>
      </c>
      <c r="BM98" s="323"/>
      <c r="BN98" s="323"/>
      <c r="BO98" s="561"/>
      <c r="BP98" s="323">
        <f t="shared" si="409"/>
        <v>0</v>
      </c>
      <c r="BQ98" s="323">
        <f t="shared" si="410"/>
        <v>0</v>
      </c>
      <c r="BR98" s="323">
        <f t="shared" si="411"/>
        <v>0</v>
      </c>
      <c r="BS98" s="323">
        <f t="shared" si="412"/>
        <v>0</v>
      </c>
      <c r="BT98" s="323"/>
      <c r="BU98" s="323"/>
      <c r="BV98" s="323"/>
      <c r="BW98" s="323"/>
      <c r="BX98" s="323"/>
      <c r="BY98" s="323"/>
      <c r="BZ98" s="323"/>
      <c r="CA98" s="323"/>
      <c r="CB98" s="55">
        <f t="shared" si="413"/>
        <v>0</v>
      </c>
      <c r="CC98" s="323">
        <f t="shared" si="414"/>
        <v>0</v>
      </c>
      <c r="CD98" s="323">
        <f t="shared" si="415"/>
        <v>0</v>
      </c>
      <c r="CE98" s="323">
        <f t="shared" si="416"/>
        <v>0</v>
      </c>
      <c r="CF98" s="323">
        <f t="shared" si="417"/>
        <v>0</v>
      </c>
      <c r="CG98" s="323"/>
      <c r="CH98" s="323"/>
      <c r="CI98" s="323"/>
      <c r="CJ98" s="323"/>
      <c r="CK98" s="323"/>
      <c r="CL98" s="323"/>
      <c r="CM98" s="323"/>
      <c r="CN98" s="323"/>
      <c r="CO98" s="55">
        <f t="shared" si="418"/>
        <v>0</v>
      </c>
      <c r="CP98" s="334"/>
      <c r="CQ98" s="334"/>
      <c r="CR98" s="334"/>
      <c r="CS98" s="334"/>
      <c r="CT98" s="360"/>
      <c r="CU98" s="349"/>
      <c r="CV98" s="361"/>
      <c r="CW98" s="69"/>
      <c r="CX98" s="69"/>
      <c r="CY98" s="69"/>
      <c r="CZ98" s="69"/>
      <c r="DA98" s="69"/>
      <c r="DB98" s="69"/>
      <c r="DC98" s="69"/>
      <c r="DD98" s="69"/>
      <c r="DE98" s="69"/>
    </row>
    <row r="99" spans="1:109" s="70" customFormat="1" ht="24.75" customHeight="1" x14ac:dyDescent="0.2">
      <c r="A99" s="64"/>
      <c r="B99" s="345" t="s">
        <v>192</v>
      </c>
      <c r="C99" s="65" t="s">
        <v>73</v>
      </c>
      <c r="D99" s="486">
        <v>2</v>
      </c>
      <c r="E99" s="66">
        <v>2</v>
      </c>
      <c r="F99" s="66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339">
        <f t="shared" si="419"/>
        <v>2</v>
      </c>
      <c r="R99" s="375" t="s">
        <v>164</v>
      </c>
      <c r="S99" s="374">
        <v>11500</v>
      </c>
      <c r="T99" s="374">
        <v>10000</v>
      </c>
      <c r="U99" s="433"/>
      <c r="V99" s="434"/>
      <c r="W99" s="434"/>
      <c r="X99" s="434"/>
      <c r="Y99" s="322"/>
      <c r="Z99" s="322"/>
      <c r="AA99" s="322"/>
      <c r="AB99" s="322"/>
      <c r="AC99" s="322"/>
      <c r="AD99" s="322"/>
      <c r="AE99" s="322"/>
      <c r="AF99" s="51">
        <f t="shared" si="420"/>
        <v>23000</v>
      </c>
      <c r="AG99" s="323">
        <f t="shared" si="428"/>
        <v>20000</v>
      </c>
      <c r="AH99" s="323">
        <f t="shared" si="390"/>
        <v>0</v>
      </c>
      <c r="AI99" s="323">
        <f t="shared" si="391"/>
        <v>0</v>
      </c>
      <c r="AJ99" s="323">
        <f t="shared" si="392"/>
        <v>0</v>
      </c>
      <c r="AK99" s="323">
        <f t="shared" si="393"/>
        <v>0</v>
      </c>
      <c r="AL99" s="323">
        <f t="shared" si="394"/>
        <v>0</v>
      </c>
      <c r="AM99" s="323">
        <f t="shared" si="395"/>
        <v>0</v>
      </c>
      <c r="AN99" s="323">
        <f t="shared" si="396"/>
        <v>0</v>
      </c>
      <c r="AO99" s="323">
        <f t="shared" si="397"/>
        <v>0</v>
      </c>
      <c r="AP99" s="323">
        <f t="shared" si="398"/>
        <v>0</v>
      </c>
      <c r="AQ99" s="323">
        <f t="shared" si="399"/>
        <v>0</v>
      </c>
      <c r="AR99" s="323">
        <f t="shared" si="400"/>
        <v>0</v>
      </c>
      <c r="AS99" s="324">
        <f t="shared" si="429"/>
        <v>20000</v>
      </c>
      <c r="AT99" s="323">
        <f t="shared" si="422"/>
        <v>2800.0000000000005</v>
      </c>
      <c r="AU99" s="323">
        <f t="shared" si="402"/>
        <v>0</v>
      </c>
      <c r="AV99" s="323">
        <f t="shared" si="403"/>
        <v>0</v>
      </c>
      <c r="AW99" s="323">
        <f t="shared" si="404"/>
        <v>0</v>
      </c>
      <c r="AX99" s="323"/>
      <c r="AY99" s="323"/>
      <c r="AZ99" s="323"/>
      <c r="BA99" s="323"/>
      <c r="BB99" s="323"/>
      <c r="BC99" s="323"/>
      <c r="BD99" s="323"/>
      <c r="BE99" s="323"/>
      <c r="BF99" s="55">
        <f t="shared" si="405"/>
        <v>2800.0000000000005</v>
      </c>
      <c r="BG99" s="72">
        <f t="shared" si="406"/>
        <v>199.99999999999955</v>
      </c>
      <c r="BH99" s="73">
        <f t="shared" si="423"/>
        <v>23000</v>
      </c>
      <c r="BI99" s="74">
        <f t="shared" si="424"/>
        <v>199.99999999999955</v>
      </c>
      <c r="BJ99" s="99">
        <f t="shared" si="407"/>
        <v>1</v>
      </c>
      <c r="BK99" s="565"/>
      <c r="BL99" s="323">
        <f t="shared" si="408"/>
        <v>0</v>
      </c>
      <c r="BM99" s="323"/>
      <c r="BN99" s="323"/>
      <c r="BO99" s="561"/>
      <c r="BP99" s="323">
        <f t="shared" si="409"/>
        <v>0</v>
      </c>
      <c r="BQ99" s="323">
        <f t="shared" si="410"/>
        <v>0</v>
      </c>
      <c r="BR99" s="323">
        <f t="shared" si="411"/>
        <v>0</v>
      </c>
      <c r="BS99" s="323">
        <f t="shared" si="412"/>
        <v>0</v>
      </c>
      <c r="BT99" s="323"/>
      <c r="BU99" s="323"/>
      <c r="BV99" s="323"/>
      <c r="BW99" s="323"/>
      <c r="BX99" s="323"/>
      <c r="BY99" s="323"/>
      <c r="BZ99" s="323"/>
      <c r="CA99" s="323"/>
      <c r="CB99" s="55">
        <f t="shared" si="413"/>
        <v>0</v>
      </c>
      <c r="CC99" s="323">
        <f t="shared" si="414"/>
        <v>0</v>
      </c>
      <c r="CD99" s="323">
        <f t="shared" si="415"/>
        <v>0</v>
      </c>
      <c r="CE99" s="323">
        <f t="shared" si="416"/>
        <v>0</v>
      </c>
      <c r="CF99" s="323">
        <f t="shared" si="417"/>
        <v>0</v>
      </c>
      <c r="CG99" s="323"/>
      <c r="CH99" s="323"/>
      <c r="CI99" s="323"/>
      <c r="CJ99" s="323"/>
      <c r="CK99" s="323"/>
      <c r="CL99" s="323"/>
      <c r="CM99" s="323"/>
      <c r="CN99" s="323"/>
      <c r="CO99" s="55">
        <f t="shared" si="418"/>
        <v>0</v>
      </c>
      <c r="CP99" s="334"/>
      <c r="CQ99" s="334"/>
      <c r="CR99" s="334"/>
      <c r="CS99" s="334"/>
      <c r="CT99" s="360"/>
      <c r="CU99" s="349"/>
      <c r="CV99" s="361"/>
      <c r="CW99" s="69"/>
      <c r="CX99" s="69"/>
      <c r="CY99" s="69"/>
      <c r="CZ99" s="69"/>
      <c r="DA99" s="69"/>
      <c r="DB99" s="69"/>
      <c r="DC99" s="69"/>
      <c r="DD99" s="69"/>
      <c r="DE99" s="69"/>
    </row>
    <row r="100" spans="1:109" s="70" customFormat="1" ht="24.75" customHeight="1" x14ac:dyDescent="0.2">
      <c r="A100" s="64"/>
      <c r="B100" s="345" t="s">
        <v>193</v>
      </c>
      <c r="C100" s="65" t="s">
        <v>73</v>
      </c>
      <c r="D100" s="486">
        <v>2</v>
      </c>
      <c r="E100" s="66">
        <v>2</v>
      </c>
      <c r="F100" s="66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339">
        <f t="shared" si="419"/>
        <v>2</v>
      </c>
      <c r="R100" s="375" t="s">
        <v>1</v>
      </c>
      <c r="S100" s="374">
        <v>11500</v>
      </c>
      <c r="T100" s="374">
        <v>10000</v>
      </c>
      <c r="U100" s="433"/>
      <c r="V100" s="434"/>
      <c r="W100" s="434"/>
      <c r="X100" s="434"/>
      <c r="Y100" s="322"/>
      <c r="Z100" s="322"/>
      <c r="AA100" s="322"/>
      <c r="AB100" s="322"/>
      <c r="AC100" s="322"/>
      <c r="AD100" s="322"/>
      <c r="AE100" s="322"/>
      <c r="AF100" s="51">
        <f t="shared" si="420"/>
        <v>23000</v>
      </c>
      <c r="AG100" s="323">
        <f t="shared" si="428"/>
        <v>20000</v>
      </c>
      <c r="AH100" s="323">
        <f t="shared" si="390"/>
        <v>0</v>
      </c>
      <c r="AI100" s="323">
        <f t="shared" si="391"/>
        <v>0</v>
      </c>
      <c r="AJ100" s="323">
        <f t="shared" si="392"/>
        <v>0</v>
      </c>
      <c r="AK100" s="323">
        <f t="shared" si="393"/>
        <v>0</v>
      </c>
      <c r="AL100" s="323">
        <f t="shared" si="394"/>
        <v>0</v>
      </c>
      <c r="AM100" s="323">
        <f t="shared" si="395"/>
        <v>0</v>
      </c>
      <c r="AN100" s="323">
        <f t="shared" si="396"/>
        <v>0</v>
      </c>
      <c r="AO100" s="323">
        <f t="shared" si="397"/>
        <v>0</v>
      </c>
      <c r="AP100" s="323">
        <f t="shared" si="398"/>
        <v>0</v>
      </c>
      <c r="AQ100" s="323">
        <f t="shared" si="399"/>
        <v>0</v>
      </c>
      <c r="AR100" s="323">
        <f t="shared" si="400"/>
        <v>0</v>
      </c>
      <c r="AS100" s="324">
        <f t="shared" si="429"/>
        <v>20000</v>
      </c>
      <c r="AT100" s="323">
        <f t="shared" si="422"/>
        <v>2800.0000000000005</v>
      </c>
      <c r="AU100" s="323">
        <f t="shared" si="402"/>
        <v>0</v>
      </c>
      <c r="AV100" s="323">
        <f t="shared" si="403"/>
        <v>0</v>
      </c>
      <c r="AW100" s="323">
        <f t="shared" si="404"/>
        <v>0</v>
      </c>
      <c r="AX100" s="323"/>
      <c r="AY100" s="323"/>
      <c r="AZ100" s="323"/>
      <c r="BA100" s="323"/>
      <c r="BB100" s="323"/>
      <c r="BC100" s="323"/>
      <c r="BD100" s="323"/>
      <c r="BE100" s="323"/>
      <c r="BF100" s="55">
        <f t="shared" si="405"/>
        <v>2800.0000000000005</v>
      </c>
      <c r="BG100" s="72">
        <f t="shared" si="406"/>
        <v>199.99999999999955</v>
      </c>
      <c r="BH100" s="73">
        <f t="shared" si="423"/>
        <v>23000</v>
      </c>
      <c r="BI100" s="74">
        <f t="shared" si="424"/>
        <v>199.99999999999955</v>
      </c>
      <c r="BJ100" s="99">
        <f t="shared" si="407"/>
        <v>1</v>
      </c>
      <c r="BK100" s="565"/>
      <c r="BL100" s="323">
        <f t="shared" si="408"/>
        <v>0</v>
      </c>
      <c r="BM100" s="323"/>
      <c r="BN100" s="323"/>
      <c r="BO100" s="561"/>
      <c r="BP100" s="323">
        <f t="shared" si="409"/>
        <v>0</v>
      </c>
      <c r="BQ100" s="323">
        <f t="shared" si="410"/>
        <v>0</v>
      </c>
      <c r="BR100" s="323">
        <f t="shared" si="411"/>
        <v>0</v>
      </c>
      <c r="BS100" s="323">
        <f t="shared" si="412"/>
        <v>0</v>
      </c>
      <c r="BT100" s="323"/>
      <c r="BU100" s="323"/>
      <c r="BV100" s="323"/>
      <c r="BW100" s="323"/>
      <c r="BX100" s="323"/>
      <c r="BY100" s="323"/>
      <c r="BZ100" s="323"/>
      <c r="CA100" s="323"/>
      <c r="CB100" s="55">
        <f t="shared" si="413"/>
        <v>0</v>
      </c>
      <c r="CC100" s="323">
        <f t="shared" si="414"/>
        <v>0</v>
      </c>
      <c r="CD100" s="323">
        <f t="shared" si="415"/>
        <v>0</v>
      </c>
      <c r="CE100" s="323">
        <f t="shared" si="416"/>
        <v>0</v>
      </c>
      <c r="CF100" s="323">
        <f t="shared" si="417"/>
        <v>0</v>
      </c>
      <c r="CG100" s="323"/>
      <c r="CH100" s="323"/>
      <c r="CI100" s="323"/>
      <c r="CJ100" s="323"/>
      <c r="CK100" s="323"/>
      <c r="CL100" s="323"/>
      <c r="CM100" s="323"/>
      <c r="CN100" s="323"/>
      <c r="CO100" s="55">
        <f t="shared" si="418"/>
        <v>0</v>
      </c>
      <c r="CP100" s="334"/>
      <c r="CQ100" s="334"/>
      <c r="CR100" s="334"/>
      <c r="CS100" s="334"/>
      <c r="CT100" s="360"/>
      <c r="CU100" s="349"/>
      <c r="CV100" s="361"/>
      <c r="CW100" s="69"/>
      <c r="CX100" s="69"/>
      <c r="CY100" s="69"/>
      <c r="CZ100" s="69"/>
      <c r="DA100" s="69"/>
      <c r="DB100" s="69"/>
      <c r="DC100" s="69"/>
      <c r="DD100" s="69"/>
      <c r="DE100" s="69"/>
    </row>
    <row r="101" spans="1:109" s="70" customFormat="1" ht="24.75" customHeight="1" x14ac:dyDescent="0.2">
      <c r="A101" s="64"/>
      <c r="B101" s="345" t="s">
        <v>194</v>
      </c>
      <c r="C101" s="65" t="s">
        <v>73</v>
      </c>
      <c r="D101" s="486">
        <v>2</v>
      </c>
      <c r="E101" s="66">
        <v>2</v>
      </c>
      <c r="F101" s="66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339">
        <f t="shared" si="419"/>
        <v>2</v>
      </c>
      <c r="R101" s="375" t="s">
        <v>25</v>
      </c>
      <c r="S101" s="374">
        <v>6000</v>
      </c>
      <c r="T101" s="376">
        <v>5000</v>
      </c>
      <c r="U101" s="433"/>
      <c r="V101" s="434"/>
      <c r="W101" s="434"/>
      <c r="X101" s="434"/>
      <c r="Y101" s="322"/>
      <c r="Z101" s="322"/>
      <c r="AA101" s="322"/>
      <c r="AB101" s="322"/>
      <c r="AC101" s="322"/>
      <c r="AD101" s="322"/>
      <c r="AE101" s="322"/>
      <c r="AF101" s="51">
        <f t="shared" si="420"/>
        <v>12000</v>
      </c>
      <c r="AG101" s="323">
        <f>T101*E101</f>
        <v>10000</v>
      </c>
      <c r="AH101" s="323">
        <f t="shared" si="390"/>
        <v>0</v>
      </c>
      <c r="AI101" s="323">
        <f t="shared" si="391"/>
        <v>0</v>
      </c>
      <c r="AJ101" s="323">
        <f t="shared" si="392"/>
        <v>0</v>
      </c>
      <c r="AK101" s="323">
        <f t="shared" si="393"/>
        <v>0</v>
      </c>
      <c r="AL101" s="323">
        <f t="shared" si="394"/>
        <v>0</v>
      </c>
      <c r="AM101" s="323">
        <f t="shared" si="395"/>
        <v>0</v>
      </c>
      <c r="AN101" s="323">
        <f t="shared" si="396"/>
        <v>0</v>
      </c>
      <c r="AO101" s="323">
        <f t="shared" si="397"/>
        <v>0</v>
      </c>
      <c r="AP101" s="323">
        <f t="shared" si="398"/>
        <v>0</v>
      </c>
      <c r="AQ101" s="323">
        <f t="shared" si="399"/>
        <v>0</v>
      </c>
      <c r="AR101" s="323">
        <f t="shared" si="400"/>
        <v>0</v>
      </c>
      <c r="AS101" s="324">
        <f t="shared" si="429"/>
        <v>10000</v>
      </c>
      <c r="AT101" s="323">
        <f t="shared" si="422"/>
        <v>1400.0000000000002</v>
      </c>
      <c r="AU101" s="323">
        <f t="shared" si="402"/>
        <v>0</v>
      </c>
      <c r="AV101" s="323">
        <f t="shared" si="403"/>
        <v>0</v>
      </c>
      <c r="AW101" s="323">
        <f t="shared" si="404"/>
        <v>0</v>
      </c>
      <c r="AX101" s="323"/>
      <c r="AY101" s="323"/>
      <c r="AZ101" s="323"/>
      <c r="BA101" s="323"/>
      <c r="BB101" s="323"/>
      <c r="BC101" s="323"/>
      <c r="BD101" s="323"/>
      <c r="BE101" s="323"/>
      <c r="BF101" s="55">
        <f t="shared" si="405"/>
        <v>1400.0000000000002</v>
      </c>
      <c r="BG101" s="72">
        <f t="shared" si="406"/>
        <v>599.99999999999977</v>
      </c>
      <c r="BH101" s="73">
        <f t="shared" si="423"/>
        <v>12000</v>
      </c>
      <c r="BI101" s="74">
        <f t="shared" si="424"/>
        <v>599.99999999999977</v>
      </c>
      <c r="BJ101" s="99">
        <f t="shared" si="407"/>
        <v>1</v>
      </c>
      <c r="BK101" s="565"/>
      <c r="BL101" s="323">
        <f t="shared" si="408"/>
        <v>0</v>
      </c>
      <c r="BM101" s="323"/>
      <c r="BN101" s="323"/>
      <c r="BO101" s="561"/>
      <c r="BP101" s="323">
        <f t="shared" si="409"/>
        <v>0</v>
      </c>
      <c r="BQ101" s="323">
        <f t="shared" si="410"/>
        <v>0</v>
      </c>
      <c r="BR101" s="323">
        <f t="shared" si="411"/>
        <v>0</v>
      </c>
      <c r="BS101" s="323">
        <f t="shared" si="412"/>
        <v>0</v>
      </c>
      <c r="BT101" s="323"/>
      <c r="BU101" s="323"/>
      <c r="BV101" s="323"/>
      <c r="BW101" s="323"/>
      <c r="BX101" s="323"/>
      <c r="BY101" s="323"/>
      <c r="BZ101" s="323"/>
      <c r="CA101" s="323"/>
      <c r="CB101" s="55">
        <f t="shared" si="413"/>
        <v>0</v>
      </c>
      <c r="CC101" s="323">
        <f t="shared" si="414"/>
        <v>0</v>
      </c>
      <c r="CD101" s="323">
        <f t="shared" si="415"/>
        <v>0</v>
      </c>
      <c r="CE101" s="323">
        <f t="shared" si="416"/>
        <v>0</v>
      </c>
      <c r="CF101" s="323">
        <f t="shared" si="417"/>
        <v>0</v>
      </c>
      <c r="CG101" s="323"/>
      <c r="CH101" s="323"/>
      <c r="CI101" s="323"/>
      <c r="CJ101" s="323"/>
      <c r="CK101" s="323"/>
      <c r="CL101" s="323"/>
      <c r="CM101" s="323"/>
      <c r="CN101" s="323"/>
      <c r="CO101" s="55">
        <f t="shared" si="418"/>
        <v>0</v>
      </c>
      <c r="CP101" s="334"/>
      <c r="CQ101" s="334"/>
      <c r="CR101" s="334"/>
      <c r="CS101" s="334"/>
      <c r="CT101" s="360"/>
      <c r="CU101" s="349"/>
      <c r="CV101" s="361"/>
      <c r="CW101" s="69"/>
      <c r="CX101" s="69"/>
      <c r="CY101" s="69"/>
      <c r="CZ101" s="69"/>
      <c r="DA101" s="69"/>
      <c r="DB101" s="69"/>
      <c r="DC101" s="69"/>
      <c r="DD101" s="69"/>
      <c r="DE101" s="69"/>
    </row>
    <row r="102" spans="1:109" s="70" customFormat="1" ht="24.75" customHeight="1" x14ac:dyDescent="0.2">
      <c r="A102" s="64"/>
      <c r="B102" s="430" t="s">
        <v>195</v>
      </c>
      <c r="C102" s="65" t="s">
        <v>73</v>
      </c>
      <c r="D102" s="486">
        <v>3</v>
      </c>
      <c r="E102" s="66">
        <v>3</v>
      </c>
      <c r="F102" s="66"/>
      <c r="G102" s="428"/>
      <c r="H102" s="67"/>
      <c r="I102" s="67"/>
      <c r="J102" s="67"/>
      <c r="K102" s="67"/>
      <c r="L102" s="67"/>
      <c r="M102" s="67"/>
      <c r="N102" s="67"/>
      <c r="O102" s="67"/>
      <c r="P102" s="67"/>
      <c r="Q102" s="339">
        <f t="shared" ref="Q102:Q114" si="430">SUM(E102:P102)</f>
        <v>3</v>
      </c>
      <c r="R102" s="375" t="s">
        <v>163</v>
      </c>
      <c r="S102" s="374">
        <v>17500</v>
      </c>
      <c r="T102" s="321">
        <v>15000</v>
      </c>
      <c r="U102" s="433"/>
      <c r="V102" s="432"/>
      <c r="W102" s="432"/>
      <c r="X102" s="434"/>
      <c r="Y102" s="322"/>
      <c r="Z102" s="322"/>
      <c r="AA102" s="322"/>
      <c r="AB102" s="322"/>
      <c r="AC102" s="322"/>
      <c r="AD102" s="322"/>
      <c r="AE102" s="322"/>
      <c r="AF102" s="51">
        <f t="shared" si="420"/>
        <v>52500</v>
      </c>
      <c r="AG102" s="323">
        <f>T102*E102</f>
        <v>45000</v>
      </c>
      <c r="AH102" s="323">
        <f t="shared" ref="AH102:AH114" si="431">U102*F102</f>
        <v>0</v>
      </c>
      <c r="AI102" s="323">
        <f t="shared" ref="AI102:AI114" si="432">V102*G102</f>
        <v>0</v>
      </c>
      <c r="AJ102" s="323">
        <f t="shared" ref="AJ102:AJ114" si="433">W102*H102</f>
        <v>0</v>
      </c>
      <c r="AK102" s="323">
        <f t="shared" ref="AK102:AK114" si="434">X102*I102</f>
        <v>0</v>
      </c>
      <c r="AL102" s="323">
        <f t="shared" ref="AL102:AL114" si="435">Y102*J102</f>
        <v>0</v>
      </c>
      <c r="AM102" s="323">
        <f t="shared" ref="AM102:AM114" si="436">Z102*K102</f>
        <v>0</v>
      </c>
      <c r="AN102" s="323">
        <f t="shared" ref="AN102:AN114" si="437">AA102*L102</f>
        <v>0</v>
      </c>
      <c r="AO102" s="323">
        <f t="shared" ref="AO102:AO114" si="438">AB102*M102</f>
        <v>0</v>
      </c>
      <c r="AP102" s="323">
        <f t="shared" ref="AP102:AP114" si="439">AC102*N102</f>
        <v>0</v>
      </c>
      <c r="AQ102" s="323">
        <f t="shared" ref="AQ102:AQ114" si="440">AD102*O102</f>
        <v>0</v>
      </c>
      <c r="AR102" s="323">
        <f t="shared" ref="AR102:AR114" si="441">AE102*P102</f>
        <v>0</v>
      </c>
      <c r="AS102" s="324">
        <f t="shared" ref="AS102" si="442">SUM(AG102:AR102)</f>
        <v>45000</v>
      </c>
      <c r="AT102" s="323">
        <f t="shared" ref="AT102:AT112" si="443">SUM(AG102*14%)</f>
        <v>6300.0000000000009</v>
      </c>
      <c r="AU102" s="323">
        <f t="shared" ref="AU102:AU114" si="444">SUM(AH102*14%)</f>
        <v>0</v>
      </c>
      <c r="AV102" s="323">
        <f t="shared" ref="AV102:AV114" si="445">SUM(AI102*14%)</f>
        <v>0</v>
      </c>
      <c r="AW102" s="323">
        <f t="shared" ref="AW102:AW114" si="446">SUM(AJ102*14%)</f>
        <v>0</v>
      </c>
      <c r="AX102" s="323"/>
      <c r="AY102" s="323"/>
      <c r="AZ102" s="323"/>
      <c r="BA102" s="323"/>
      <c r="BB102" s="323"/>
      <c r="BC102" s="323"/>
      <c r="BD102" s="323"/>
      <c r="BE102" s="323"/>
      <c r="BF102" s="55">
        <f t="shared" ref="BF102:BF114" si="447">SUM(AT102:BE102)</f>
        <v>6300.0000000000009</v>
      </c>
      <c r="BG102" s="72">
        <f t="shared" si="406"/>
        <v>1199.9999999999991</v>
      </c>
      <c r="BH102" s="73">
        <f t="shared" si="423"/>
        <v>52500</v>
      </c>
      <c r="BI102" s="74">
        <f t="shared" si="424"/>
        <v>1199.9999999999991</v>
      </c>
      <c r="BJ102" s="99">
        <f t="shared" ref="BJ102:BJ114" si="448">SUM(Q102/D102)</f>
        <v>1</v>
      </c>
      <c r="BK102" s="565"/>
      <c r="BL102" s="323">
        <f t="shared" si="408"/>
        <v>0</v>
      </c>
      <c r="BM102" s="323"/>
      <c r="BN102" s="323"/>
      <c r="BO102" s="561"/>
      <c r="BP102" s="323">
        <f t="shared" si="409"/>
        <v>0</v>
      </c>
      <c r="BQ102" s="323">
        <f t="shared" si="410"/>
        <v>0</v>
      </c>
      <c r="BR102" s="323">
        <f t="shared" si="411"/>
        <v>0</v>
      </c>
      <c r="BS102" s="323">
        <f t="shared" si="412"/>
        <v>0</v>
      </c>
      <c r="BT102" s="323"/>
      <c r="BU102" s="323"/>
      <c r="BV102" s="323"/>
      <c r="BW102" s="323"/>
      <c r="BX102" s="323"/>
      <c r="BY102" s="323"/>
      <c r="BZ102" s="323"/>
      <c r="CA102" s="323"/>
      <c r="CB102" s="55">
        <f t="shared" si="413"/>
        <v>0</v>
      </c>
      <c r="CC102" s="323">
        <f t="shared" si="414"/>
        <v>0</v>
      </c>
      <c r="CD102" s="323">
        <f t="shared" si="415"/>
        <v>0</v>
      </c>
      <c r="CE102" s="323">
        <f t="shared" si="416"/>
        <v>0</v>
      </c>
      <c r="CF102" s="323">
        <f t="shared" si="417"/>
        <v>0</v>
      </c>
      <c r="CG102" s="323"/>
      <c r="CH102" s="323"/>
      <c r="CI102" s="323"/>
      <c r="CJ102" s="323"/>
      <c r="CK102" s="323"/>
      <c r="CL102" s="323"/>
      <c r="CM102" s="323"/>
      <c r="CN102" s="323"/>
      <c r="CO102" s="55">
        <f t="shared" si="418"/>
        <v>0</v>
      </c>
      <c r="CP102" s="334"/>
      <c r="CQ102" s="334"/>
      <c r="CR102" s="334"/>
      <c r="CS102" s="334"/>
      <c r="CT102" s="360"/>
      <c r="CU102" s="349"/>
      <c r="CV102" s="361"/>
      <c r="CW102" s="69"/>
      <c r="CX102" s="69"/>
      <c r="CY102" s="69"/>
      <c r="CZ102" s="69"/>
      <c r="DA102" s="69"/>
      <c r="DB102" s="69"/>
      <c r="DC102" s="69"/>
      <c r="DD102" s="69"/>
      <c r="DE102" s="69"/>
    </row>
    <row r="103" spans="1:109" s="70" customFormat="1" ht="24.75" customHeight="1" x14ac:dyDescent="0.2">
      <c r="A103" s="64"/>
      <c r="B103" s="345" t="s">
        <v>196</v>
      </c>
      <c r="C103" s="65" t="s">
        <v>73</v>
      </c>
      <c r="D103" s="486">
        <v>2</v>
      </c>
      <c r="E103" s="66">
        <v>2</v>
      </c>
      <c r="F103" s="66"/>
      <c r="G103" s="428"/>
      <c r="H103" s="67"/>
      <c r="I103" s="67"/>
      <c r="J103" s="67"/>
      <c r="K103" s="67"/>
      <c r="L103" s="67"/>
      <c r="M103" s="67"/>
      <c r="N103" s="67"/>
      <c r="O103" s="67"/>
      <c r="P103" s="67"/>
      <c r="Q103" s="339">
        <f t="shared" si="430"/>
        <v>2</v>
      </c>
      <c r="R103" s="375" t="s">
        <v>164</v>
      </c>
      <c r="S103" s="374">
        <v>5000</v>
      </c>
      <c r="T103" s="325">
        <v>3000</v>
      </c>
      <c r="U103" s="433"/>
      <c r="V103" s="434"/>
      <c r="W103" s="434"/>
      <c r="X103" s="434"/>
      <c r="Y103" s="322"/>
      <c r="Z103" s="322"/>
      <c r="AA103" s="322"/>
      <c r="AB103" s="322"/>
      <c r="AC103" s="322"/>
      <c r="AD103" s="322"/>
      <c r="AE103" s="322"/>
      <c r="AF103" s="51">
        <f t="shared" si="420"/>
        <v>10000</v>
      </c>
      <c r="AG103" s="323">
        <f t="shared" ref="AG103:AG113" si="449">T103*E103</f>
        <v>6000</v>
      </c>
      <c r="AH103" s="323">
        <f t="shared" si="431"/>
        <v>0</v>
      </c>
      <c r="AI103" s="323">
        <f t="shared" si="432"/>
        <v>0</v>
      </c>
      <c r="AJ103" s="323">
        <f t="shared" si="433"/>
        <v>0</v>
      </c>
      <c r="AK103" s="323">
        <f t="shared" si="434"/>
        <v>0</v>
      </c>
      <c r="AL103" s="323">
        <f t="shared" si="435"/>
        <v>0</v>
      </c>
      <c r="AM103" s="323">
        <f t="shared" si="436"/>
        <v>0</v>
      </c>
      <c r="AN103" s="323">
        <f t="shared" si="437"/>
        <v>0</v>
      </c>
      <c r="AO103" s="323">
        <f t="shared" si="438"/>
        <v>0</v>
      </c>
      <c r="AP103" s="323">
        <f t="shared" si="439"/>
        <v>0</v>
      </c>
      <c r="AQ103" s="323">
        <f t="shared" si="440"/>
        <v>0</v>
      </c>
      <c r="AR103" s="323">
        <f t="shared" si="441"/>
        <v>0</v>
      </c>
      <c r="AS103" s="324">
        <f t="shared" ref="AS103:AS114" si="450">SUM(AG103:AR103)</f>
        <v>6000</v>
      </c>
      <c r="AT103" s="323">
        <f t="shared" si="443"/>
        <v>840.00000000000011</v>
      </c>
      <c r="AU103" s="323">
        <f t="shared" si="444"/>
        <v>0</v>
      </c>
      <c r="AV103" s="323">
        <f t="shared" si="445"/>
        <v>0</v>
      </c>
      <c r="AW103" s="323">
        <f t="shared" si="446"/>
        <v>0</v>
      </c>
      <c r="AX103" s="323"/>
      <c r="AY103" s="323"/>
      <c r="AZ103" s="323"/>
      <c r="BA103" s="323"/>
      <c r="BB103" s="323"/>
      <c r="BC103" s="323"/>
      <c r="BD103" s="323"/>
      <c r="BE103" s="323"/>
      <c r="BF103" s="55">
        <f t="shared" si="447"/>
        <v>840.00000000000011</v>
      </c>
      <c r="BG103" s="72">
        <f t="shared" si="406"/>
        <v>3160</v>
      </c>
      <c r="BH103" s="73">
        <f t="shared" si="423"/>
        <v>10000</v>
      </c>
      <c r="BI103" s="74">
        <f t="shared" si="424"/>
        <v>3160</v>
      </c>
      <c r="BJ103" s="99">
        <f t="shared" si="448"/>
        <v>1</v>
      </c>
      <c r="BK103" s="565"/>
      <c r="BL103" s="323">
        <f t="shared" si="408"/>
        <v>0</v>
      </c>
      <c r="BM103" s="323"/>
      <c r="BN103" s="323"/>
      <c r="BO103" s="561"/>
      <c r="BP103" s="323">
        <f t="shared" si="409"/>
        <v>0</v>
      </c>
      <c r="BQ103" s="323">
        <f t="shared" si="410"/>
        <v>0</v>
      </c>
      <c r="BR103" s="323">
        <f t="shared" si="411"/>
        <v>0</v>
      </c>
      <c r="BS103" s="323">
        <f t="shared" si="412"/>
        <v>0</v>
      </c>
      <c r="BT103" s="323"/>
      <c r="BU103" s="323"/>
      <c r="BV103" s="323"/>
      <c r="BW103" s="323"/>
      <c r="BX103" s="323"/>
      <c r="BY103" s="323"/>
      <c r="BZ103" s="323"/>
      <c r="CA103" s="323"/>
      <c r="CB103" s="55">
        <f t="shared" si="413"/>
        <v>0</v>
      </c>
      <c r="CC103" s="323">
        <f t="shared" si="414"/>
        <v>0</v>
      </c>
      <c r="CD103" s="323">
        <f t="shared" si="415"/>
        <v>0</v>
      </c>
      <c r="CE103" s="323">
        <f t="shared" si="416"/>
        <v>0</v>
      </c>
      <c r="CF103" s="323">
        <f t="shared" si="417"/>
        <v>0</v>
      </c>
      <c r="CG103" s="323"/>
      <c r="CH103" s="323"/>
      <c r="CI103" s="323"/>
      <c r="CJ103" s="323"/>
      <c r="CK103" s="323"/>
      <c r="CL103" s="323"/>
      <c r="CM103" s="323"/>
      <c r="CN103" s="323"/>
      <c r="CO103" s="55">
        <f t="shared" si="418"/>
        <v>0</v>
      </c>
      <c r="CP103" s="334"/>
      <c r="CQ103" s="334"/>
      <c r="CR103" s="334"/>
      <c r="CS103" s="334"/>
      <c r="CT103" s="360"/>
      <c r="CU103" s="349"/>
      <c r="CV103" s="361"/>
      <c r="CW103" s="69"/>
      <c r="CX103" s="69"/>
      <c r="CY103" s="69"/>
      <c r="CZ103" s="69"/>
      <c r="DA103" s="69"/>
      <c r="DB103" s="69"/>
      <c r="DC103" s="69"/>
      <c r="DD103" s="69"/>
      <c r="DE103" s="69"/>
    </row>
    <row r="104" spans="1:109" s="70" customFormat="1" ht="24.75" customHeight="1" x14ac:dyDescent="0.2">
      <c r="A104" s="64"/>
      <c r="B104" s="345" t="s">
        <v>197</v>
      </c>
      <c r="C104" s="65" t="s">
        <v>73</v>
      </c>
      <c r="D104" s="486">
        <v>16</v>
      </c>
      <c r="E104" s="66">
        <v>16</v>
      </c>
      <c r="F104" s="66"/>
      <c r="G104" s="431"/>
      <c r="H104" s="67"/>
      <c r="I104" s="67"/>
      <c r="J104" s="67"/>
      <c r="K104" s="67"/>
      <c r="L104" s="67"/>
      <c r="M104" s="67"/>
      <c r="N104" s="67"/>
      <c r="O104" s="67"/>
      <c r="P104" s="67"/>
      <c r="Q104" s="421">
        <f t="shared" si="430"/>
        <v>16</v>
      </c>
      <c r="R104" s="375" t="s">
        <v>164</v>
      </c>
      <c r="S104" s="374">
        <v>5000</v>
      </c>
      <c r="T104" s="325">
        <v>4000</v>
      </c>
      <c r="U104" s="433"/>
      <c r="V104" s="434"/>
      <c r="W104" s="434"/>
      <c r="X104" s="434"/>
      <c r="Y104" s="322"/>
      <c r="Z104" s="322"/>
      <c r="AA104" s="322"/>
      <c r="AB104" s="322"/>
      <c r="AC104" s="322"/>
      <c r="AD104" s="322"/>
      <c r="AE104" s="322"/>
      <c r="AF104" s="51">
        <f t="shared" si="420"/>
        <v>80000</v>
      </c>
      <c r="AG104" s="323">
        <f t="shared" si="449"/>
        <v>64000</v>
      </c>
      <c r="AH104" s="323">
        <f t="shared" si="431"/>
        <v>0</v>
      </c>
      <c r="AI104" s="323">
        <f t="shared" si="432"/>
        <v>0</v>
      </c>
      <c r="AJ104" s="323">
        <f t="shared" si="433"/>
        <v>0</v>
      </c>
      <c r="AK104" s="323">
        <f t="shared" si="434"/>
        <v>0</v>
      </c>
      <c r="AL104" s="323">
        <f t="shared" si="435"/>
        <v>0</v>
      </c>
      <c r="AM104" s="323">
        <f t="shared" si="436"/>
        <v>0</v>
      </c>
      <c r="AN104" s="323">
        <f t="shared" si="437"/>
        <v>0</v>
      </c>
      <c r="AO104" s="323">
        <f t="shared" si="438"/>
        <v>0</v>
      </c>
      <c r="AP104" s="323">
        <f t="shared" si="439"/>
        <v>0</v>
      </c>
      <c r="AQ104" s="323">
        <f t="shared" si="440"/>
        <v>0</v>
      </c>
      <c r="AR104" s="323">
        <f t="shared" si="441"/>
        <v>0</v>
      </c>
      <c r="AS104" s="324">
        <f t="shared" si="450"/>
        <v>64000</v>
      </c>
      <c r="AT104" s="323">
        <f t="shared" si="443"/>
        <v>8960</v>
      </c>
      <c r="AU104" s="323">
        <f t="shared" si="444"/>
        <v>0</v>
      </c>
      <c r="AV104" s="323">
        <f t="shared" si="445"/>
        <v>0</v>
      </c>
      <c r="AW104" s="323">
        <f t="shared" si="446"/>
        <v>0</v>
      </c>
      <c r="AX104" s="323"/>
      <c r="AY104" s="323"/>
      <c r="AZ104" s="323"/>
      <c r="BA104" s="323"/>
      <c r="BB104" s="323"/>
      <c r="BC104" s="323"/>
      <c r="BD104" s="323"/>
      <c r="BE104" s="323"/>
      <c r="BF104" s="55">
        <f t="shared" si="447"/>
        <v>8960</v>
      </c>
      <c r="BG104" s="72">
        <f t="shared" si="406"/>
        <v>7040</v>
      </c>
      <c r="BH104" s="73">
        <f t="shared" si="423"/>
        <v>80000</v>
      </c>
      <c r="BI104" s="74">
        <f t="shared" si="424"/>
        <v>7040</v>
      </c>
      <c r="BJ104" s="99">
        <f t="shared" si="448"/>
        <v>1</v>
      </c>
      <c r="BK104" s="565"/>
      <c r="BL104" s="323">
        <f t="shared" si="408"/>
        <v>0</v>
      </c>
      <c r="BM104" s="323"/>
      <c r="BN104" s="323"/>
      <c r="BO104" s="561"/>
      <c r="BP104" s="323">
        <f t="shared" si="409"/>
        <v>0</v>
      </c>
      <c r="BQ104" s="323">
        <f t="shared" si="410"/>
        <v>0</v>
      </c>
      <c r="BR104" s="323">
        <f t="shared" si="411"/>
        <v>0</v>
      </c>
      <c r="BS104" s="323">
        <f t="shared" si="412"/>
        <v>0</v>
      </c>
      <c r="BT104" s="323"/>
      <c r="BU104" s="323"/>
      <c r="BV104" s="323"/>
      <c r="BW104" s="323"/>
      <c r="BX104" s="323"/>
      <c r="BY104" s="323"/>
      <c r="BZ104" s="323"/>
      <c r="CA104" s="323"/>
      <c r="CB104" s="55">
        <f t="shared" si="413"/>
        <v>0</v>
      </c>
      <c r="CC104" s="323">
        <f t="shared" si="414"/>
        <v>0</v>
      </c>
      <c r="CD104" s="323">
        <f t="shared" si="415"/>
        <v>0</v>
      </c>
      <c r="CE104" s="323">
        <f t="shared" si="416"/>
        <v>0</v>
      </c>
      <c r="CF104" s="323">
        <f t="shared" si="417"/>
        <v>0</v>
      </c>
      <c r="CG104" s="323"/>
      <c r="CH104" s="323"/>
      <c r="CI104" s="323"/>
      <c r="CJ104" s="323"/>
      <c r="CK104" s="323"/>
      <c r="CL104" s="323"/>
      <c r="CM104" s="323"/>
      <c r="CN104" s="323"/>
      <c r="CO104" s="55">
        <f t="shared" si="418"/>
        <v>0</v>
      </c>
      <c r="CP104" s="334"/>
      <c r="CQ104" s="334"/>
      <c r="CR104" s="334"/>
      <c r="CS104" s="334"/>
      <c r="CT104" s="360"/>
      <c r="CU104" s="349"/>
      <c r="CV104" s="361"/>
      <c r="CW104" s="69"/>
      <c r="CX104" s="69"/>
      <c r="CY104" s="69"/>
      <c r="CZ104" s="69"/>
      <c r="DA104" s="69"/>
      <c r="DB104" s="69"/>
      <c r="DC104" s="69"/>
      <c r="DD104" s="69"/>
      <c r="DE104" s="69"/>
    </row>
    <row r="105" spans="1:109" s="70" customFormat="1" ht="24.75" customHeight="1" x14ac:dyDescent="0.2">
      <c r="A105" s="64"/>
      <c r="B105" s="345" t="s">
        <v>198</v>
      </c>
      <c r="C105" s="65" t="s">
        <v>73</v>
      </c>
      <c r="D105" s="486">
        <v>40</v>
      </c>
      <c r="E105" s="66">
        <v>40</v>
      </c>
      <c r="F105" s="66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339">
        <f t="shared" si="430"/>
        <v>40</v>
      </c>
      <c r="R105" s="375" t="s">
        <v>164</v>
      </c>
      <c r="S105" s="374">
        <v>114000</v>
      </c>
      <c r="T105" s="374">
        <v>100000</v>
      </c>
      <c r="U105" s="433"/>
      <c r="V105" s="434"/>
      <c r="W105" s="434"/>
      <c r="X105" s="434"/>
      <c r="Y105" s="322"/>
      <c r="Z105" s="322"/>
      <c r="AA105" s="322"/>
      <c r="AB105" s="322"/>
      <c r="AC105" s="322"/>
      <c r="AD105" s="322"/>
      <c r="AE105" s="322"/>
      <c r="AF105" s="51">
        <f t="shared" si="420"/>
        <v>4560000</v>
      </c>
      <c r="AG105" s="323">
        <f t="shared" si="449"/>
        <v>4000000</v>
      </c>
      <c r="AH105" s="323">
        <f t="shared" si="431"/>
        <v>0</v>
      </c>
      <c r="AI105" s="323">
        <f t="shared" si="432"/>
        <v>0</v>
      </c>
      <c r="AJ105" s="323">
        <f t="shared" si="433"/>
        <v>0</v>
      </c>
      <c r="AK105" s="323">
        <f t="shared" si="434"/>
        <v>0</v>
      </c>
      <c r="AL105" s="323">
        <f t="shared" si="435"/>
        <v>0</v>
      </c>
      <c r="AM105" s="323">
        <f t="shared" si="436"/>
        <v>0</v>
      </c>
      <c r="AN105" s="323">
        <f t="shared" si="437"/>
        <v>0</v>
      </c>
      <c r="AO105" s="323">
        <f t="shared" si="438"/>
        <v>0</v>
      </c>
      <c r="AP105" s="323">
        <f t="shared" si="439"/>
        <v>0</v>
      </c>
      <c r="AQ105" s="323">
        <f t="shared" si="440"/>
        <v>0</v>
      </c>
      <c r="AR105" s="323">
        <f t="shared" si="441"/>
        <v>0</v>
      </c>
      <c r="AS105" s="324">
        <f t="shared" si="450"/>
        <v>4000000</v>
      </c>
      <c r="AT105" s="323">
        <f t="shared" si="443"/>
        <v>560000</v>
      </c>
      <c r="AU105" s="323">
        <f t="shared" si="444"/>
        <v>0</v>
      </c>
      <c r="AV105" s="323">
        <f t="shared" si="445"/>
        <v>0</v>
      </c>
      <c r="AW105" s="323">
        <f t="shared" si="446"/>
        <v>0</v>
      </c>
      <c r="AX105" s="323"/>
      <c r="AY105" s="323"/>
      <c r="AZ105" s="323"/>
      <c r="BA105" s="323"/>
      <c r="BB105" s="323"/>
      <c r="BC105" s="323"/>
      <c r="BD105" s="323"/>
      <c r="BE105" s="323"/>
      <c r="BF105" s="55">
        <f t="shared" si="447"/>
        <v>560000</v>
      </c>
      <c r="BG105" s="72">
        <f t="shared" si="406"/>
        <v>0</v>
      </c>
      <c r="BH105" s="73">
        <f t="shared" si="423"/>
        <v>4560000</v>
      </c>
      <c r="BI105" s="74">
        <f t="shared" si="424"/>
        <v>0</v>
      </c>
      <c r="BJ105" s="99">
        <f t="shared" si="448"/>
        <v>1</v>
      </c>
      <c r="BK105" s="565"/>
      <c r="BL105" s="323">
        <f t="shared" si="408"/>
        <v>0</v>
      </c>
      <c r="BM105" s="323"/>
      <c r="BN105" s="323"/>
      <c r="BO105" s="561"/>
      <c r="BP105" s="323">
        <f t="shared" si="409"/>
        <v>0</v>
      </c>
      <c r="BQ105" s="323">
        <f t="shared" si="410"/>
        <v>0</v>
      </c>
      <c r="BR105" s="323">
        <f t="shared" si="411"/>
        <v>0</v>
      </c>
      <c r="BS105" s="323">
        <f t="shared" si="412"/>
        <v>0</v>
      </c>
      <c r="BT105" s="323"/>
      <c r="BU105" s="323"/>
      <c r="BV105" s="323"/>
      <c r="BW105" s="323"/>
      <c r="BX105" s="323"/>
      <c r="BY105" s="323"/>
      <c r="BZ105" s="323"/>
      <c r="CA105" s="323"/>
      <c r="CB105" s="55">
        <f t="shared" si="413"/>
        <v>0</v>
      </c>
      <c r="CC105" s="323">
        <f t="shared" si="414"/>
        <v>0</v>
      </c>
      <c r="CD105" s="323">
        <f t="shared" si="415"/>
        <v>0</v>
      </c>
      <c r="CE105" s="323">
        <f t="shared" si="416"/>
        <v>0</v>
      </c>
      <c r="CF105" s="323">
        <f t="shared" si="417"/>
        <v>0</v>
      </c>
      <c r="CG105" s="323"/>
      <c r="CH105" s="323"/>
      <c r="CI105" s="323"/>
      <c r="CJ105" s="323"/>
      <c r="CK105" s="323"/>
      <c r="CL105" s="323"/>
      <c r="CM105" s="323"/>
      <c r="CN105" s="323"/>
      <c r="CO105" s="55">
        <f t="shared" si="418"/>
        <v>0</v>
      </c>
      <c r="CP105" s="334"/>
      <c r="CQ105" s="334"/>
      <c r="CR105" s="334"/>
      <c r="CS105" s="334"/>
      <c r="CT105" s="360"/>
      <c r="CU105" s="349"/>
      <c r="CV105" s="361"/>
      <c r="CW105" s="69"/>
      <c r="CX105" s="69"/>
      <c r="CY105" s="69"/>
      <c r="CZ105" s="69"/>
      <c r="DA105" s="69"/>
      <c r="DB105" s="69"/>
      <c r="DC105" s="69"/>
      <c r="DD105" s="69"/>
      <c r="DE105" s="69"/>
    </row>
    <row r="106" spans="1:109" s="70" customFormat="1" ht="24.75" customHeight="1" x14ac:dyDescent="0.2">
      <c r="A106" s="64"/>
      <c r="B106" s="345" t="s">
        <v>199</v>
      </c>
      <c r="C106" s="65" t="s">
        <v>73</v>
      </c>
      <c r="D106" s="486">
        <v>10</v>
      </c>
      <c r="E106" s="66">
        <v>10</v>
      </c>
      <c r="F106" s="66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339">
        <f t="shared" si="430"/>
        <v>10</v>
      </c>
      <c r="R106" s="375" t="s">
        <v>1</v>
      </c>
      <c r="S106" s="374">
        <v>11500</v>
      </c>
      <c r="T106" s="374">
        <v>10000</v>
      </c>
      <c r="U106" s="433"/>
      <c r="V106" s="434"/>
      <c r="W106" s="434"/>
      <c r="X106" s="434"/>
      <c r="Y106" s="322"/>
      <c r="Z106" s="322"/>
      <c r="AA106" s="322"/>
      <c r="AB106" s="322"/>
      <c r="AC106" s="322"/>
      <c r="AD106" s="322"/>
      <c r="AE106" s="322"/>
      <c r="AF106" s="51">
        <f t="shared" si="420"/>
        <v>115000</v>
      </c>
      <c r="AG106" s="323">
        <f t="shared" si="449"/>
        <v>100000</v>
      </c>
      <c r="AH106" s="323">
        <f t="shared" si="431"/>
        <v>0</v>
      </c>
      <c r="AI106" s="323">
        <f t="shared" si="432"/>
        <v>0</v>
      </c>
      <c r="AJ106" s="323">
        <f t="shared" si="433"/>
        <v>0</v>
      </c>
      <c r="AK106" s="323">
        <f t="shared" si="434"/>
        <v>0</v>
      </c>
      <c r="AL106" s="323">
        <f t="shared" si="435"/>
        <v>0</v>
      </c>
      <c r="AM106" s="323">
        <f t="shared" si="436"/>
        <v>0</v>
      </c>
      <c r="AN106" s="323">
        <f t="shared" si="437"/>
        <v>0</v>
      </c>
      <c r="AO106" s="323">
        <f t="shared" si="438"/>
        <v>0</v>
      </c>
      <c r="AP106" s="323">
        <f t="shared" si="439"/>
        <v>0</v>
      </c>
      <c r="AQ106" s="323">
        <f t="shared" si="440"/>
        <v>0</v>
      </c>
      <c r="AR106" s="323">
        <f t="shared" si="441"/>
        <v>0</v>
      </c>
      <c r="AS106" s="324">
        <f t="shared" si="450"/>
        <v>100000</v>
      </c>
      <c r="AT106" s="323">
        <f t="shared" si="443"/>
        <v>14000.000000000002</v>
      </c>
      <c r="AU106" s="323">
        <f t="shared" si="444"/>
        <v>0</v>
      </c>
      <c r="AV106" s="323">
        <f t="shared" si="445"/>
        <v>0</v>
      </c>
      <c r="AW106" s="323">
        <f t="shared" si="446"/>
        <v>0</v>
      </c>
      <c r="AX106" s="323"/>
      <c r="AY106" s="323"/>
      <c r="AZ106" s="323"/>
      <c r="BA106" s="323"/>
      <c r="BB106" s="323"/>
      <c r="BC106" s="323"/>
      <c r="BD106" s="323"/>
      <c r="BE106" s="323"/>
      <c r="BF106" s="55">
        <f t="shared" si="447"/>
        <v>14000.000000000002</v>
      </c>
      <c r="BG106" s="72">
        <f t="shared" si="406"/>
        <v>999.99999999999818</v>
      </c>
      <c r="BH106" s="73">
        <f t="shared" si="423"/>
        <v>115000</v>
      </c>
      <c r="BI106" s="74">
        <f t="shared" si="424"/>
        <v>999.99999999999818</v>
      </c>
      <c r="BJ106" s="99">
        <f t="shared" si="448"/>
        <v>1</v>
      </c>
      <c r="BK106" s="565"/>
      <c r="BL106" s="323">
        <f t="shared" si="408"/>
        <v>0</v>
      </c>
      <c r="BM106" s="323"/>
      <c r="BN106" s="323"/>
      <c r="BO106" s="561"/>
      <c r="BP106" s="323">
        <f t="shared" si="409"/>
        <v>0</v>
      </c>
      <c r="BQ106" s="323">
        <f t="shared" si="410"/>
        <v>0</v>
      </c>
      <c r="BR106" s="323">
        <f t="shared" si="411"/>
        <v>0</v>
      </c>
      <c r="BS106" s="323">
        <f t="shared" si="412"/>
        <v>0</v>
      </c>
      <c r="BT106" s="323"/>
      <c r="BU106" s="323"/>
      <c r="BV106" s="323"/>
      <c r="BW106" s="323"/>
      <c r="BX106" s="323"/>
      <c r="BY106" s="323"/>
      <c r="BZ106" s="323"/>
      <c r="CA106" s="323"/>
      <c r="CB106" s="55">
        <f t="shared" si="413"/>
        <v>0</v>
      </c>
      <c r="CC106" s="323">
        <f t="shared" si="414"/>
        <v>0</v>
      </c>
      <c r="CD106" s="323">
        <f t="shared" si="415"/>
        <v>0</v>
      </c>
      <c r="CE106" s="323">
        <f t="shared" si="416"/>
        <v>0</v>
      </c>
      <c r="CF106" s="323">
        <f t="shared" si="417"/>
        <v>0</v>
      </c>
      <c r="CG106" s="323"/>
      <c r="CH106" s="323"/>
      <c r="CI106" s="323"/>
      <c r="CJ106" s="323"/>
      <c r="CK106" s="323"/>
      <c r="CL106" s="323"/>
      <c r="CM106" s="323"/>
      <c r="CN106" s="323"/>
      <c r="CO106" s="55">
        <f t="shared" si="418"/>
        <v>0</v>
      </c>
      <c r="CP106" s="334"/>
      <c r="CQ106" s="334"/>
      <c r="CR106" s="334"/>
      <c r="CS106" s="334"/>
      <c r="CT106" s="360"/>
      <c r="CU106" s="349"/>
      <c r="CV106" s="361"/>
      <c r="CW106" s="69"/>
      <c r="CX106" s="69"/>
      <c r="CY106" s="69"/>
      <c r="CZ106" s="69"/>
      <c r="DA106" s="69"/>
      <c r="DB106" s="69"/>
      <c r="DC106" s="69"/>
      <c r="DD106" s="69"/>
      <c r="DE106" s="69"/>
    </row>
    <row r="107" spans="1:109" s="70" customFormat="1" ht="24.75" customHeight="1" x14ac:dyDescent="0.2">
      <c r="A107" s="64"/>
      <c r="B107" s="345" t="s">
        <v>200</v>
      </c>
      <c r="C107" s="65" t="s">
        <v>73</v>
      </c>
      <c r="D107" s="486">
        <v>48</v>
      </c>
      <c r="E107" s="66">
        <v>48</v>
      </c>
      <c r="F107" s="66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339">
        <f t="shared" si="430"/>
        <v>48</v>
      </c>
      <c r="R107" s="375" t="s">
        <v>25</v>
      </c>
      <c r="S107" s="374">
        <v>3500</v>
      </c>
      <c r="T107" s="376">
        <v>2000</v>
      </c>
      <c r="U107" s="433"/>
      <c r="V107" s="434"/>
      <c r="W107" s="434"/>
      <c r="X107" s="434"/>
      <c r="Y107" s="322"/>
      <c r="Z107" s="322"/>
      <c r="AA107" s="322"/>
      <c r="AB107" s="322"/>
      <c r="AC107" s="322"/>
      <c r="AD107" s="322"/>
      <c r="AE107" s="322"/>
      <c r="AF107" s="51">
        <f t="shared" si="420"/>
        <v>168000</v>
      </c>
      <c r="AG107" s="323">
        <f>T107*E107</f>
        <v>96000</v>
      </c>
      <c r="AH107" s="323">
        <f t="shared" si="431"/>
        <v>0</v>
      </c>
      <c r="AI107" s="323">
        <f t="shared" si="432"/>
        <v>0</v>
      </c>
      <c r="AJ107" s="323">
        <f t="shared" si="433"/>
        <v>0</v>
      </c>
      <c r="AK107" s="323">
        <f t="shared" si="434"/>
        <v>0</v>
      </c>
      <c r="AL107" s="323">
        <f t="shared" si="435"/>
        <v>0</v>
      </c>
      <c r="AM107" s="323">
        <f t="shared" si="436"/>
        <v>0</v>
      </c>
      <c r="AN107" s="323">
        <f t="shared" si="437"/>
        <v>0</v>
      </c>
      <c r="AO107" s="323">
        <f t="shared" si="438"/>
        <v>0</v>
      </c>
      <c r="AP107" s="323">
        <f t="shared" si="439"/>
        <v>0</v>
      </c>
      <c r="AQ107" s="323">
        <f t="shared" si="440"/>
        <v>0</v>
      </c>
      <c r="AR107" s="323">
        <f t="shared" si="441"/>
        <v>0</v>
      </c>
      <c r="AS107" s="324">
        <f t="shared" si="450"/>
        <v>96000</v>
      </c>
      <c r="AT107" s="323">
        <f t="shared" si="443"/>
        <v>13440.000000000002</v>
      </c>
      <c r="AU107" s="323">
        <f t="shared" si="444"/>
        <v>0</v>
      </c>
      <c r="AV107" s="323">
        <f t="shared" si="445"/>
        <v>0</v>
      </c>
      <c r="AW107" s="323">
        <f t="shared" si="446"/>
        <v>0</v>
      </c>
      <c r="AX107" s="323"/>
      <c r="AY107" s="323"/>
      <c r="AZ107" s="323"/>
      <c r="BA107" s="323"/>
      <c r="BB107" s="323"/>
      <c r="BC107" s="323"/>
      <c r="BD107" s="323"/>
      <c r="BE107" s="323"/>
      <c r="BF107" s="55">
        <f t="shared" si="447"/>
        <v>13440.000000000002</v>
      </c>
      <c r="BG107" s="72">
        <f t="shared" si="406"/>
        <v>58560</v>
      </c>
      <c r="BH107" s="73">
        <f t="shared" si="423"/>
        <v>168000</v>
      </c>
      <c r="BI107" s="74">
        <f t="shared" si="424"/>
        <v>58560</v>
      </c>
      <c r="BJ107" s="99">
        <f t="shared" si="448"/>
        <v>1</v>
      </c>
      <c r="BK107" s="565"/>
      <c r="BL107" s="323">
        <f t="shared" si="408"/>
        <v>0</v>
      </c>
      <c r="BM107" s="323"/>
      <c r="BN107" s="323"/>
      <c r="BO107" s="561"/>
      <c r="BP107" s="323">
        <f t="shared" si="409"/>
        <v>0</v>
      </c>
      <c r="BQ107" s="323">
        <f t="shared" si="410"/>
        <v>0</v>
      </c>
      <c r="BR107" s="323">
        <f t="shared" si="411"/>
        <v>0</v>
      </c>
      <c r="BS107" s="323">
        <f t="shared" si="412"/>
        <v>0</v>
      </c>
      <c r="BT107" s="323"/>
      <c r="BU107" s="323"/>
      <c r="BV107" s="323"/>
      <c r="BW107" s="323"/>
      <c r="BX107" s="323"/>
      <c r="BY107" s="323"/>
      <c r="BZ107" s="323"/>
      <c r="CA107" s="323"/>
      <c r="CB107" s="55">
        <f t="shared" si="413"/>
        <v>0</v>
      </c>
      <c r="CC107" s="323">
        <f t="shared" si="414"/>
        <v>0</v>
      </c>
      <c r="CD107" s="323">
        <f t="shared" si="415"/>
        <v>0</v>
      </c>
      <c r="CE107" s="323">
        <f t="shared" si="416"/>
        <v>0</v>
      </c>
      <c r="CF107" s="323">
        <f t="shared" si="417"/>
        <v>0</v>
      </c>
      <c r="CG107" s="323"/>
      <c r="CH107" s="323"/>
      <c r="CI107" s="323"/>
      <c r="CJ107" s="323"/>
      <c r="CK107" s="323"/>
      <c r="CL107" s="323"/>
      <c r="CM107" s="323"/>
      <c r="CN107" s="323"/>
      <c r="CO107" s="55">
        <f t="shared" si="418"/>
        <v>0</v>
      </c>
      <c r="CP107" s="334"/>
      <c r="CQ107" s="334"/>
      <c r="CR107" s="334"/>
      <c r="CS107" s="334"/>
      <c r="CT107" s="360"/>
      <c r="CU107" s="349"/>
      <c r="CV107" s="361"/>
      <c r="CW107" s="69"/>
      <c r="CX107" s="69"/>
      <c r="CY107" s="69"/>
      <c r="CZ107" s="69"/>
      <c r="DA107" s="69"/>
      <c r="DB107" s="69"/>
      <c r="DC107" s="69"/>
      <c r="DD107" s="69"/>
      <c r="DE107" s="69"/>
    </row>
    <row r="108" spans="1:109" s="70" customFormat="1" ht="24.75" customHeight="1" x14ac:dyDescent="0.2">
      <c r="A108" s="64"/>
      <c r="B108" s="430" t="s">
        <v>201</v>
      </c>
      <c r="C108" s="65" t="s">
        <v>73</v>
      </c>
      <c r="D108" s="486">
        <v>5</v>
      </c>
      <c r="E108" s="66">
        <v>5</v>
      </c>
      <c r="F108" s="66"/>
      <c r="G108" s="428"/>
      <c r="H108" s="67"/>
      <c r="I108" s="67"/>
      <c r="J108" s="67"/>
      <c r="K108" s="67"/>
      <c r="L108" s="67"/>
      <c r="M108" s="67"/>
      <c r="N108" s="67"/>
      <c r="O108" s="67"/>
      <c r="P108" s="67"/>
      <c r="Q108" s="339">
        <f t="shared" ref="Q108:Q111" si="451">SUM(E108:P108)</f>
        <v>5</v>
      </c>
      <c r="R108" s="375" t="s">
        <v>163</v>
      </c>
      <c r="S108" s="374">
        <v>11500</v>
      </c>
      <c r="T108" s="321">
        <v>10000</v>
      </c>
      <c r="U108" s="433"/>
      <c r="V108" s="432"/>
      <c r="W108" s="432"/>
      <c r="X108" s="434"/>
      <c r="Y108" s="322"/>
      <c r="Z108" s="322"/>
      <c r="AA108" s="322"/>
      <c r="AB108" s="322"/>
      <c r="AC108" s="322"/>
      <c r="AD108" s="322"/>
      <c r="AE108" s="322"/>
      <c r="AF108" s="51">
        <f t="shared" si="420"/>
        <v>57500</v>
      </c>
      <c r="AG108" s="323">
        <f>T108*E108</f>
        <v>50000</v>
      </c>
      <c r="AH108" s="323">
        <f t="shared" ref="AH108:AH111" si="452">U108*F108</f>
        <v>0</v>
      </c>
      <c r="AI108" s="323">
        <f t="shared" ref="AI108:AI111" si="453">V108*G108</f>
        <v>0</v>
      </c>
      <c r="AJ108" s="323">
        <f t="shared" ref="AJ108:AJ111" si="454">W108*H108</f>
        <v>0</v>
      </c>
      <c r="AK108" s="323">
        <f t="shared" ref="AK108:AK111" si="455">X108*I108</f>
        <v>0</v>
      </c>
      <c r="AL108" s="323">
        <f t="shared" ref="AL108:AL111" si="456">Y108*J108</f>
        <v>0</v>
      </c>
      <c r="AM108" s="323">
        <f t="shared" ref="AM108:AM111" si="457">Z108*K108</f>
        <v>0</v>
      </c>
      <c r="AN108" s="323">
        <f t="shared" ref="AN108:AN111" si="458">AA108*L108</f>
        <v>0</v>
      </c>
      <c r="AO108" s="323">
        <f t="shared" ref="AO108:AO111" si="459">AB108*M108</f>
        <v>0</v>
      </c>
      <c r="AP108" s="323">
        <f t="shared" ref="AP108:AP111" si="460">AC108*N108</f>
        <v>0</v>
      </c>
      <c r="AQ108" s="323">
        <f t="shared" ref="AQ108:AQ111" si="461">AD108*O108</f>
        <v>0</v>
      </c>
      <c r="AR108" s="323">
        <f t="shared" ref="AR108:AR111" si="462">AE108*P108</f>
        <v>0</v>
      </c>
      <c r="AS108" s="324">
        <f>SUM(AG108:AR108)</f>
        <v>50000</v>
      </c>
      <c r="AT108" s="323">
        <f t="shared" ref="AT108:AT111" si="463">SUM(AG108*14%)</f>
        <v>7000.0000000000009</v>
      </c>
      <c r="AU108" s="323">
        <f t="shared" ref="AU108:AU111" si="464">SUM(AH108*14%)</f>
        <v>0</v>
      </c>
      <c r="AV108" s="323">
        <f t="shared" ref="AV108:AV111" si="465">SUM(AI108*14%)</f>
        <v>0</v>
      </c>
      <c r="AW108" s="323">
        <f t="shared" ref="AW108:AW111" si="466">SUM(AJ108*14%)</f>
        <v>0</v>
      </c>
      <c r="AX108" s="323"/>
      <c r="AY108" s="323"/>
      <c r="AZ108" s="323"/>
      <c r="BA108" s="323"/>
      <c r="BB108" s="323"/>
      <c r="BC108" s="323"/>
      <c r="BD108" s="323"/>
      <c r="BE108" s="323"/>
      <c r="BF108" s="55">
        <f t="shared" ref="BF108:BF111" si="467">SUM(AT108:BE108)</f>
        <v>7000.0000000000009</v>
      </c>
      <c r="BG108" s="72">
        <f t="shared" si="406"/>
        <v>499.99999999999909</v>
      </c>
      <c r="BH108" s="73">
        <f t="shared" si="423"/>
        <v>57500</v>
      </c>
      <c r="BI108" s="74">
        <f t="shared" si="424"/>
        <v>499.99999999999909</v>
      </c>
      <c r="BJ108" s="99">
        <f t="shared" ref="BJ108:BJ111" si="468">SUM(Q108/D108)</f>
        <v>1</v>
      </c>
      <c r="BK108" s="565"/>
      <c r="BL108" s="323">
        <f t="shared" si="408"/>
        <v>0</v>
      </c>
      <c r="BM108" s="323"/>
      <c r="BN108" s="323"/>
      <c r="BO108" s="561"/>
      <c r="BP108" s="323">
        <f t="shared" si="409"/>
        <v>0</v>
      </c>
      <c r="BQ108" s="323">
        <f t="shared" si="410"/>
        <v>0</v>
      </c>
      <c r="BR108" s="323">
        <f t="shared" si="411"/>
        <v>0</v>
      </c>
      <c r="BS108" s="323">
        <f t="shared" si="412"/>
        <v>0</v>
      </c>
      <c r="BT108" s="323"/>
      <c r="BU108" s="323"/>
      <c r="BV108" s="323"/>
      <c r="BW108" s="323"/>
      <c r="BX108" s="323"/>
      <c r="BY108" s="323"/>
      <c r="BZ108" s="323"/>
      <c r="CA108" s="323"/>
      <c r="CB108" s="55">
        <f t="shared" si="413"/>
        <v>0</v>
      </c>
      <c r="CC108" s="323">
        <f t="shared" si="414"/>
        <v>0</v>
      </c>
      <c r="CD108" s="323">
        <f t="shared" si="415"/>
        <v>0</v>
      </c>
      <c r="CE108" s="323">
        <f t="shared" si="416"/>
        <v>0</v>
      </c>
      <c r="CF108" s="323">
        <f t="shared" si="417"/>
        <v>0</v>
      </c>
      <c r="CG108" s="323"/>
      <c r="CH108" s="323"/>
      <c r="CI108" s="323"/>
      <c r="CJ108" s="323"/>
      <c r="CK108" s="323"/>
      <c r="CL108" s="323"/>
      <c r="CM108" s="323"/>
      <c r="CN108" s="323"/>
      <c r="CO108" s="55">
        <f t="shared" si="418"/>
        <v>0</v>
      </c>
      <c r="CP108" s="334"/>
      <c r="CQ108" s="334"/>
      <c r="CR108" s="334"/>
      <c r="CS108" s="334"/>
      <c r="CT108" s="360"/>
      <c r="CU108" s="349"/>
      <c r="CV108" s="361"/>
      <c r="CW108" s="69"/>
      <c r="CX108" s="69"/>
      <c r="CY108" s="69"/>
      <c r="CZ108" s="69"/>
      <c r="DA108" s="69"/>
      <c r="DB108" s="69"/>
      <c r="DC108" s="69"/>
      <c r="DD108" s="69"/>
      <c r="DE108" s="69"/>
    </row>
    <row r="109" spans="1:109" s="70" customFormat="1" ht="24.75" customHeight="1" x14ac:dyDescent="0.2">
      <c r="A109" s="64"/>
      <c r="B109" s="430" t="s">
        <v>207</v>
      </c>
      <c r="C109" s="65" t="s">
        <v>73</v>
      </c>
      <c r="D109" s="486">
        <v>5</v>
      </c>
      <c r="E109" s="66">
        <v>5</v>
      </c>
      <c r="F109" s="66"/>
      <c r="G109" s="428"/>
      <c r="H109" s="67"/>
      <c r="I109" s="67"/>
      <c r="J109" s="67"/>
      <c r="K109" s="67"/>
      <c r="L109" s="67"/>
      <c r="M109" s="67"/>
      <c r="N109" s="67"/>
      <c r="O109" s="67"/>
      <c r="P109" s="67"/>
      <c r="Q109" s="339">
        <f t="shared" si="451"/>
        <v>5</v>
      </c>
      <c r="R109" s="375"/>
      <c r="S109" s="374">
        <v>11500</v>
      </c>
      <c r="T109" s="321">
        <v>10000</v>
      </c>
      <c r="U109" s="433"/>
      <c r="V109" s="437"/>
      <c r="W109" s="437"/>
      <c r="X109" s="434"/>
      <c r="Y109" s="322"/>
      <c r="Z109" s="322"/>
      <c r="AA109" s="322"/>
      <c r="AB109" s="322"/>
      <c r="AC109" s="322"/>
      <c r="AD109" s="322"/>
      <c r="AE109" s="322"/>
      <c r="AF109" s="51">
        <f t="shared" si="420"/>
        <v>57500</v>
      </c>
      <c r="AG109" s="323">
        <f>T109*E109</f>
        <v>50000</v>
      </c>
      <c r="AH109" s="323"/>
      <c r="AI109" s="323"/>
      <c r="AJ109" s="323"/>
      <c r="AK109" s="323"/>
      <c r="AL109" s="323"/>
      <c r="AM109" s="323"/>
      <c r="AN109" s="323"/>
      <c r="AO109" s="323"/>
      <c r="AP109" s="323"/>
      <c r="AQ109" s="323"/>
      <c r="AR109" s="323"/>
      <c r="AS109" s="324">
        <f>SUM(AG109:AR109)</f>
        <v>50000</v>
      </c>
      <c r="AT109" s="323">
        <f t="shared" si="463"/>
        <v>7000.0000000000009</v>
      </c>
      <c r="AU109" s="323"/>
      <c r="AV109" s="323"/>
      <c r="AW109" s="323"/>
      <c r="AX109" s="323"/>
      <c r="AY109" s="323"/>
      <c r="AZ109" s="323"/>
      <c r="BA109" s="323"/>
      <c r="BB109" s="323"/>
      <c r="BC109" s="323"/>
      <c r="BD109" s="323"/>
      <c r="BE109" s="323"/>
      <c r="BF109" s="55">
        <f t="shared" si="467"/>
        <v>7000.0000000000009</v>
      </c>
      <c r="BG109" s="72">
        <f t="shared" si="406"/>
        <v>499.99999999999909</v>
      </c>
      <c r="BH109" s="73">
        <f t="shared" si="423"/>
        <v>57500</v>
      </c>
      <c r="BI109" s="74">
        <f t="shared" si="424"/>
        <v>499.99999999999909</v>
      </c>
      <c r="BJ109" s="99">
        <f t="shared" si="468"/>
        <v>1</v>
      </c>
      <c r="BK109" s="565"/>
      <c r="BL109" s="323"/>
      <c r="BM109" s="323"/>
      <c r="BN109" s="323"/>
      <c r="BO109" s="561"/>
      <c r="BP109" s="323">
        <f>SUM(AY109*14%)</f>
        <v>0</v>
      </c>
      <c r="BQ109" s="323"/>
      <c r="BR109" s="323"/>
      <c r="BS109" s="323"/>
      <c r="BT109" s="323"/>
      <c r="BU109" s="323"/>
      <c r="BV109" s="323"/>
      <c r="BW109" s="323"/>
      <c r="BX109" s="323"/>
      <c r="BY109" s="323"/>
      <c r="BZ109" s="323"/>
      <c r="CA109" s="323"/>
      <c r="CB109" s="55">
        <f t="shared" si="413"/>
        <v>0</v>
      </c>
      <c r="CC109" s="323">
        <f>SUM(BQ109*14%)</f>
        <v>0</v>
      </c>
      <c r="CD109" s="323"/>
      <c r="CE109" s="323"/>
      <c r="CF109" s="323"/>
      <c r="CG109" s="323"/>
      <c r="CH109" s="323"/>
      <c r="CI109" s="323"/>
      <c r="CJ109" s="323"/>
      <c r="CK109" s="323"/>
      <c r="CL109" s="323"/>
      <c r="CM109" s="323"/>
      <c r="CN109" s="323"/>
      <c r="CO109" s="55">
        <f t="shared" si="418"/>
        <v>0</v>
      </c>
      <c r="CP109" s="334"/>
      <c r="CQ109" s="334"/>
      <c r="CR109" s="334"/>
      <c r="CS109" s="334"/>
      <c r="CT109" s="360"/>
      <c r="CU109" s="349"/>
      <c r="CV109" s="361"/>
      <c r="CW109" s="69"/>
      <c r="CX109" s="69"/>
      <c r="CY109" s="69"/>
      <c r="CZ109" s="69"/>
      <c r="DA109" s="69"/>
      <c r="DB109" s="69"/>
      <c r="DC109" s="69"/>
      <c r="DD109" s="69"/>
      <c r="DE109" s="69"/>
    </row>
    <row r="110" spans="1:109" s="70" customFormat="1" ht="24.75" customHeight="1" x14ac:dyDescent="0.2">
      <c r="A110" s="64"/>
      <c r="B110" s="345" t="s">
        <v>202</v>
      </c>
      <c r="C110" s="65" t="s">
        <v>73</v>
      </c>
      <c r="D110" s="486">
        <v>1</v>
      </c>
      <c r="E110" s="66">
        <v>1</v>
      </c>
      <c r="F110" s="66"/>
      <c r="G110" s="428"/>
      <c r="H110" s="67"/>
      <c r="I110" s="67"/>
      <c r="J110" s="67"/>
      <c r="K110" s="67"/>
      <c r="L110" s="67"/>
      <c r="M110" s="67"/>
      <c r="N110" s="67"/>
      <c r="O110" s="67"/>
      <c r="P110" s="67"/>
      <c r="Q110" s="339">
        <f t="shared" si="451"/>
        <v>1</v>
      </c>
      <c r="R110" s="375" t="s">
        <v>164</v>
      </c>
      <c r="S110" s="374">
        <v>130000</v>
      </c>
      <c r="T110" s="325">
        <v>110000</v>
      </c>
      <c r="U110" s="433"/>
      <c r="V110" s="434"/>
      <c r="W110" s="434"/>
      <c r="X110" s="434"/>
      <c r="Y110" s="322"/>
      <c r="Z110" s="322"/>
      <c r="AA110" s="322"/>
      <c r="AB110" s="322"/>
      <c r="AC110" s="322"/>
      <c r="AD110" s="322"/>
      <c r="AE110" s="322"/>
      <c r="AF110" s="51">
        <f t="shared" si="420"/>
        <v>130000</v>
      </c>
      <c r="AG110" s="323">
        <f t="shared" ref="AG110:AG111" si="469">T110*E110</f>
        <v>110000</v>
      </c>
      <c r="AH110" s="323">
        <f t="shared" si="452"/>
        <v>0</v>
      </c>
      <c r="AI110" s="323">
        <f t="shared" si="453"/>
        <v>0</v>
      </c>
      <c r="AJ110" s="323">
        <f t="shared" si="454"/>
        <v>0</v>
      </c>
      <c r="AK110" s="323">
        <f t="shared" si="455"/>
        <v>0</v>
      </c>
      <c r="AL110" s="323">
        <f t="shared" si="456"/>
        <v>0</v>
      </c>
      <c r="AM110" s="323">
        <f t="shared" si="457"/>
        <v>0</v>
      </c>
      <c r="AN110" s="323">
        <f t="shared" si="458"/>
        <v>0</v>
      </c>
      <c r="AO110" s="323">
        <f t="shared" si="459"/>
        <v>0</v>
      </c>
      <c r="AP110" s="323">
        <f t="shared" si="460"/>
        <v>0</v>
      </c>
      <c r="AQ110" s="323">
        <f t="shared" si="461"/>
        <v>0</v>
      </c>
      <c r="AR110" s="323">
        <f t="shared" si="462"/>
        <v>0</v>
      </c>
      <c r="AS110" s="324">
        <f t="shared" ref="AS110:AS111" si="470">SUM(AG110:AR110)</f>
        <v>110000</v>
      </c>
      <c r="AT110" s="323">
        <f t="shared" si="463"/>
        <v>15400.000000000002</v>
      </c>
      <c r="AU110" s="323">
        <f t="shared" si="464"/>
        <v>0</v>
      </c>
      <c r="AV110" s="323">
        <f t="shared" si="465"/>
        <v>0</v>
      </c>
      <c r="AW110" s="323">
        <f t="shared" si="466"/>
        <v>0</v>
      </c>
      <c r="AX110" s="323"/>
      <c r="AY110" s="323"/>
      <c r="AZ110" s="323"/>
      <c r="BA110" s="323"/>
      <c r="BB110" s="323"/>
      <c r="BC110" s="323"/>
      <c r="BD110" s="323"/>
      <c r="BE110" s="323"/>
      <c r="BF110" s="55">
        <f t="shared" si="467"/>
        <v>15400.000000000002</v>
      </c>
      <c r="BG110" s="72">
        <f t="shared" si="406"/>
        <v>4599.9999999999982</v>
      </c>
      <c r="BH110" s="73">
        <f t="shared" si="423"/>
        <v>130000</v>
      </c>
      <c r="BI110" s="74">
        <f t="shared" si="424"/>
        <v>4599.9999999999982</v>
      </c>
      <c r="BJ110" s="99">
        <f t="shared" si="468"/>
        <v>1</v>
      </c>
      <c r="BK110" s="565"/>
      <c r="BL110" s="323">
        <f t="shared" ref="BL110:BL117" si="471">SUM(AO110*14%)</f>
        <v>0</v>
      </c>
      <c r="BM110" s="323"/>
      <c r="BN110" s="323"/>
      <c r="BO110" s="561"/>
      <c r="BP110" s="323">
        <f>SUM(AY110*14%)</f>
        <v>0</v>
      </c>
      <c r="BQ110" s="323">
        <f t="shared" ref="BQ110:BS117" si="472">SUM(AZ110*14%)</f>
        <v>0</v>
      </c>
      <c r="BR110" s="323">
        <f t="shared" si="472"/>
        <v>0</v>
      </c>
      <c r="BS110" s="323">
        <f t="shared" si="472"/>
        <v>0</v>
      </c>
      <c r="BT110" s="323"/>
      <c r="BU110" s="323"/>
      <c r="BV110" s="323"/>
      <c r="BW110" s="323"/>
      <c r="BX110" s="323"/>
      <c r="BY110" s="323"/>
      <c r="BZ110" s="323"/>
      <c r="CA110" s="323"/>
      <c r="CB110" s="55">
        <f t="shared" si="413"/>
        <v>0</v>
      </c>
      <c r="CC110" s="323">
        <f>SUM(BQ110*14%)</f>
        <v>0</v>
      </c>
      <c r="CD110" s="323">
        <f t="shared" ref="CD110:CF117" si="473">SUM(BR110*14%)</f>
        <v>0</v>
      </c>
      <c r="CE110" s="323">
        <f t="shared" si="473"/>
        <v>0</v>
      </c>
      <c r="CF110" s="323">
        <f t="shared" si="473"/>
        <v>0</v>
      </c>
      <c r="CG110" s="323"/>
      <c r="CH110" s="323"/>
      <c r="CI110" s="323"/>
      <c r="CJ110" s="323"/>
      <c r="CK110" s="323"/>
      <c r="CL110" s="323"/>
      <c r="CM110" s="323"/>
      <c r="CN110" s="323"/>
      <c r="CO110" s="55">
        <f t="shared" si="418"/>
        <v>0</v>
      </c>
      <c r="CP110" s="334"/>
      <c r="CQ110" s="334"/>
      <c r="CR110" s="334"/>
      <c r="CS110" s="334"/>
      <c r="CT110" s="360"/>
      <c r="CU110" s="349"/>
      <c r="CV110" s="361"/>
      <c r="CW110" s="69"/>
      <c r="CX110" s="69"/>
      <c r="CY110" s="69"/>
      <c r="CZ110" s="69"/>
      <c r="DA110" s="69"/>
      <c r="DB110" s="69"/>
      <c r="DC110" s="69"/>
      <c r="DD110" s="69"/>
      <c r="DE110" s="69"/>
    </row>
    <row r="111" spans="1:109" s="70" customFormat="1" ht="24.75" customHeight="1" x14ac:dyDescent="0.2">
      <c r="A111" s="64"/>
      <c r="B111" s="345" t="s">
        <v>203</v>
      </c>
      <c r="C111" s="65" t="s">
        <v>73</v>
      </c>
      <c r="D111" s="486">
        <v>3</v>
      </c>
      <c r="E111" s="66">
        <v>3</v>
      </c>
      <c r="F111" s="66"/>
      <c r="G111" s="431"/>
      <c r="H111" s="67"/>
      <c r="I111" s="67"/>
      <c r="J111" s="67"/>
      <c r="K111" s="67"/>
      <c r="L111" s="67"/>
      <c r="M111" s="67"/>
      <c r="N111" s="67"/>
      <c r="O111" s="67"/>
      <c r="P111" s="67"/>
      <c r="Q111" s="421">
        <f t="shared" si="451"/>
        <v>3</v>
      </c>
      <c r="R111" s="375" t="s">
        <v>164</v>
      </c>
      <c r="S111" s="374">
        <v>9400</v>
      </c>
      <c r="T111" s="325">
        <v>8000</v>
      </c>
      <c r="U111" s="433"/>
      <c r="V111" s="434"/>
      <c r="W111" s="434"/>
      <c r="X111" s="434"/>
      <c r="Y111" s="322"/>
      <c r="Z111" s="322"/>
      <c r="AA111" s="322"/>
      <c r="AB111" s="322"/>
      <c r="AC111" s="322"/>
      <c r="AD111" s="322"/>
      <c r="AE111" s="322"/>
      <c r="AF111" s="51">
        <f t="shared" si="420"/>
        <v>28200</v>
      </c>
      <c r="AG111" s="323">
        <f t="shared" si="469"/>
        <v>24000</v>
      </c>
      <c r="AH111" s="323">
        <f t="shared" si="452"/>
        <v>0</v>
      </c>
      <c r="AI111" s="323">
        <f t="shared" si="453"/>
        <v>0</v>
      </c>
      <c r="AJ111" s="323">
        <f t="shared" si="454"/>
        <v>0</v>
      </c>
      <c r="AK111" s="323">
        <f t="shared" si="455"/>
        <v>0</v>
      </c>
      <c r="AL111" s="323">
        <f t="shared" si="456"/>
        <v>0</v>
      </c>
      <c r="AM111" s="323">
        <f t="shared" si="457"/>
        <v>0</v>
      </c>
      <c r="AN111" s="323">
        <f t="shared" si="458"/>
        <v>0</v>
      </c>
      <c r="AO111" s="323">
        <f t="shared" si="459"/>
        <v>0</v>
      </c>
      <c r="AP111" s="323">
        <f t="shared" si="460"/>
        <v>0</v>
      </c>
      <c r="AQ111" s="323">
        <f t="shared" si="461"/>
        <v>0</v>
      </c>
      <c r="AR111" s="323">
        <f t="shared" si="462"/>
        <v>0</v>
      </c>
      <c r="AS111" s="324">
        <f t="shared" si="470"/>
        <v>24000</v>
      </c>
      <c r="AT111" s="323">
        <f t="shared" si="463"/>
        <v>3360.0000000000005</v>
      </c>
      <c r="AU111" s="323">
        <f t="shared" si="464"/>
        <v>0</v>
      </c>
      <c r="AV111" s="323">
        <f t="shared" si="465"/>
        <v>0</v>
      </c>
      <c r="AW111" s="323">
        <f t="shared" si="466"/>
        <v>0</v>
      </c>
      <c r="AX111" s="323"/>
      <c r="AY111" s="323"/>
      <c r="AZ111" s="323"/>
      <c r="BA111" s="323"/>
      <c r="BB111" s="323"/>
      <c r="BC111" s="323"/>
      <c r="BD111" s="323"/>
      <c r="BE111" s="323"/>
      <c r="BF111" s="55">
        <f t="shared" si="467"/>
        <v>3360.0000000000005</v>
      </c>
      <c r="BG111" s="72">
        <f t="shared" si="406"/>
        <v>839.99999999999955</v>
      </c>
      <c r="BH111" s="73">
        <f t="shared" si="423"/>
        <v>28200</v>
      </c>
      <c r="BI111" s="74">
        <f t="shared" si="424"/>
        <v>839.99999999999955</v>
      </c>
      <c r="BJ111" s="99">
        <f t="shared" si="468"/>
        <v>1</v>
      </c>
      <c r="BK111" s="565"/>
      <c r="BL111" s="323">
        <f t="shared" si="471"/>
        <v>0</v>
      </c>
      <c r="BM111" s="323"/>
      <c r="BN111" s="323"/>
      <c r="BO111" s="561"/>
      <c r="BP111" s="323">
        <f>SUM(AY111*14%)</f>
        <v>0</v>
      </c>
      <c r="BQ111" s="323">
        <f t="shared" si="472"/>
        <v>0</v>
      </c>
      <c r="BR111" s="323">
        <f t="shared" si="472"/>
        <v>0</v>
      </c>
      <c r="BS111" s="323">
        <f t="shared" si="472"/>
        <v>0</v>
      </c>
      <c r="BT111" s="323"/>
      <c r="BU111" s="323"/>
      <c r="BV111" s="323"/>
      <c r="BW111" s="323"/>
      <c r="BX111" s="323"/>
      <c r="BY111" s="323"/>
      <c r="BZ111" s="323"/>
      <c r="CA111" s="323"/>
      <c r="CB111" s="55">
        <f t="shared" si="413"/>
        <v>0</v>
      </c>
      <c r="CC111" s="323">
        <f>SUM(BQ111*14%)</f>
        <v>0</v>
      </c>
      <c r="CD111" s="323">
        <f t="shared" si="473"/>
        <v>0</v>
      </c>
      <c r="CE111" s="323">
        <f t="shared" si="473"/>
        <v>0</v>
      </c>
      <c r="CF111" s="323">
        <f t="shared" si="473"/>
        <v>0</v>
      </c>
      <c r="CG111" s="323"/>
      <c r="CH111" s="323"/>
      <c r="CI111" s="323"/>
      <c r="CJ111" s="323"/>
      <c r="CK111" s="323"/>
      <c r="CL111" s="323"/>
      <c r="CM111" s="323"/>
      <c r="CN111" s="323"/>
      <c r="CO111" s="55">
        <f t="shared" si="418"/>
        <v>0</v>
      </c>
      <c r="CP111" s="334"/>
      <c r="CQ111" s="334"/>
      <c r="CR111" s="334"/>
      <c r="CS111" s="334"/>
      <c r="CT111" s="360"/>
      <c r="CU111" s="349"/>
      <c r="CV111" s="361"/>
      <c r="CW111" s="69"/>
      <c r="CX111" s="69"/>
      <c r="CY111" s="69"/>
      <c r="CZ111" s="69"/>
      <c r="DA111" s="69"/>
      <c r="DB111" s="69"/>
      <c r="DC111" s="69"/>
      <c r="DD111" s="69"/>
      <c r="DE111" s="69"/>
    </row>
    <row r="112" spans="1:109" s="70" customFormat="1" ht="24.75" customHeight="1" x14ac:dyDescent="0.2">
      <c r="A112" s="64"/>
      <c r="B112" s="345" t="s">
        <v>204</v>
      </c>
      <c r="C112" s="65" t="s">
        <v>73</v>
      </c>
      <c r="D112" s="486">
        <v>1</v>
      </c>
      <c r="E112" s="66">
        <v>1</v>
      </c>
      <c r="F112" s="66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339">
        <f t="shared" si="430"/>
        <v>1</v>
      </c>
      <c r="R112" s="375" t="s">
        <v>164</v>
      </c>
      <c r="S112" s="374">
        <v>16300</v>
      </c>
      <c r="T112" s="374">
        <v>13000</v>
      </c>
      <c r="U112" s="433"/>
      <c r="V112" s="434"/>
      <c r="W112" s="434"/>
      <c r="X112" s="434"/>
      <c r="Y112" s="322"/>
      <c r="Z112" s="322"/>
      <c r="AA112" s="322"/>
      <c r="AB112" s="322"/>
      <c r="AC112" s="322"/>
      <c r="AD112" s="322"/>
      <c r="AE112" s="322"/>
      <c r="AF112" s="51">
        <f t="shared" si="420"/>
        <v>16300</v>
      </c>
      <c r="AG112" s="323">
        <f t="shared" si="449"/>
        <v>13000</v>
      </c>
      <c r="AH112" s="323">
        <f t="shared" si="431"/>
        <v>0</v>
      </c>
      <c r="AI112" s="323">
        <f t="shared" si="432"/>
        <v>0</v>
      </c>
      <c r="AJ112" s="323">
        <f t="shared" si="433"/>
        <v>0</v>
      </c>
      <c r="AK112" s="323">
        <f t="shared" si="434"/>
        <v>0</v>
      </c>
      <c r="AL112" s="323">
        <f t="shared" si="435"/>
        <v>0</v>
      </c>
      <c r="AM112" s="323">
        <f t="shared" si="436"/>
        <v>0</v>
      </c>
      <c r="AN112" s="323">
        <f t="shared" si="437"/>
        <v>0</v>
      </c>
      <c r="AO112" s="323">
        <f t="shared" si="438"/>
        <v>0</v>
      </c>
      <c r="AP112" s="323">
        <f t="shared" si="439"/>
        <v>0</v>
      </c>
      <c r="AQ112" s="323">
        <f t="shared" si="440"/>
        <v>0</v>
      </c>
      <c r="AR112" s="323">
        <f t="shared" si="441"/>
        <v>0</v>
      </c>
      <c r="AS112" s="324">
        <f t="shared" si="450"/>
        <v>13000</v>
      </c>
      <c r="AT112" s="323">
        <f t="shared" si="443"/>
        <v>1820.0000000000002</v>
      </c>
      <c r="AU112" s="323">
        <f t="shared" si="444"/>
        <v>0</v>
      </c>
      <c r="AV112" s="323">
        <f t="shared" si="445"/>
        <v>0</v>
      </c>
      <c r="AW112" s="323">
        <f t="shared" si="446"/>
        <v>0</v>
      </c>
      <c r="AX112" s="323"/>
      <c r="AY112" s="323"/>
      <c r="AZ112" s="323"/>
      <c r="BA112" s="323"/>
      <c r="BB112" s="323"/>
      <c r="BC112" s="323"/>
      <c r="BD112" s="323"/>
      <c r="BE112" s="323"/>
      <c r="BF112" s="55">
        <f t="shared" si="447"/>
        <v>1820.0000000000002</v>
      </c>
      <c r="BG112" s="72">
        <f t="shared" si="406"/>
        <v>1479.9999999999998</v>
      </c>
      <c r="BH112" s="73">
        <f t="shared" si="423"/>
        <v>16300</v>
      </c>
      <c r="BI112" s="74">
        <f t="shared" si="424"/>
        <v>1479.9999999999998</v>
      </c>
      <c r="BJ112" s="99">
        <f t="shared" si="448"/>
        <v>1</v>
      </c>
      <c r="BK112" s="565"/>
      <c r="BL112" s="323">
        <f t="shared" si="471"/>
        <v>0</v>
      </c>
      <c r="BM112" s="323"/>
      <c r="BN112" s="323"/>
      <c r="BO112" s="561"/>
      <c r="BP112" s="323">
        <f>SUM(AY112*14%)</f>
        <v>0</v>
      </c>
      <c r="BQ112" s="323">
        <f t="shared" si="472"/>
        <v>0</v>
      </c>
      <c r="BR112" s="323">
        <f t="shared" si="472"/>
        <v>0</v>
      </c>
      <c r="BS112" s="323">
        <f t="shared" si="472"/>
        <v>0</v>
      </c>
      <c r="BT112" s="323"/>
      <c r="BU112" s="323"/>
      <c r="BV112" s="323"/>
      <c r="BW112" s="323"/>
      <c r="BX112" s="323"/>
      <c r="BY112" s="323"/>
      <c r="BZ112" s="323"/>
      <c r="CA112" s="323"/>
      <c r="CB112" s="55">
        <f t="shared" si="413"/>
        <v>0</v>
      </c>
      <c r="CC112" s="323">
        <f>SUM(BQ112*14%)</f>
        <v>0</v>
      </c>
      <c r="CD112" s="323">
        <f t="shared" si="473"/>
        <v>0</v>
      </c>
      <c r="CE112" s="323">
        <f t="shared" si="473"/>
        <v>0</v>
      </c>
      <c r="CF112" s="323">
        <f t="shared" si="473"/>
        <v>0</v>
      </c>
      <c r="CG112" s="323"/>
      <c r="CH112" s="323"/>
      <c r="CI112" s="323"/>
      <c r="CJ112" s="323"/>
      <c r="CK112" s="323"/>
      <c r="CL112" s="323"/>
      <c r="CM112" s="323"/>
      <c r="CN112" s="323"/>
      <c r="CO112" s="55">
        <f t="shared" si="418"/>
        <v>0</v>
      </c>
      <c r="CP112" s="334"/>
      <c r="CQ112" s="334"/>
      <c r="CR112" s="334"/>
      <c r="CS112" s="334"/>
      <c r="CT112" s="360"/>
      <c r="CU112" s="349"/>
      <c r="CV112" s="361"/>
      <c r="CW112" s="69"/>
      <c r="CX112" s="69"/>
      <c r="CY112" s="69"/>
      <c r="CZ112" s="69"/>
      <c r="DA112" s="69"/>
      <c r="DB112" s="69"/>
      <c r="DC112" s="69"/>
      <c r="DD112" s="69"/>
      <c r="DE112" s="69"/>
    </row>
    <row r="113" spans="1:110" s="70" customFormat="1" ht="24.75" customHeight="1" x14ac:dyDescent="0.2">
      <c r="A113" s="64"/>
      <c r="B113" s="345" t="s">
        <v>183</v>
      </c>
      <c r="C113" s="65" t="s">
        <v>73</v>
      </c>
      <c r="D113" s="486">
        <v>15</v>
      </c>
      <c r="E113" s="66">
        <v>15</v>
      </c>
      <c r="F113" s="66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339">
        <f t="shared" si="430"/>
        <v>15</v>
      </c>
      <c r="R113" s="375" t="s">
        <v>1</v>
      </c>
      <c r="S113" s="374">
        <v>5000</v>
      </c>
      <c r="T113" s="374">
        <v>3000</v>
      </c>
      <c r="U113" s="433"/>
      <c r="V113" s="434"/>
      <c r="W113" s="434"/>
      <c r="X113" s="434"/>
      <c r="Y113" s="322"/>
      <c r="Z113" s="322"/>
      <c r="AA113" s="322"/>
      <c r="AB113" s="322"/>
      <c r="AC113" s="322"/>
      <c r="AD113" s="322"/>
      <c r="AE113" s="322"/>
      <c r="AF113" s="51">
        <f t="shared" si="420"/>
        <v>75000</v>
      </c>
      <c r="AG113" s="323">
        <f t="shared" si="449"/>
        <v>45000</v>
      </c>
      <c r="AH113" s="323">
        <f t="shared" si="431"/>
        <v>0</v>
      </c>
      <c r="AI113" s="323">
        <f t="shared" si="432"/>
        <v>0</v>
      </c>
      <c r="AJ113" s="323">
        <f t="shared" si="433"/>
        <v>0</v>
      </c>
      <c r="AK113" s="323">
        <f t="shared" si="434"/>
        <v>0</v>
      </c>
      <c r="AL113" s="323">
        <f t="shared" si="435"/>
        <v>0</v>
      </c>
      <c r="AM113" s="323">
        <f t="shared" si="436"/>
        <v>0</v>
      </c>
      <c r="AN113" s="323">
        <f t="shared" si="437"/>
        <v>0</v>
      </c>
      <c r="AO113" s="323">
        <f t="shared" si="438"/>
        <v>0</v>
      </c>
      <c r="AP113" s="323">
        <f t="shared" si="439"/>
        <v>0</v>
      </c>
      <c r="AQ113" s="323">
        <f t="shared" si="440"/>
        <v>0</v>
      </c>
      <c r="AR113" s="323">
        <f t="shared" si="441"/>
        <v>0</v>
      </c>
      <c r="AS113" s="324">
        <f t="shared" si="450"/>
        <v>45000</v>
      </c>
      <c r="AT113" s="323">
        <v>2700</v>
      </c>
      <c r="AU113" s="323">
        <f t="shared" si="444"/>
        <v>0</v>
      </c>
      <c r="AV113" s="323">
        <f t="shared" si="445"/>
        <v>0</v>
      </c>
      <c r="AW113" s="323">
        <f t="shared" si="446"/>
        <v>0</v>
      </c>
      <c r="AX113" s="323"/>
      <c r="AY113" s="323"/>
      <c r="AZ113" s="323"/>
      <c r="BA113" s="323"/>
      <c r="BB113" s="323"/>
      <c r="BC113" s="323"/>
      <c r="BD113" s="323"/>
      <c r="BE113" s="323"/>
      <c r="BF113" s="55">
        <f t="shared" si="447"/>
        <v>2700</v>
      </c>
      <c r="BG113" s="72">
        <f t="shared" si="406"/>
        <v>27300</v>
      </c>
      <c r="BH113" s="73">
        <f t="shared" si="423"/>
        <v>75000</v>
      </c>
      <c r="BI113" s="74">
        <f t="shared" si="424"/>
        <v>27300</v>
      </c>
      <c r="BJ113" s="99">
        <f t="shared" si="448"/>
        <v>1</v>
      </c>
      <c r="BK113" s="565"/>
      <c r="BL113" s="323">
        <f t="shared" si="471"/>
        <v>0</v>
      </c>
      <c r="BM113" s="323"/>
      <c r="BN113" s="323"/>
      <c r="BO113" s="561"/>
      <c r="BP113" s="323">
        <v>2700</v>
      </c>
      <c r="BQ113" s="323">
        <f t="shared" si="472"/>
        <v>0</v>
      </c>
      <c r="BR113" s="323">
        <f t="shared" si="472"/>
        <v>0</v>
      </c>
      <c r="BS113" s="323">
        <f t="shared" si="472"/>
        <v>0</v>
      </c>
      <c r="BT113" s="323"/>
      <c r="BU113" s="323"/>
      <c r="BV113" s="323"/>
      <c r="BW113" s="323"/>
      <c r="BX113" s="323"/>
      <c r="BY113" s="323"/>
      <c r="BZ113" s="323"/>
      <c r="CA113" s="323"/>
      <c r="CB113" s="55">
        <f t="shared" si="413"/>
        <v>2700</v>
      </c>
      <c r="CC113" s="323">
        <v>2700</v>
      </c>
      <c r="CD113" s="323">
        <f t="shared" si="473"/>
        <v>0</v>
      </c>
      <c r="CE113" s="323">
        <f t="shared" si="473"/>
        <v>0</v>
      </c>
      <c r="CF113" s="323">
        <f t="shared" si="473"/>
        <v>0</v>
      </c>
      <c r="CG113" s="323"/>
      <c r="CH113" s="323"/>
      <c r="CI113" s="323"/>
      <c r="CJ113" s="323"/>
      <c r="CK113" s="323"/>
      <c r="CL113" s="323"/>
      <c r="CM113" s="323"/>
      <c r="CN113" s="323"/>
      <c r="CO113" s="55">
        <f t="shared" si="418"/>
        <v>2700</v>
      </c>
      <c r="CP113" s="334"/>
      <c r="CQ113" s="334"/>
      <c r="CR113" s="334"/>
      <c r="CS113" s="334"/>
      <c r="CT113" s="360"/>
      <c r="CU113" s="349"/>
      <c r="CV113" s="361"/>
      <c r="CW113" s="69"/>
      <c r="CX113" s="69"/>
      <c r="CY113" s="69"/>
      <c r="CZ113" s="69"/>
      <c r="DA113" s="69"/>
      <c r="DB113" s="69"/>
      <c r="DC113" s="69"/>
      <c r="DD113" s="69"/>
      <c r="DE113" s="69"/>
    </row>
    <row r="114" spans="1:110" s="70" customFormat="1" ht="24.75" customHeight="1" x14ac:dyDescent="0.2">
      <c r="A114" s="64"/>
      <c r="B114" s="345" t="s">
        <v>205</v>
      </c>
      <c r="C114" s="65" t="s">
        <v>73</v>
      </c>
      <c r="D114" s="486">
        <v>20</v>
      </c>
      <c r="E114" s="66">
        <v>20</v>
      </c>
      <c r="F114" s="66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339">
        <f t="shared" si="430"/>
        <v>20</v>
      </c>
      <c r="R114" s="375" t="s">
        <v>25</v>
      </c>
      <c r="S114" s="374">
        <v>28500</v>
      </c>
      <c r="T114" s="376">
        <v>25000</v>
      </c>
      <c r="U114" s="433"/>
      <c r="V114" s="434"/>
      <c r="W114" s="434"/>
      <c r="X114" s="434"/>
      <c r="Y114" s="322"/>
      <c r="Z114" s="322"/>
      <c r="AA114" s="322"/>
      <c r="AB114" s="322"/>
      <c r="AC114" s="322"/>
      <c r="AD114" s="322"/>
      <c r="AE114" s="322"/>
      <c r="AF114" s="51">
        <f t="shared" si="420"/>
        <v>570000</v>
      </c>
      <c r="AG114" s="323">
        <f>T114*E114</f>
        <v>500000</v>
      </c>
      <c r="AH114" s="323">
        <f t="shared" si="431"/>
        <v>0</v>
      </c>
      <c r="AI114" s="323">
        <f t="shared" si="432"/>
        <v>0</v>
      </c>
      <c r="AJ114" s="323">
        <f t="shared" si="433"/>
        <v>0</v>
      </c>
      <c r="AK114" s="323">
        <f t="shared" si="434"/>
        <v>0</v>
      </c>
      <c r="AL114" s="323">
        <f t="shared" si="435"/>
        <v>0</v>
      </c>
      <c r="AM114" s="323">
        <f t="shared" si="436"/>
        <v>0</v>
      </c>
      <c r="AN114" s="323">
        <f t="shared" si="437"/>
        <v>0</v>
      </c>
      <c r="AO114" s="323">
        <f t="shared" si="438"/>
        <v>0</v>
      </c>
      <c r="AP114" s="323">
        <f t="shared" si="439"/>
        <v>0</v>
      </c>
      <c r="AQ114" s="323">
        <f t="shared" si="440"/>
        <v>0</v>
      </c>
      <c r="AR114" s="323">
        <f t="shared" si="441"/>
        <v>0</v>
      </c>
      <c r="AS114" s="324">
        <f t="shared" si="450"/>
        <v>500000</v>
      </c>
      <c r="AT114" s="323">
        <f>SUM(AG114*4%)</f>
        <v>20000</v>
      </c>
      <c r="AU114" s="323">
        <f t="shared" si="444"/>
        <v>0</v>
      </c>
      <c r="AV114" s="323">
        <f t="shared" si="445"/>
        <v>0</v>
      </c>
      <c r="AW114" s="323">
        <f t="shared" si="446"/>
        <v>0</v>
      </c>
      <c r="AX114" s="323"/>
      <c r="AY114" s="323"/>
      <c r="AZ114" s="323"/>
      <c r="BA114" s="323"/>
      <c r="BB114" s="323"/>
      <c r="BC114" s="323"/>
      <c r="BD114" s="323"/>
      <c r="BE114" s="323"/>
      <c r="BF114" s="55">
        <f t="shared" si="447"/>
        <v>20000</v>
      </c>
      <c r="BG114" s="72">
        <f t="shared" si="406"/>
        <v>50000</v>
      </c>
      <c r="BH114" s="73">
        <f t="shared" si="423"/>
        <v>570000</v>
      </c>
      <c r="BI114" s="74">
        <f t="shared" si="424"/>
        <v>50000</v>
      </c>
      <c r="BJ114" s="99">
        <f t="shared" si="448"/>
        <v>1</v>
      </c>
      <c r="BK114" s="565"/>
      <c r="BL114" s="323">
        <f t="shared" si="471"/>
        <v>0</v>
      </c>
      <c r="BM114" s="323"/>
      <c r="BN114" s="323"/>
      <c r="BO114" s="561"/>
      <c r="BP114" s="323">
        <f>SUM(AY114*4%)</f>
        <v>0</v>
      </c>
      <c r="BQ114" s="323">
        <f t="shared" si="472"/>
        <v>0</v>
      </c>
      <c r="BR114" s="323">
        <f t="shared" si="472"/>
        <v>0</v>
      </c>
      <c r="BS114" s="323">
        <f t="shared" si="472"/>
        <v>0</v>
      </c>
      <c r="BT114" s="323"/>
      <c r="BU114" s="323"/>
      <c r="BV114" s="323"/>
      <c r="BW114" s="323"/>
      <c r="BX114" s="323"/>
      <c r="BY114" s="323"/>
      <c r="BZ114" s="323"/>
      <c r="CA114" s="323"/>
      <c r="CB114" s="55">
        <f t="shared" si="413"/>
        <v>0</v>
      </c>
      <c r="CC114" s="323">
        <f>SUM(BQ114*4%)</f>
        <v>0</v>
      </c>
      <c r="CD114" s="323">
        <f t="shared" si="473"/>
        <v>0</v>
      </c>
      <c r="CE114" s="323">
        <f t="shared" si="473"/>
        <v>0</v>
      </c>
      <c r="CF114" s="323">
        <f t="shared" si="473"/>
        <v>0</v>
      </c>
      <c r="CG114" s="323"/>
      <c r="CH114" s="323"/>
      <c r="CI114" s="323"/>
      <c r="CJ114" s="323"/>
      <c r="CK114" s="323"/>
      <c r="CL114" s="323"/>
      <c r="CM114" s="323"/>
      <c r="CN114" s="323"/>
      <c r="CO114" s="55">
        <f t="shared" si="418"/>
        <v>0</v>
      </c>
      <c r="CP114" s="334"/>
      <c r="CQ114" s="334"/>
      <c r="CR114" s="334"/>
      <c r="CS114" s="334"/>
      <c r="CT114" s="360"/>
      <c r="CU114" s="349"/>
      <c r="CV114" s="361"/>
      <c r="CW114" s="69"/>
      <c r="CX114" s="69"/>
      <c r="CY114" s="69"/>
      <c r="CZ114" s="69"/>
      <c r="DA114" s="69"/>
      <c r="DB114" s="69"/>
      <c r="DC114" s="69"/>
      <c r="DD114" s="69"/>
      <c r="DE114" s="69"/>
    </row>
    <row r="115" spans="1:110" s="70" customFormat="1" ht="24.75" customHeight="1" x14ac:dyDescent="0.2">
      <c r="A115" s="64"/>
      <c r="B115" s="345" t="s">
        <v>206</v>
      </c>
      <c r="C115" s="65" t="s">
        <v>73</v>
      </c>
      <c r="D115" s="486">
        <v>150</v>
      </c>
      <c r="E115" s="66">
        <v>150</v>
      </c>
      <c r="F115" s="66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339">
        <f t="shared" si="419"/>
        <v>150</v>
      </c>
      <c r="R115" s="375" t="s">
        <v>15</v>
      </c>
      <c r="S115" s="374">
        <v>10300</v>
      </c>
      <c r="T115" s="376">
        <v>9000</v>
      </c>
      <c r="U115" s="433"/>
      <c r="V115" s="434"/>
      <c r="W115" s="434"/>
      <c r="X115" s="434"/>
      <c r="Y115" s="322"/>
      <c r="Z115" s="322"/>
      <c r="AA115" s="322"/>
      <c r="AB115" s="322"/>
      <c r="AC115" s="322"/>
      <c r="AD115" s="322"/>
      <c r="AE115" s="322"/>
      <c r="AF115" s="51">
        <f t="shared" si="420"/>
        <v>1545000</v>
      </c>
      <c r="AG115" s="323">
        <f>T115*E115</f>
        <v>1350000</v>
      </c>
      <c r="AH115" s="323">
        <f t="shared" si="390"/>
        <v>0</v>
      </c>
      <c r="AI115" s="323">
        <f t="shared" si="391"/>
        <v>0</v>
      </c>
      <c r="AJ115" s="323">
        <f t="shared" si="392"/>
        <v>0</v>
      </c>
      <c r="AK115" s="323">
        <f t="shared" si="393"/>
        <v>0</v>
      </c>
      <c r="AL115" s="323">
        <f t="shared" si="394"/>
        <v>0</v>
      </c>
      <c r="AM115" s="323">
        <f t="shared" si="395"/>
        <v>0</v>
      </c>
      <c r="AN115" s="323">
        <f t="shared" si="396"/>
        <v>0</v>
      </c>
      <c r="AO115" s="323">
        <f t="shared" si="397"/>
        <v>0</v>
      </c>
      <c r="AP115" s="323">
        <f t="shared" si="398"/>
        <v>0</v>
      </c>
      <c r="AQ115" s="323">
        <f t="shared" si="399"/>
        <v>0</v>
      </c>
      <c r="AR115" s="323">
        <f t="shared" si="400"/>
        <v>0</v>
      </c>
      <c r="AS115" s="324">
        <f t="shared" si="429"/>
        <v>1350000</v>
      </c>
      <c r="AT115" s="323">
        <f>SUM(AG115*4%)</f>
        <v>54000</v>
      </c>
      <c r="AU115" s="323">
        <f t="shared" si="402"/>
        <v>0</v>
      </c>
      <c r="AV115" s="323">
        <f t="shared" si="403"/>
        <v>0</v>
      </c>
      <c r="AW115" s="323">
        <f t="shared" si="404"/>
        <v>0</v>
      </c>
      <c r="AX115" s="323"/>
      <c r="AY115" s="323"/>
      <c r="AZ115" s="323"/>
      <c r="BA115" s="323"/>
      <c r="BB115" s="323"/>
      <c r="BC115" s="323"/>
      <c r="BD115" s="323"/>
      <c r="BE115" s="323"/>
      <c r="BF115" s="55">
        <f t="shared" si="405"/>
        <v>54000</v>
      </c>
      <c r="BG115" s="72">
        <f t="shared" si="406"/>
        <v>141000</v>
      </c>
      <c r="BH115" s="73">
        <f t="shared" si="423"/>
        <v>1545000</v>
      </c>
      <c r="BI115" s="74">
        <f t="shared" si="424"/>
        <v>141000</v>
      </c>
      <c r="BJ115" s="99">
        <f t="shared" si="407"/>
        <v>1</v>
      </c>
      <c r="BK115" s="565"/>
      <c r="BL115" s="323">
        <f t="shared" si="471"/>
        <v>0</v>
      </c>
      <c r="BM115" s="323"/>
      <c r="BN115" s="323"/>
      <c r="BO115" s="561"/>
      <c r="BP115" s="323">
        <f>SUM(AY115*4%)</f>
        <v>0</v>
      </c>
      <c r="BQ115" s="323">
        <f t="shared" si="472"/>
        <v>0</v>
      </c>
      <c r="BR115" s="323">
        <f t="shared" si="472"/>
        <v>0</v>
      </c>
      <c r="BS115" s="323">
        <f t="shared" si="472"/>
        <v>0</v>
      </c>
      <c r="BT115" s="323"/>
      <c r="BU115" s="323"/>
      <c r="BV115" s="323"/>
      <c r="BW115" s="323"/>
      <c r="BX115" s="323"/>
      <c r="BY115" s="323"/>
      <c r="BZ115" s="323"/>
      <c r="CA115" s="323"/>
      <c r="CB115" s="55">
        <f t="shared" si="413"/>
        <v>0</v>
      </c>
      <c r="CC115" s="323">
        <f>SUM(BQ115*4%)</f>
        <v>0</v>
      </c>
      <c r="CD115" s="323">
        <f t="shared" si="473"/>
        <v>0</v>
      </c>
      <c r="CE115" s="323">
        <f t="shared" si="473"/>
        <v>0</v>
      </c>
      <c r="CF115" s="323">
        <f t="shared" si="473"/>
        <v>0</v>
      </c>
      <c r="CG115" s="323"/>
      <c r="CH115" s="323"/>
      <c r="CI115" s="323"/>
      <c r="CJ115" s="323"/>
      <c r="CK115" s="323"/>
      <c r="CL115" s="323"/>
      <c r="CM115" s="323"/>
      <c r="CN115" s="323"/>
      <c r="CO115" s="55">
        <f t="shared" si="418"/>
        <v>0</v>
      </c>
      <c r="CP115" s="334"/>
      <c r="CQ115" s="334"/>
      <c r="CR115" s="334"/>
      <c r="CS115" s="334"/>
      <c r="CT115" s="360"/>
      <c r="CU115" s="349"/>
      <c r="CV115" s="361"/>
      <c r="CW115" s="69"/>
      <c r="CX115" s="69"/>
      <c r="CY115" s="69"/>
      <c r="CZ115" s="69"/>
      <c r="DA115" s="69"/>
      <c r="DB115" s="69"/>
      <c r="DC115" s="69"/>
      <c r="DD115" s="69"/>
      <c r="DE115" s="69"/>
    </row>
    <row r="116" spans="1:110" s="70" customFormat="1" ht="24.75" customHeight="1" x14ac:dyDescent="0.2">
      <c r="A116" s="64"/>
      <c r="B116" s="345" t="s">
        <v>129</v>
      </c>
      <c r="C116" s="65" t="s">
        <v>73</v>
      </c>
      <c r="D116" s="486">
        <v>5</v>
      </c>
      <c r="E116" s="66">
        <v>5</v>
      </c>
      <c r="F116" s="66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339">
        <f t="shared" si="419"/>
        <v>5</v>
      </c>
      <c r="R116" s="375" t="s">
        <v>25</v>
      </c>
      <c r="S116" s="374">
        <v>18000</v>
      </c>
      <c r="T116" s="376">
        <v>16000</v>
      </c>
      <c r="U116" s="433"/>
      <c r="V116" s="434"/>
      <c r="W116" s="434"/>
      <c r="X116" s="434"/>
      <c r="Y116" s="322"/>
      <c r="Z116" s="322"/>
      <c r="AA116" s="322"/>
      <c r="AB116" s="322"/>
      <c r="AC116" s="322"/>
      <c r="AD116" s="322"/>
      <c r="AE116" s="322"/>
      <c r="AF116" s="51">
        <f t="shared" si="420"/>
        <v>90000</v>
      </c>
      <c r="AG116" s="323">
        <f>T116*E116</f>
        <v>80000</v>
      </c>
      <c r="AH116" s="323">
        <f t="shared" si="390"/>
        <v>0</v>
      </c>
      <c r="AI116" s="323">
        <f t="shared" si="391"/>
        <v>0</v>
      </c>
      <c r="AJ116" s="323">
        <f t="shared" si="392"/>
        <v>0</v>
      </c>
      <c r="AK116" s="323">
        <f t="shared" si="393"/>
        <v>0</v>
      </c>
      <c r="AL116" s="323">
        <f t="shared" si="394"/>
        <v>0</v>
      </c>
      <c r="AM116" s="323">
        <f t="shared" si="395"/>
        <v>0</v>
      </c>
      <c r="AN116" s="323">
        <f t="shared" si="396"/>
        <v>0</v>
      </c>
      <c r="AO116" s="323">
        <f t="shared" si="397"/>
        <v>0</v>
      </c>
      <c r="AP116" s="323">
        <f t="shared" si="398"/>
        <v>0</v>
      </c>
      <c r="AQ116" s="323">
        <f t="shared" si="399"/>
        <v>0</v>
      </c>
      <c r="AR116" s="323">
        <f t="shared" si="400"/>
        <v>0</v>
      </c>
      <c r="AS116" s="324">
        <f t="shared" si="429"/>
        <v>80000</v>
      </c>
      <c r="AT116" s="323">
        <v>0</v>
      </c>
      <c r="AU116" s="323">
        <f t="shared" si="402"/>
        <v>0</v>
      </c>
      <c r="AV116" s="323">
        <f t="shared" si="403"/>
        <v>0</v>
      </c>
      <c r="AW116" s="323">
        <f t="shared" si="404"/>
        <v>0</v>
      </c>
      <c r="AX116" s="323"/>
      <c r="AY116" s="323"/>
      <c r="AZ116" s="323"/>
      <c r="BA116" s="323"/>
      <c r="BB116" s="323"/>
      <c r="BC116" s="323"/>
      <c r="BD116" s="323"/>
      <c r="BE116" s="323"/>
      <c r="BF116" s="55">
        <f t="shared" si="405"/>
        <v>0</v>
      </c>
      <c r="BG116" s="72">
        <f t="shared" si="406"/>
        <v>10000</v>
      </c>
      <c r="BH116" s="73">
        <f t="shared" si="423"/>
        <v>90000</v>
      </c>
      <c r="BI116" s="74">
        <f t="shared" si="424"/>
        <v>10000</v>
      </c>
      <c r="BJ116" s="99">
        <f t="shared" si="407"/>
        <v>1</v>
      </c>
      <c r="BK116" s="565"/>
      <c r="BL116" s="323">
        <f t="shared" si="471"/>
        <v>0</v>
      </c>
      <c r="BM116" s="323"/>
      <c r="BN116" s="323"/>
      <c r="BO116" s="561"/>
      <c r="BP116" s="323">
        <v>0</v>
      </c>
      <c r="BQ116" s="323">
        <f t="shared" si="472"/>
        <v>0</v>
      </c>
      <c r="BR116" s="323">
        <f t="shared" si="472"/>
        <v>0</v>
      </c>
      <c r="BS116" s="323">
        <f t="shared" si="472"/>
        <v>0</v>
      </c>
      <c r="BT116" s="323"/>
      <c r="BU116" s="323"/>
      <c r="BV116" s="323"/>
      <c r="BW116" s="323"/>
      <c r="BX116" s="323"/>
      <c r="BY116" s="323"/>
      <c r="BZ116" s="323"/>
      <c r="CA116" s="323"/>
      <c r="CB116" s="55">
        <f t="shared" si="413"/>
        <v>0</v>
      </c>
      <c r="CC116" s="323">
        <v>0</v>
      </c>
      <c r="CD116" s="323">
        <f t="shared" si="473"/>
        <v>0</v>
      </c>
      <c r="CE116" s="323">
        <f t="shared" si="473"/>
        <v>0</v>
      </c>
      <c r="CF116" s="323">
        <f t="shared" si="473"/>
        <v>0</v>
      </c>
      <c r="CG116" s="323"/>
      <c r="CH116" s="323"/>
      <c r="CI116" s="323"/>
      <c r="CJ116" s="323"/>
      <c r="CK116" s="323"/>
      <c r="CL116" s="323"/>
      <c r="CM116" s="323"/>
      <c r="CN116" s="323"/>
      <c r="CO116" s="55">
        <f t="shared" si="418"/>
        <v>0</v>
      </c>
      <c r="CP116" s="334"/>
      <c r="CQ116" s="334"/>
      <c r="CR116" s="334"/>
      <c r="CS116" s="334"/>
      <c r="CT116" s="360"/>
      <c r="CU116" s="349"/>
      <c r="CV116" s="361"/>
      <c r="CW116" s="69"/>
      <c r="CX116" s="69"/>
      <c r="CY116" s="69"/>
      <c r="CZ116" s="69"/>
      <c r="DA116" s="69"/>
      <c r="DB116" s="69"/>
      <c r="DC116" s="69"/>
      <c r="DD116" s="69"/>
      <c r="DE116" s="69"/>
    </row>
    <row r="117" spans="1:110" s="70" customFormat="1" ht="24.75" customHeight="1" thickBot="1" x14ac:dyDescent="0.25">
      <c r="A117" s="64"/>
      <c r="B117" s="345" t="s">
        <v>92</v>
      </c>
      <c r="C117" s="65" t="s">
        <v>73</v>
      </c>
      <c r="D117" s="486">
        <v>7</v>
      </c>
      <c r="E117" s="66">
        <v>3</v>
      </c>
      <c r="F117" s="66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339">
        <f t="shared" ref="Q117" si="474">SUM(E117:P117)</f>
        <v>3</v>
      </c>
      <c r="R117" s="375" t="s">
        <v>15</v>
      </c>
      <c r="S117" s="374">
        <v>9000</v>
      </c>
      <c r="T117" s="376">
        <v>8000</v>
      </c>
      <c r="U117" s="433"/>
      <c r="V117" s="434"/>
      <c r="W117" s="434"/>
      <c r="X117" s="434"/>
      <c r="Y117" s="322"/>
      <c r="Z117" s="322"/>
      <c r="AA117" s="322"/>
      <c r="AB117" s="322"/>
      <c r="AC117" s="322"/>
      <c r="AD117" s="322"/>
      <c r="AE117" s="322"/>
      <c r="AF117" s="51">
        <f t="shared" si="420"/>
        <v>27000</v>
      </c>
      <c r="AG117" s="323">
        <f>T117*E117</f>
        <v>24000</v>
      </c>
      <c r="AH117" s="323">
        <f t="shared" ref="AH117" si="475">U117*F117</f>
        <v>0</v>
      </c>
      <c r="AI117" s="323">
        <f t="shared" ref="AI117" si="476">V117*G117</f>
        <v>0</v>
      </c>
      <c r="AJ117" s="323">
        <f t="shared" ref="AJ117" si="477">W117*H117</f>
        <v>0</v>
      </c>
      <c r="AK117" s="323">
        <f t="shared" ref="AK117" si="478">X117*I117</f>
        <v>0</v>
      </c>
      <c r="AL117" s="323">
        <f t="shared" ref="AL117" si="479">Y117*J117</f>
        <v>0</v>
      </c>
      <c r="AM117" s="323">
        <f t="shared" ref="AM117" si="480">Z117*K117</f>
        <v>0</v>
      </c>
      <c r="AN117" s="323">
        <f t="shared" ref="AN117" si="481">AA117*L117</f>
        <v>0</v>
      </c>
      <c r="AO117" s="323">
        <f t="shared" ref="AO117" si="482">AB117*M117</f>
        <v>0</v>
      </c>
      <c r="AP117" s="323">
        <f t="shared" ref="AP117" si="483">AC117*N117</f>
        <v>0</v>
      </c>
      <c r="AQ117" s="323">
        <f t="shared" ref="AQ117" si="484">AD117*O117</f>
        <v>0</v>
      </c>
      <c r="AR117" s="323">
        <f t="shared" ref="AR117" si="485">AE117*P117</f>
        <v>0</v>
      </c>
      <c r="AS117" s="324">
        <f t="shared" ref="AS117" si="486">SUM(AG117:AR117)</f>
        <v>24000</v>
      </c>
      <c r="AT117" s="323">
        <v>0</v>
      </c>
      <c r="AU117" s="323">
        <f t="shared" ref="AU117" si="487">SUM(AH117*14%)</f>
        <v>0</v>
      </c>
      <c r="AV117" s="323">
        <f t="shared" ref="AV117" si="488">SUM(AI117*14%)</f>
        <v>0</v>
      </c>
      <c r="AW117" s="323">
        <f t="shared" ref="AW117" si="489">SUM(AJ117*14%)</f>
        <v>0</v>
      </c>
      <c r="AX117" s="323"/>
      <c r="AY117" s="323"/>
      <c r="AZ117" s="323"/>
      <c r="BA117" s="323"/>
      <c r="BB117" s="323"/>
      <c r="BC117" s="323"/>
      <c r="BD117" s="323"/>
      <c r="BE117" s="323"/>
      <c r="BF117" s="55">
        <f t="shared" ref="BF117" si="490">SUM(AT117:BE117)</f>
        <v>0</v>
      </c>
      <c r="BG117" s="72">
        <f t="shared" si="406"/>
        <v>3000</v>
      </c>
      <c r="BH117" s="73">
        <f t="shared" si="423"/>
        <v>63000</v>
      </c>
      <c r="BI117" s="74">
        <f t="shared" si="424"/>
        <v>39000</v>
      </c>
      <c r="BJ117" s="99">
        <f t="shared" ref="BJ117" si="491">SUM(Q117/D117)</f>
        <v>0.42857142857142855</v>
      </c>
      <c r="BK117" s="565"/>
      <c r="BL117" s="323">
        <f t="shared" si="471"/>
        <v>0</v>
      </c>
      <c r="BM117" s="323"/>
      <c r="BN117" s="323"/>
      <c r="BO117" s="561"/>
      <c r="BP117" s="323">
        <v>0</v>
      </c>
      <c r="BQ117" s="323">
        <f t="shared" si="472"/>
        <v>0</v>
      </c>
      <c r="BR117" s="323">
        <f t="shared" si="472"/>
        <v>0</v>
      </c>
      <c r="BS117" s="323">
        <f t="shared" si="472"/>
        <v>0</v>
      </c>
      <c r="BT117" s="323"/>
      <c r="BU117" s="323"/>
      <c r="BV117" s="323"/>
      <c r="BW117" s="323"/>
      <c r="BX117" s="323"/>
      <c r="BY117" s="323"/>
      <c r="BZ117" s="323"/>
      <c r="CA117" s="323"/>
      <c r="CB117" s="55">
        <f t="shared" si="413"/>
        <v>0</v>
      </c>
      <c r="CC117" s="323">
        <v>0</v>
      </c>
      <c r="CD117" s="323">
        <f t="shared" si="473"/>
        <v>0</v>
      </c>
      <c r="CE117" s="323">
        <f t="shared" si="473"/>
        <v>0</v>
      </c>
      <c r="CF117" s="323">
        <f t="shared" si="473"/>
        <v>0</v>
      </c>
      <c r="CG117" s="323"/>
      <c r="CH117" s="323"/>
      <c r="CI117" s="323"/>
      <c r="CJ117" s="323"/>
      <c r="CK117" s="323"/>
      <c r="CL117" s="323"/>
      <c r="CM117" s="323"/>
      <c r="CN117" s="323"/>
      <c r="CO117" s="55">
        <f t="shared" si="418"/>
        <v>0</v>
      </c>
      <c r="CP117" s="334"/>
      <c r="CQ117" s="334"/>
      <c r="CR117" s="334"/>
      <c r="CS117" s="334"/>
      <c r="CT117" s="360"/>
      <c r="CU117" s="349"/>
      <c r="CV117" s="361"/>
      <c r="CW117" s="69"/>
      <c r="CX117" s="69"/>
      <c r="CY117" s="69"/>
      <c r="CZ117" s="69"/>
      <c r="DA117" s="69"/>
      <c r="DB117" s="69"/>
      <c r="DC117" s="69"/>
      <c r="DD117" s="69"/>
      <c r="DE117" s="69"/>
    </row>
    <row r="118" spans="1:110" s="27" customFormat="1" ht="24.75" customHeight="1" thickBot="1" x14ac:dyDescent="0.25">
      <c r="A118" s="30"/>
      <c r="B118" s="31" t="s">
        <v>4</v>
      </c>
      <c r="C118" s="31"/>
      <c r="D118" s="30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4"/>
      <c r="R118" s="58"/>
      <c r="S118" s="141"/>
      <c r="T118" s="142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8">
        <f>SUM(AF87:AF117)</f>
        <v>9016000</v>
      </c>
      <c r="AG118" s="737">
        <f>SUM(AG87:AG117)</f>
        <v>7759000</v>
      </c>
      <c r="AH118" s="78">
        <f t="shared" ref="AH118:AR118" si="492">SUM(AH87:AH115)</f>
        <v>0</v>
      </c>
      <c r="AI118" s="78">
        <f t="shared" si="492"/>
        <v>0</v>
      </c>
      <c r="AJ118" s="78">
        <f t="shared" si="492"/>
        <v>0</v>
      </c>
      <c r="AK118" s="78">
        <f t="shared" si="492"/>
        <v>0</v>
      </c>
      <c r="AL118" s="78">
        <f t="shared" si="492"/>
        <v>0</v>
      </c>
      <c r="AM118" s="78">
        <f t="shared" si="492"/>
        <v>0</v>
      </c>
      <c r="AN118" s="78">
        <f t="shared" si="492"/>
        <v>0</v>
      </c>
      <c r="AO118" s="78">
        <f t="shared" si="492"/>
        <v>0</v>
      </c>
      <c r="AP118" s="78">
        <f t="shared" si="492"/>
        <v>0</v>
      </c>
      <c r="AQ118" s="78">
        <f t="shared" si="492"/>
        <v>0</v>
      </c>
      <c r="AR118" s="78">
        <f t="shared" si="492"/>
        <v>0</v>
      </c>
      <c r="AS118" s="78">
        <f>SUM(AS87:AS117)</f>
        <v>7759000</v>
      </c>
      <c r="AT118" s="78">
        <f>SUM(AT87:AT117)</f>
        <v>883100</v>
      </c>
      <c r="AU118" s="78">
        <f t="shared" ref="AU118:BE118" si="493">SUM(AU87:AU115)</f>
        <v>0</v>
      </c>
      <c r="AV118" s="78">
        <f t="shared" si="493"/>
        <v>0</v>
      </c>
      <c r="AW118" s="78">
        <f t="shared" si="493"/>
        <v>0</v>
      </c>
      <c r="AX118" s="78">
        <f t="shared" si="493"/>
        <v>0</v>
      </c>
      <c r="AY118" s="78">
        <f t="shared" si="493"/>
        <v>0</v>
      </c>
      <c r="AZ118" s="78">
        <f t="shared" si="493"/>
        <v>0</v>
      </c>
      <c r="BA118" s="78">
        <f t="shared" si="493"/>
        <v>0</v>
      </c>
      <c r="BB118" s="78">
        <f t="shared" si="493"/>
        <v>0</v>
      </c>
      <c r="BC118" s="78">
        <f t="shared" si="493"/>
        <v>0</v>
      </c>
      <c r="BD118" s="78">
        <f t="shared" si="493"/>
        <v>0</v>
      </c>
      <c r="BE118" s="78">
        <f t="shared" si="493"/>
        <v>0</v>
      </c>
      <c r="BF118" s="79">
        <f>SUM(BF87:BF117)</f>
        <v>883100</v>
      </c>
      <c r="BG118" s="79">
        <f>SUM(BG87:BG117)</f>
        <v>373900</v>
      </c>
      <c r="BH118" s="78">
        <f>SUM(BH87:BH117)</f>
        <v>9052000</v>
      </c>
      <c r="BI118" s="78">
        <f>SUM(BI87:BI117)</f>
        <v>409900</v>
      </c>
      <c r="BJ118" s="100">
        <v>1</v>
      </c>
      <c r="BK118" s="566"/>
      <c r="BL118" s="78">
        <f t="shared" ref="BL118" si="494">SUM(BL87:BL115)</f>
        <v>0</v>
      </c>
      <c r="BM118" s="78"/>
      <c r="BN118" s="78"/>
      <c r="BO118" s="562"/>
      <c r="BP118" s="78">
        <f t="shared" ref="BP118:CB118" si="495">SUM(BP87:BP115)</f>
        <v>2700</v>
      </c>
      <c r="BQ118" s="78">
        <f t="shared" si="495"/>
        <v>0</v>
      </c>
      <c r="BR118" s="78">
        <f t="shared" si="495"/>
        <v>0</v>
      </c>
      <c r="BS118" s="78">
        <f t="shared" si="495"/>
        <v>0</v>
      </c>
      <c r="BT118" s="78">
        <f t="shared" si="495"/>
        <v>0</v>
      </c>
      <c r="BU118" s="78">
        <f t="shared" si="495"/>
        <v>0</v>
      </c>
      <c r="BV118" s="78">
        <f t="shared" si="495"/>
        <v>0</v>
      </c>
      <c r="BW118" s="78">
        <f t="shared" si="495"/>
        <v>0</v>
      </c>
      <c r="BX118" s="78">
        <f t="shared" si="495"/>
        <v>0</v>
      </c>
      <c r="BY118" s="78">
        <f t="shared" si="495"/>
        <v>0</v>
      </c>
      <c r="BZ118" s="78">
        <f t="shared" si="495"/>
        <v>0</v>
      </c>
      <c r="CA118" s="78">
        <f t="shared" si="495"/>
        <v>0</v>
      </c>
      <c r="CB118" s="78">
        <f t="shared" si="495"/>
        <v>2700</v>
      </c>
      <c r="CC118" s="78">
        <f t="shared" ref="CC118:CO118" si="496">SUM(CC87:CC115)</f>
        <v>2700</v>
      </c>
      <c r="CD118" s="78">
        <f t="shared" si="496"/>
        <v>0</v>
      </c>
      <c r="CE118" s="78">
        <f t="shared" si="496"/>
        <v>0</v>
      </c>
      <c r="CF118" s="78">
        <f t="shared" si="496"/>
        <v>0</v>
      </c>
      <c r="CG118" s="78">
        <f t="shared" si="496"/>
        <v>0</v>
      </c>
      <c r="CH118" s="78">
        <f t="shared" si="496"/>
        <v>0</v>
      </c>
      <c r="CI118" s="78">
        <f t="shared" si="496"/>
        <v>0</v>
      </c>
      <c r="CJ118" s="78">
        <f t="shared" si="496"/>
        <v>0</v>
      </c>
      <c r="CK118" s="78">
        <f t="shared" si="496"/>
        <v>0</v>
      </c>
      <c r="CL118" s="78">
        <f t="shared" si="496"/>
        <v>0</v>
      </c>
      <c r="CM118" s="78">
        <f t="shared" si="496"/>
        <v>0</v>
      </c>
      <c r="CN118" s="78">
        <f t="shared" si="496"/>
        <v>0</v>
      </c>
      <c r="CO118" s="78">
        <f t="shared" si="496"/>
        <v>2700</v>
      </c>
      <c r="CP118" s="330"/>
      <c r="CQ118" s="330"/>
      <c r="CR118" s="330"/>
      <c r="CS118" s="330"/>
      <c r="CT118" s="350"/>
      <c r="CU118" s="350"/>
      <c r="CV118" s="362"/>
      <c r="CW118" s="36"/>
      <c r="CX118" s="36"/>
      <c r="CY118" s="36"/>
      <c r="CZ118" s="36"/>
      <c r="DA118" s="36"/>
      <c r="DB118" s="36"/>
      <c r="DC118" s="36"/>
      <c r="DD118" s="36"/>
      <c r="DE118" s="36"/>
    </row>
    <row r="119" spans="1:110" s="16" customFormat="1" ht="24.75" customHeight="1" x14ac:dyDescent="0.2">
      <c r="A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143"/>
      <c r="T119" s="143"/>
      <c r="AE119" s="28"/>
      <c r="AS119" s="38"/>
      <c r="BF119" s="39">
        <f>SUM(AS118+BF118)</f>
        <v>8642100</v>
      </c>
      <c r="BG119" s="40">
        <f>AF118-AS118-BF118</f>
        <v>373900</v>
      </c>
      <c r="BH119" s="41">
        <f>SUM(BI118+AS118+BF118)</f>
        <v>9052000</v>
      </c>
      <c r="BI119" s="42">
        <f>SUM(BG118)</f>
        <v>373900</v>
      </c>
      <c r="BJ119" s="28" t="s">
        <v>29</v>
      </c>
      <c r="CB119" s="39" t="e">
        <f>SUM(#REF!+CB118)</f>
        <v>#REF!</v>
      </c>
      <c r="CO119" s="39" t="e">
        <f>SUM(#REF!+CO118)</f>
        <v>#REF!</v>
      </c>
      <c r="CP119" s="38"/>
      <c r="CQ119" s="38"/>
      <c r="CR119" s="38"/>
      <c r="CS119" s="38"/>
      <c r="CT119" s="363"/>
      <c r="CU119" s="351"/>
      <c r="CV119" s="362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</row>
    <row r="120" spans="1:110" s="16" customFormat="1" ht="24.75" customHeight="1" x14ac:dyDescent="0.2">
      <c r="A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143"/>
      <c r="T120" s="143"/>
      <c r="AE120" s="28"/>
      <c r="AG120" s="317"/>
      <c r="AS120" s="28"/>
      <c r="AT120" s="82">
        <f>SUM(AG118+AT118)</f>
        <v>8642100</v>
      </c>
      <c r="AU120" s="82">
        <f t="shared" ref="AU120" si="497">SUM(AH118+AU118)</f>
        <v>0</v>
      </c>
      <c r="AV120" s="82">
        <f t="shared" ref="AV120" si="498">SUM(AI118+AV118)</f>
        <v>0</v>
      </c>
      <c r="AW120" s="82">
        <f t="shared" ref="AW120" si="499">SUM(AJ118+AW118)</f>
        <v>0</v>
      </c>
      <c r="AX120" s="82">
        <f t="shared" ref="AX120" si="500">SUM(AK118+AX118)</f>
        <v>0</v>
      </c>
      <c r="AY120" s="82">
        <f t="shared" ref="AY120" si="501">SUM(AL118+AY118)</f>
        <v>0</v>
      </c>
      <c r="AZ120" s="82">
        <f t="shared" ref="AZ120" si="502">SUM(AM118+AZ118)</f>
        <v>0</v>
      </c>
      <c r="BA120" s="82">
        <f t="shared" ref="BA120" si="503">SUM(AN118+BA118)</f>
        <v>0</v>
      </c>
      <c r="BB120" s="82">
        <f t="shared" ref="BB120" si="504">SUM(AO118+BB118)</f>
        <v>0</v>
      </c>
      <c r="BC120" s="82">
        <f t="shared" ref="BC120" si="505">SUM(AP118+BC118)</f>
        <v>0</v>
      </c>
      <c r="BD120" s="82">
        <f t="shared" ref="BD120" si="506">SUM(AQ118+BD118)</f>
        <v>0</v>
      </c>
      <c r="BE120" s="82">
        <f t="shared" ref="BE120" si="507">SUM(AR118+BE118)</f>
        <v>0</v>
      </c>
      <c r="BF120" s="82">
        <f>SUM(AT120:BE120)</f>
        <v>8642100</v>
      </c>
      <c r="BG120" s="82">
        <f>SUM(BG118-BG119)</f>
        <v>0</v>
      </c>
      <c r="BH120" s="43"/>
      <c r="BI120" s="44">
        <f>SUM(BI118-BI119)</f>
        <v>36000</v>
      </c>
      <c r="BJ120" s="28" t="s">
        <v>28</v>
      </c>
      <c r="BL120" s="82">
        <f>SUM(AO118+BL118)</f>
        <v>0</v>
      </c>
      <c r="BM120" s="82"/>
      <c r="BN120" s="82"/>
      <c r="BO120" s="82"/>
      <c r="BP120" s="82">
        <f t="shared" ref="BP120:CA120" si="508">SUM(AY118+BP118)</f>
        <v>2700</v>
      </c>
      <c r="BQ120" s="82">
        <f t="shared" si="508"/>
        <v>0</v>
      </c>
      <c r="BR120" s="82">
        <f t="shared" si="508"/>
        <v>0</v>
      </c>
      <c r="BS120" s="82">
        <f t="shared" si="508"/>
        <v>0</v>
      </c>
      <c r="BT120" s="82">
        <f t="shared" si="508"/>
        <v>0</v>
      </c>
      <c r="BU120" s="82">
        <f t="shared" si="508"/>
        <v>0</v>
      </c>
      <c r="BV120" s="82">
        <f t="shared" si="508"/>
        <v>0</v>
      </c>
      <c r="BW120" s="82">
        <f t="shared" si="508"/>
        <v>883100</v>
      </c>
      <c r="BX120" s="82">
        <f t="shared" si="508"/>
        <v>373900</v>
      </c>
      <c r="BY120" s="82">
        <f t="shared" si="508"/>
        <v>9052000</v>
      </c>
      <c r="BZ120" s="82">
        <f t="shared" si="508"/>
        <v>409900</v>
      </c>
      <c r="CA120" s="82">
        <f t="shared" si="508"/>
        <v>1</v>
      </c>
      <c r="CB120" s="82">
        <f>SUM(BP120:CA120)</f>
        <v>10721601</v>
      </c>
      <c r="CC120" s="82">
        <f t="shared" ref="CC120:CN120" si="509">SUM(BQ118+CC118)</f>
        <v>2700</v>
      </c>
      <c r="CD120" s="82">
        <f t="shared" si="509"/>
        <v>0</v>
      </c>
      <c r="CE120" s="82">
        <f t="shared" si="509"/>
        <v>0</v>
      </c>
      <c r="CF120" s="82">
        <f t="shared" si="509"/>
        <v>0</v>
      </c>
      <c r="CG120" s="82">
        <f t="shared" si="509"/>
        <v>0</v>
      </c>
      <c r="CH120" s="82">
        <f t="shared" si="509"/>
        <v>0</v>
      </c>
      <c r="CI120" s="82">
        <f t="shared" si="509"/>
        <v>0</v>
      </c>
      <c r="CJ120" s="82">
        <f t="shared" si="509"/>
        <v>0</v>
      </c>
      <c r="CK120" s="82">
        <f t="shared" si="509"/>
        <v>0</v>
      </c>
      <c r="CL120" s="82">
        <f t="shared" si="509"/>
        <v>0</v>
      </c>
      <c r="CM120" s="82">
        <f t="shared" si="509"/>
        <v>0</v>
      </c>
      <c r="CN120" s="82">
        <f t="shared" si="509"/>
        <v>2700</v>
      </c>
      <c r="CO120" s="82">
        <f>SUM(CC120:CN120)</f>
        <v>5400</v>
      </c>
      <c r="CP120" s="38"/>
      <c r="CQ120" s="38"/>
      <c r="CR120" s="38"/>
      <c r="CS120" s="38"/>
      <c r="CT120" s="363"/>
      <c r="CU120" s="351"/>
      <c r="CV120" s="362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</row>
    <row r="121" spans="1:110" s="16" customFormat="1" ht="24.75" customHeight="1" x14ac:dyDescent="0.2">
      <c r="A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143"/>
      <c r="T121" s="143"/>
      <c r="AE121" s="28"/>
      <c r="AG121" s="317"/>
      <c r="AS121" s="28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43"/>
      <c r="BI121" s="44"/>
      <c r="BJ121" s="28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38"/>
      <c r="CQ121" s="38"/>
      <c r="CR121" s="38"/>
      <c r="CS121" s="38"/>
      <c r="CT121" s="363"/>
      <c r="CU121" s="351"/>
      <c r="CV121" s="362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</row>
    <row r="122" spans="1:110" s="16" customFormat="1" ht="24.75" customHeight="1" x14ac:dyDescent="0.2">
      <c r="A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143"/>
      <c r="T122" s="143"/>
      <c r="AE122" s="28"/>
      <c r="AG122" s="317"/>
      <c r="AS122" s="28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43"/>
      <c r="BI122" s="44"/>
      <c r="BJ122" s="28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38"/>
      <c r="CQ122" s="38"/>
      <c r="CR122" s="38"/>
      <c r="CS122" s="38"/>
      <c r="CT122" s="363"/>
      <c r="CU122" s="351"/>
      <c r="CV122" s="362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</row>
    <row r="123" spans="1:110" s="16" customFormat="1" ht="24.75" customHeight="1" x14ac:dyDescent="0.2">
      <c r="A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143"/>
      <c r="T123" s="143"/>
      <c r="AE123" s="28"/>
      <c r="AG123" s="317"/>
      <c r="AS123" s="28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43"/>
      <c r="BI123" s="44"/>
      <c r="BJ123" s="28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38"/>
      <c r="CQ123" s="38"/>
      <c r="CR123" s="38"/>
      <c r="CS123" s="38"/>
      <c r="CT123" s="363"/>
      <c r="CU123" s="351"/>
      <c r="CV123" s="362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</row>
    <row r="124" spans="1:110" s="16" customFormat="1" ht="24.75" customHeight="1" x14ac:dyDescent="0.2">
      <c r="A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143"/>
      <c r="T124" s="143"/>
      <c r="AE124" s="28"/>
      <c r="AG124" s="317"/>
      <c r="AS124" s="28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43"/>
      <c r="BI124" s="44"/>
      <c r="BJ124" s="28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38"/>
      <c r="CQ124" s="38"/>
      <c r="CR124" s="38"/>
      <c r="CS124" s="38"/>
      <c r="CT124" s="363"/>
      <c r="CU124" s="351"/>
      <c r="CV124" s="362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</row>
    <row r="125" spans="1:110" s="16" customFormat="1" ht="24.75" customHeight="1" x14ac:dyDescent="0.2">
      <c r="A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143"/>
      <c r="T125" s="143"/>
      <c r="AE125" s="28"/>
      <c r="AG125" s="317"/>
      <c r="AS125" s="28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43"/>
      <c r="BI125" s="44"/>
      <c r="BJ125" s="28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38"/>
      <c r="CQ125" s="38"/>
      <c r="CR125" s="38"/>
      <c r="CS125" s="38"/>
      <c r="CT125" s="363"/>
      <c r="CU125" s="351"/>
      <c r="CV125" s="362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</row>
    <row r="126" spans="1:110" s="16" customFormat="1" ht="24.75" customHeight="1" x14ac:dyDescent="0.2">
      <c r="A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143"/>
      <c r="T126" s="143"/>
      <c r="AE126" s="28"/>
      <c r="AG126" s="317"/>
      <c r="AS126" s="28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43"/>
      <c r="BI126" s="44"/>
      <c r="BJ126" s="28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38"/>
      <c r="CQ126" s="38"/>
      <c r="CR126" s="38"/>
      <c r="CS126" s="38"/>
      <c r="CT126" s="363"/>
      <c r="CU126" s="351"/>
      <c r="CV126" s="362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</row>
    <row r="127" spans="1:110" s="16" customFormat="1" ht="24.75" customHeight="1" x14ac:dyDescent="0.2">
      <c r="A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143"/>
      <c r="T127" s="143"/>
      <c r="AE127" s="28"/>
      <c r="AG127" s="317"/>
      <c r="AS127" s="28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43"/>
      <c r="BI127" s="44"/>
      <c r="BJ127" s="28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38"/>
      <c r="CQ127" s="38"/>
      <c r="CR127" s="38"/>
      <c r="CS127" s="38"/>
      <c r="CT127" s="363"/>
      <c r="CU127" s="351"/>
      <c r="CV127" s="362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</row>
    <row r="128" spans="1:110" s="16" customFormat="1" ht="24.75" customHeight="1" x14ac:dyDescent="0.2">
      <c r="A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143"/>
      <c r="T128" s="143"/>
      <c r="AE128" s="28"/>
      <c r="AG128" s="317"/>
      <c r="AS128" s="28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43"/>
      <c r="BI128" s="44"/>
      <c r="BJ128" s="28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38"/>
      <c r="CQ128" s="38"/>
      <c r="CR128" s="38"/>
      <c r="CS128" s="38"/>
      <c r="CT128" s="363"/>
      <c r="CU128" s="351"/>
      <c r="CV128" s="362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</row>
    <row r="129" spans="1:127" s="16" customFormat="1" ht="24.75" customHeight="1" x14ac:dyDescent="0.2">
      <c r="A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143"/>
      <c r="T129" s="143"/>
      <c r="AE129" s="28"/>
      <c r="AG129" s="317"/>
      <c r="AS129" s="28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43"/>
      <c r="BI129" s="44"/>
      <c r="BJ129" s="28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38"/>
      <c r="CQ129" s="38"/>
      <c r="CR129" s="38"/>
      <c r="CS129" s="38"/>
      <c r="CT129" s="363"/>
      <c r="CU129" s="351"/>
      <c r="CV129" s="362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</row>
    <row r="130" spans="1:127" s="16" customFormat="1" ht="24.75" customHeight="1" x14ac:dyDescent="0.2">
      <c r="A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143"/>
      <c r="T130" s="143"/>
      <c r="AE130" s="28"/>
      <c r="AG130" s="317"/>
      <c r="AS130" s="28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43"/>
      <c r="BI130" s="44"/>
      <c r="BJ130" s="28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38"/>
      <c r="CQ130" s="38"/>
      <c r="CR130" s="38"/>
      <c r="CS130" s="38"/>
      <c r="CT130" s="363"/>
      <c r="CU130" s="351"/>
      <c r="CV130" s="362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</row>
    <row r="131" spans="1:127" s="16" customFormat="1" ht="24.75" customHeight="1" x14ac:dyDescent="0.2">
      <c r="A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143"/>
      <c r="T131" s="143"/>
      <c r="AE131" s="28"/>
      <c r="AG131" s="317"/>
      <c r="AS131" s="28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43"/>
      <c r="BI131" s="44"/>
      <c r="BJ131" s="28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38"/>
      <c r="CQ131" s="38"/>
      <c r="CR131" s="38"/>
      <c r="CS131" s="38"/>
      <c r="CT131" s="363"/>
      <c r="CU131" s="351"/>
      <c r="CV131" s="362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</row>
    <row r="132" spans="1:127" s="16" customFormat="1" ht="24.75" customHeight="1" x14ac:dyDescent="0.2">
      <c r="A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143"/>
      <c r="T132" s="143"/>
      <c r="AE132" s="28"/>
      <c r="AG132" s="317"/>
      <c r="AS132" s="28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43"/>
      <c r="BI132" s="44"/>
      <c r="BJ132" s="28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38"/>
      <c r="CQ132" s="38"/>
      <c r="CR132" s="38"/>
      <c r="CS132" s="38"/>
      <c r="CT132" s="363"/>
      <c r="CU132" s="351"/>
      <c r="CV132" s="362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</row>
    <row r="133" spans="1:127" s="16" customFormat="1" ht="24.75" customHeight="1" x14ac:dyDescent="0.2">
      <c r="A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143"/>
      <c r="T133" s="143"/>
      <c r="AE133" s="28"/>
      <c r="AG133" s="317"/>
      <c r="AS133" s="28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43"/>
      <c r="BI133" s="44"/>
      <c r="BJ133" s="28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38"/>
      <c r="CQ133" s="38"/>
      <c r="CR133" s="38"/>
      <c r="CS133" s="38"/>
      <c r="CT133" s="363"/>
      <c r="CU133" s="351"/>
      <c r="CV133" s="362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</row>
    <row r="134" spans="1:127" s="16" customFormat="1" ht="24.75" customHeight="1" x14ac:dyDescent="0.2">
      <c r="A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143"/>
      <c r="T134" s="143"/>
      <c r="AE134" s="28"/>
      <c r="AG134" s="317"/>
      <c r="AS134" s="28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43"/>
      <c r="BI134" s="44"/>
      <c r="BJ134" s="28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38"/>
      <c r="CQ134" s="38"/>
      <c r="CR134" s="38"/>
      <c r="CS134" s="38"/>
      <c r="CT134" s="363"/>
      <c r="CU134" s="351"/>
      <c r="CV134" s="362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</row>
    <row r="135" spans="1:127" s="16" customFormat="1" ht="24.75" customHeight="1" x14ac:dyDescent="0.2">
      <c r="A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143"/>
      <c r="T135" s="143"/>
      <c r="AE135" s="28"/>
      <c r="AG135" s="317"/>
      <c r="AS135" s="28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43"/>
      <c r="BI135" s="44"/>
      <c r="BJ135" s="28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38"/>
      <c r="CQ135" s="38"/>
      <c r="CR135" s="38"/>
      <c r="CS135" s="38"/>
      <c r="CT135" s="363"/>
      <c r="CU135" s="351"/>
      <c r="CV135" s="362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</row>
    <row r="136" spans="1:127" s="6" customFormat="1" ht="25.5" customHeight="1" x14ac:dyDescent="0.2">
      <c r="A136" s="7"/>
      <c r="C136" s="7"/>
      <c r="D136" s="7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7"/>
      <c r="S136" s="514"/>
      <c r="T136" s="38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15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K136" s="563"/>
      <c r="BL136" s="38"/>
      <c r="BM136" s="38"/>
      <c r="BN136" s="38"/>
      <c r="BO136" s="563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30"/>
      <c r="CQ136" s="330"/>
      <c r="CR136" s="330"/>
      <c r="CS136" s="330"/>
      <c r="CT136" s="19"/>
      <c r="CU136" s="350"/>
      <c r="CV136" s="362"/>
      <c r="CW136" s="516"/>
      <c r="CX136" s="516"/>
      <c r="CY136" s="516"/>
      <c r="CZ136" s="516"/>
      <c r="DA136" s="516"/>
      <c r="DB136" s="516"/>
      <c r="DC136" s="516"/>
      <c r="DD136" s="516"/>
      <c r="DE136" s="516"/>
    </row>
    <row r="137" spans="1:127" s="602" customFormat="1" ht="25.5" customHeight="1" x14ac:dyDescent="0.2">
      <c r="A137" s="595"/>
      <c r="B137" s="596" t="s">
        <v>228</v>
      </c>
      <c r="C137" s="595"/>
      <c r="D137" s="595"/>
      <c r="E137" s="597"/>
      <c r="F137" s="597"/>
      <c r="G137" s="597"/>
      <c r="H137" s="597"/>
      <c r="I137" s="597"/>
      <c r="J137" s="597"/>
      <c r="K137" s="597"/>
      <c r="L137" s="597"/>
      <c r="M137" s="597"/>
      <c r="N137" s="597"/>
      <c r="O137" s="597"/>
      <c r="P137" s="597"/>
      <c r="Q137" s="598"/>
      <c r="R137" s="599"/>
      <c r="S137" s="600"/>
      <c r="T137" s="600"/>
      <c r="U137" s="601"/>
      <c r="V137" s="601"/>
      <c r="W137" s="601"/>
      <c r="X137" s="601"/>
      <c r="Y137" s="601"/>
      <c r="AE137" s="603"/>
      <c r="AF137" s="604"/>
      <c r="AS137" s="605"/>
      <c r="BF137" s="605"/>
      <c r="BG137" s="605"/>
      <c r="BH137" s="606"/>
      <c r="BI137" s="606"/>
      <c r="CB137" s="605"/>
      <c r="CO137" s="605"/>
      <c r="CP137" s="607"/>
      <c r="CQ137" s="607"/>
      <c r="CR137" s="607"/>
      <c r="CS137" s="607"/>
      <c r="CT137" s="608"/>
      <c r="CU137" s="609"/>
      <c r="CV137" s="610"/>
      <c r="CW137" s="611"/>
      <c r="CX137" s="611"/>
      <c r="CY137" s="611"/>
      <c r="CZ137" s="611"/>
      <c r="DA137" s="611"/>
      <c r="DB137" s="611"/>
      <c r="DC137" s="611"/>
      <c r="DD137" s="611"/>
      <c r="DE137" s="611"/>
    </row>
    <row r="138" spans="1:127" s="602" customFormat="1" ht="25.5" customHeight="1" x14ac:dyDescent="0.2">
      <c r="A138" s="595"/>
      <c r="B138" s="596"/>
      <c r="C138" s="595"/>
      <c r="D138" s="595"/>
      <c r="E138" s="597"/>
      <c r="F138" s="597"/>
      <c r="G138" s="597"/>
      <c r="H138" s="597"/>
      <c r="I138" s="597"/>
      <c r="J138" s="597"/>
      <c r="K138" s="597"/>
      <c r="L138" s="597"/>
      <c r="M138" s="597"/>
      <c r="N138" s="597"/>
      <c r="O138" s="597"/>
      <c r="P138" s="597"/>
      <c r="Q138" s="598"/>
      <c r="R138" s="599"/>
      <c r="S138" s="600"/>
      <c r="T138" s="600"/>
      <c r="U138" s="601"/>
      <c r="V138" s="601"/>
      <c r="W138" s="601"/>
      <c r="X138" s="601"/>
      <c r="Y138" s="601"/>
      <c r="AE138" s="603"/>
      <c r="AF138" s="604"/>
      <c r="AS138" s="605"/>
      <c r="BF138" s="605"/>
      <c r="BG138" s="605"/>
      <c r="BH138" s="606"/>
      <c r="BI138" s="606"/>
      <c r="CB138" s="605"/>
      <c r="CO138" s="605"/>
      <c r="CP138" s="607"/>
      <c r="CQ138" s="607"/>
      <c r="CR138" s="607"/>
      <c r="CS138" s="607"/>
      <c r="CT138" s="608"/>
      <c r="CU138" s="609"/>
      <c r="CV138" s="610"/>
      <c r="CW138" s="611"/>
      <c r="CX138" s="611"/>
      <c r="CY138" s="611"/>
      <c r="CZ138" s="611"/>
      <c r="DA138" s="611"/>
      <c r="DB138" s="611"/>
      <c r="DC138" s="611"/>
      <c r="DD138" s="611"/>
      <c r="DE138" s="611"/>
    </row>
    <row r="139" spans="1:127" s="602" customFormat="1" ht="25.5" customHeight="1" x14ac:dyDescent="0.2">
      <c r="A139" s="595"/>
      <c r="B139" s="596"/>
      <c r="C139" s="595"/>
      <c r="D139" s="595"/>
      <c r="E139" s="597"/>
      <c r="F139" s="597"/>
      <c r="G139" s="597"/>
      <c r="H139" s="597"/>
      <c r="I139" s="597"/>
      <c r="J139" s="597"/>
      <c r="K139" s="597"/>
      <c r="L139" s="597"/>
      <c r="M139" s="597"/>
      <c r="N139" s="597"/>
      <c r="O139" s="597"/>
      <c r="P139" s="597"/>
      <c r="Q139" s="598"/>
      <c r="R139" s="599"/>
      <c r="S139" s="600"/>
      <c r="T139" s="600"/>
      <c r="U139" s="601"/>
      <c r="V139" s="601"/>
      <c r="W139" s="601"/>
      <c r="X139" s="601"/>
      <c r="Y139" s="601"/>
      <c r="AE139" s="603"/>
      <c r="AF139" s="604"/>
      <c r="AS139" s="605"/>
      <c r="BF139" s="605"/>
      <c r="BG139" s="605"/>
      <c r="BH139" s="606"/>
      <c r="BI139" s="606"/>
      <c r="CB139" s="605"/>
      <c r="CO139" s="605"/>
      <c r="CP139" s="607"/>
      <c r="CQ139" s="607"/>
      <c r="CR139" s="607"/>
      <c r="CS139" s="607"/>
      <c r="CT139" s="608"/>
      <c r="CU139" s="609"/>
      <c r="CV139" s="610"/>
      <c r="CW139" s="611"/>
      <c r="CX139" s="611"/>
      <c r="CY139" s="611"/>
      <c r="CZ139" s="611"/>
      <c r="DA139" s="611"/>
      <c r="DB139" s="611"/>
      <c r="DC139" s="611"/>
      <c r="DD139" s="611"/>
      <c r="DE139" s="611"/>
    </row>
    <row r="140" spans="1:127" s="83" customFormat="1" ht="24.75" customHeight="1" x14ac:dyDescent="0.2">
      <c r="A140" s="811" t="s">
        <v>7</v>
      </c>
      <c r="B140" s="812"/>
      <c r="C140" s="83" t="s">
        <v>149</v>
      </c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34"/>
      <c r="T140" s="14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17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318"/>
      <c r="AS140" s="338"/>
      <c r="AT140" s="342"/>
      <c r="AU140" s="342"/>
      <c r="AV140" s="318"/>
      <c r="AW140" s="318"/>
      <c r="AX140" s="342"/>
      <c r="AY140" s="341"/>
      <c r="AZ140" s="85"/>
      <c r="BA140" s="85"/>
      <c r="BB140" s="85"/>
      <c r="BC140" s="85"/>
      <c r="BD140" s="85"/>
      <c r="BE140" s="85"/>
      <c r="BF140" s="84"/>
      <c r="BG140" s="84"/>
      <c r="BH140" s="84"/>
      <c r="BI140" s="88"/>
      <c r="BJ140" s="17"/>
      <c r="BK140" s="318"/>
      <c r="BL140" s="318"/>
      <c r="BM140" s="318"/>
      <c r="BN140" s="318">
        <f>SUM(BN137-BN138-BN139)</f>
        <v>0</v>
      </c>
      <c r="BO140" s="85"/>
      <c r="BP140" s="342"/>
      <c r="BQ140" s="342"/>
      <c r="BR140" s="318"/>
      <c r="BS140" s="318"/>
      <c r="BT140" s="342"/>
      <c r="BU140" s="341"/>
      <c r="BV140" s="85"/>
      <c r="BW140" s="85"/>
      <c r="BX140" s="85"/>
      <c r="BY140" s="85"/>
      <c r="BZ140" s="85"/>
      <c r="CA140" s="85"/>
      <c r="CB140" s="84"/>
      <c r="CC140" s="342"/>
      <c r="CD140" s="342"/>
      <c r="CE140" s="318"/>
      <c r="CF140" s="318"/>
      <c r="CG140" s="342"/>
      <c r="CH140" s="341"/>
      <c r="CI140" s="85"/>
      <c r="CJ140" s="85"/>
      <c r="CK140" s="85"/>
      <c r="CL140" s="85"/>
      <c r="CM140" s="85"/>
      <c r="CN140" s="85"/>
      <c r="CO140" s="84"/>
      <c r="CP140" s="320"/>
      <c r="CQ140" s="320"/>
      <c r="CR140" s="320"/>
      <c r="CS140" s="320"/>
      <c r="CT140" s="17"/>
      <c r="CU140" s="347"/>
      <c r="CV140" s="357"/>
      <c r="CW140" s="85"/>
      <c r="CX140" s="85"/>
      <c r="CY140" s="84"/>
      <c r="CZ140" s="84"/>
      <c r="DA140" s="84"/>
      <c r="DB140" s="84"/>
      <c r="DC140" s="88"/>
      <c r="DD140" s="84"/>
      <c r="DE140" s="84"/>
      <c r="DF140" s="224"/>
      <c r="DG140" s="224"/>
      <c r="DH140" s="224"/>
      <c r="DI140" s="224"/>
      <c r="DJ140" s="224"/>
      <c r="DK140" s="224"/>
      <c r="DL140" s="224"/>
      <c r="DM140" s="224"/>
      <c r="DN140" s="224"/>
      <c r="DO140" s="224"/>
      <c r="DP140" s="224"/>
      <c r="DQ140" s="224"/>
      <c r="DR140" s="224"/>
      <c r="DS140" s="224"/>
      <c r="DT140" s="224"/>
      <c r="DU140" s="224"/>
      <c r="DV140" s="224"/>
      <c r="DW140" s="224"/>
    </row>
    <row r="141" spans="1:127" s="7" customFormat="1" ht="48.75" customHeight="1" x14ac:dyDescent="0.2">
      <c r="A141" s="813" t="s">
        <v>8</v>
      </c>
      <c r="B141" s="787" t="s">
        <v>9</v>
      </c>
      <c r="C141" s="787" t="s">
        <v>22</v>
      </c>
      <c r="D141" s="806" t="s">
        <v>10</v>
      </c>
      <c r="E141" s="806"/>
      <c r="F141" s="806"/>
      <c r="G141" s="806"/>
      <c r="H141" s="806"/>
      <c r="I141" s="806"/>
      <c r="J141" s="806"/>
      <c r="K141" s="806"/>
      <c r="L141" s="806"/>
      <c r="M141" s="806"/>
      <c r="N141" s="806"/>
      <c r="O141" s="806"/>
      <c r="P141" s="806"/>
      <c r="Q141" s="806"/>
      <c r="R141" s="787" t="s">
        <v>20</v>
      </c>
      <c r="S141" s="807" t="s">
        <v>17</v>
      </c>
      <c r="T141" s="808"/>
      <c r="U141" s="808"/>
      <c r="V141" s="808"/>
      <c r="W141" s="808"/>
      <c r="X141" s="808"/>
      <c r="Y141" s="808"/>
      <c r="Z141" s="808"/>
      <c r="AA141" s="808"/>
      <c r="AB141" s="808"/>
      <c r="AC141" s="808"/>
      <c r="AD141" s="808"/>
      <c r="AE141" s="809"/>
      <c r="AF141" s="810" t="s">
        <v>5</v>
      </c>
      <c r="AG141" s="810"/>
      <c r="AH141" s="810"/>
      <c r="AI141" s="810"/>
      <c r="AJ141" s="810"/>
      <c r="AK141" s="810"/>
      <c r="AL141" s="810"/>
      <c r="AM141" s="810"/>
      <c r="AN141" s="810"/>
      <c r="AO141" s="810"/>
      <c r="AP141" s="810"/>
      <c r="AQ141" s="810"/>
      <c r="AR141" s="810"/>
      <c r="AS141" s="810"/>
      <c r="AT141" s="800" t="s">
        <v>32</v>
      </c>
      <c r="AU141" s="801"/>
      <c r="AV141" s="801"/>
      <c r="AW141" s="801"/>
      <c r="AX141" s="801"/>
      <c r="AY141" s="801"/>
      <c r="AZ141" s="801"/>
      <c r="BA141" s="801"/>
      <c r="BB141" s="801"/>
      <c r="BC141" s="801"/>
      <c r="BD141" s="801"/>
      <c r="BE141" s="801"/>
      <c r="BF141" s="802"/>
      <c r="BG141" s="787" t="s">
        <v>29</v>
      </c>
      <c r="BH141" s="787" t="s">
        <v>57</v>
      </c>
      <c r="BI141" s="790" t="s">
        <v>30</v>
      </c>
      <c r="BJ141" s="84"/>
      <c r="BK141" s="84"/>
      <c r="BL141" s="84"/>
      <c r="BM141" s="84"/>
      <c r="BN141" s="84"/>
      <c r="BO141" s="84"/>
      <c r="BP141" s="774" t="s">
        <v>32</v>
      </c>
      <c r="BQ141" s="775"/>
      <c r="BR141" s="775"/>
      <c r="BS141" s="775"/>
      <c r="BT141" s="775"/>
      <c r="BU141" s="775"/>
      <c r="BV141" s="775"/>
      <c r="BW141" s="775"/>
      <c r="BX141" s="775"/>
      <c r="BY141" s="775"/>
      <c r="BZ141" s="775"/>
      <c r="CA141" s="775"/>
      <c r="CB141" s="775"/>
      <c r="CC141" s="775"/>
      <c r="CD141" s="775"/>
      <c r="CE141" s="775"/>
      <c r="CF141" s="775"/>
      <c r="CG141" s="775"/>
      <c r="CH141" s="775"/>
      <c r="CI141" s="775"/>
      <c r="CJ141" s="775"/>
      <c r="CK141" s="775"/>
      <c r="CL141" s="775"/>
      <c r="CM141" s="775"/>
      <c r="CN141" s="775"/>
      <c r="CO141" s="776"/>
      <c r="CP141" s="332"/>
      <c r="CQ141" s="332"/>
      <c r="CR141" s="332"/>
      <c r="CS141" s="332"/>
      <c r="CT141" s="17"/>
      <c r="CU141" s="347"/>
      <c r="CV141" s="357"/>
      <c r="CW141" s="17"/>
      <c r="CX141" s="17"/>
      <c r="CY141" s="17"/>
      <c r="CZ141" s="17"/>
      <c r="DA141" s="17"/>
      <c r="DB141" s="17"/>
      <c r="DC141" s="17"/>
      <c r="DD141" s="19"/>
      <c r="DE141" s="19"/>
    </row>
    <row r="142" spans="1:127" s="7" customFormat="1" ht="48.75" customHeight="1" x14ac:dyDescent="0.2">
      <c r="A142" s="814"/>
      <c r="B142" s="788"/>
      <c r="C142" s="788"/>
      <c r="D142" s="797" t="s">
        <v>18</v>
      </c>
      <c r="E142" s="795" t="s">
        <v>19</v>
      </c>
      <c r="F142" s="796"/>
      <c r="G142" s="796"/>
      <c r="H142" s="796"/>
      <c r="I142" s="796"/>
      <c r="J142" s="796"/>
      <c r="K142" s="796"/>
      <c r="L142" s="796"/>
      <c r="M142" s="796"/>
      <c r="N142" s="796"/>
      <c r="O142" s="796"/>
      <c r="P142" s="796"/>
      <c r="Q142" s="796"/>
      <c r="R142" s="788"/>
      <c r="S142" s="793" t="s">
        <v>18</v>
      </c>
      <c r="T142" s="795" t="s">
        <v>19</v>
      </c>
      <c r="U142" s="796"/>
      <c r="V142" s="796"/>
      <c r="W142" s="796"/>
      <c r="X142" s="796"/>
      <c r="Y142" s="796"/>
      <c r="Z142" s="796"/>
      <c r="AA142" s="796"/>
      <c r="AB142" s="796"/>
      <c r="AC142" s="796"/>
      <c r="AD142" s="796"/>
      <c r="AE142" s="799"/>
      <c r="AF142" s="797" t="s">
        <v>18</v>
      </c>
      <c r="AG142" s="795" t="s">
        <v>19</v>
      </c>
      <c r="AH142" s="796"/>
      <c r="AI142" s="796"/>
      <c r="AJ142" s="796"/>
      <c r="AK142" s="796"/>
      <c r="AL142" s="796"/>
      <c r="AM142" s="796"/>
      <c r="AN142" s="796"/>
      <c r="AO142" s="796"/>
      <c r="AP142" s="796"/>
      <c r="AQ142" s="796"/>
      <c r="AR142" s="796"/>
      <c r="AS142" s="799"/>
      <c r="AT142" s="803"/>
      <c r="AU142" s="804"/>
      <c r="AV142" s="804"/>
      <c r="AW142" s="804"/>
      <c r="AX142" s="804"/>
      <c r="AY142" s="804"/>
      <c r="AZ142" s="804"/>
      <c r="BA142" s="804"/>
      <c r="BB142" s="804"/>
      <c r="BC142" s="804"/>
      <c r="BD142" s="804"/>
      <c r="BE142" s="804"/>
      <c r="BF142" s="805"/>
      <c r="BG142" s="788"/>
      <c r="BH142" s="788"/>
      <c r="BI142" s="791"/>
      <c r="BJ142" s="84"/>
      <c r="BK142" s="17"/>
      <c r="BL142" s="17"/>
      <c r="BM142" s="17"/>
      <c r="BN142" s="17"/>
      <c r="BO142" s="17"/>
      <c r="BP142" s="778" t="s">
        <v>230</v>
      </c>
      <c r="BQ142" s="779"/>
      <c r="BR142" s="779"/>
      <c r="BS142" s="779"/>
      <c r="BT142" s="779"/>
      <c r="BU142" s="779"/>
      <c r="BV142" s="779"/>
      <c r="BW142" s="779"/>
      <c r="BX142" s="779"/>
      <c r="BY142" s="779"/>
      <c r="BZ142" s="779"/>
      <c r="CA142" s="779"/>
      <c r="CB142" s="780"/>
      <c r="CC142" s="781" t="s">
        <v>231</v>
      </c>
      <c r="CD142" s="782"/>
      <c r="CE142" s="782"/>
      <c r="CF142" s="782"/>
      <c r="CG142" s="782"/>
      <c r="CH142" s="782"/>
      <c r="CI142" s="782"/>
      <c r="CJ142" s="782"/>
      <c r="CK142" s="782"/>
      <c r="CL142" s="782"/>
      <c r="CM142" s="782"/>
      <c r="CN142" s="782"/>
      <c r="CO142" s="783"/>
      <c r="CP142" s="332"/>
      <c r="CQ142" s="332"/>
      <c r="CR142" s="332"/>
      <c r="CS142" s="332"/>
      <c r="CT142" s="17"/>
      <c r="CU142" s="347"/>
      <c r="CV142" s="357"/>
      <c r="CW142" s="17"/>
      <c r="CX142" s="17"/>
      <c r="CY142" s="17"/>
      <c r="CZ142" s="17"/>
      <c r="DA142" s="17"/>
      <c r="DB142" s="17"/>
      <c r="DC142" s="17"/>
      <c r="DD142" s="19"/>
      <c r="DE142" s="19"/>
    </row>
    <row r="143" spans="1:127" s="5" customFormat="1" ht="28.5" customHeight="1" x14ac:dyDescent="0.2">
      <c r="A143" s="815"/>
      <c r="B143" s="789"/>
      <c r="C143" s="789"/>
      <c r="D143" s="798"/>
      <c r="E143" s="20">
        <v>1</v>
      </c>
      <c r="F143" s="20">
        <v>2</v>
      </c>
      <c r="G143" s="20">
        <v>3</v>
      </c>
      <c r="H143" s="20">
        <v>4</v>
      </c>
      <c r="I143" s="20">
        <v>5</v>
      </c>
      <c r="J143" s="20">
        <v>6</v>
      </c>
      <c r="K143" s="20">
        <v>7</v>
      </c>
      <c r="L143" s="20">
        <v>8</v>
      </c>
      <c r="M143" s="20">
        <v>9</v>
      </c>
      <c r="N143" s="20">
        <v>10</v>
      </c>
      <c r="O143" s="20">
        <v>11</v>
      </c>
      <c r="P143" s="20">
        <v>12</v>
      </c>
      <c r="Q143" s="20" t="s">
        <v>21</v>
      </c>
      <c r="R143" s="789"/>
      <c r="S143" s="794"/>
      <c r="T143" s="20">
        <v>1</v>
      </c>
      <c r="U143" s="20">
        <v>2</v>
      </c>
      <c r="V143" s="20">
        <v>3</v>
      </c>
      <c r="W143" s="20">
        <v>4</v>
      </c>
      <c r="X143" s="20">
        <v>5</v>
      </c>
      <c r="Y143" s="20">
        <v>6</v>
      </c>
      <c r="Z143" s="20">
        <v>7</v>
      </c>
      <c r="AA143" s="20">
        <v>8</v>
      </c>
      <c r="AB143" s="20">
        <v>9</v>
      </c>
      <c r="AC143" s="20">
        <v>10</v>
      </c>
      <c r="AD143" s="20">
        <v>11</v>
      </c>
      <c r="AE143" s="20">
        <v>12</v>
      </c>
      <c r="AF143" s="798"/>
      <c r="AG143" s="20">
        <v>1</v>
      </c>
      <c r="AH143" s="20">
        <v>2</v>
      </c>
      <c r="AI143" s="20">
        <v>3</v>
      </c>
      <c r="AJ143" s="20">
        <v>4</v>
      </c>
      <c r="AK143" s="20">
        <v>5</v>
      </c>
      <c r="AL143" s="20">
        <v>6</v>
      </c>
      <c r="AM143" s="20">
        <v>7</v>
      </c>
      <c r="AN143" s="20">
        <v>8</v>
      </c>
      <c r="AO143" s="20">
        <v>9</v>
      </c>
      <c r="AP143" s="20">
        <v>10</v>
      </c>
      <c r="AQ143" s="20">
        <v>11</v>
      </c>
      <c r="AR143" s="20">
        <v>12</v>
      </c>
      <c r="AS143" s="20" t="s">
        <v>13</v>
      </c>
      <c r="AT143" s="111">
        <v>1</v>
      </c>
      <c r="AU143" s="111">
        <v>2</v>
      </c>
      <c r="AV143" s="111">
        <v>3</v>
      </c>
      <c r="AW143" s="111">
        <v>4</v>
      </c>
      <c r="AX143" s="111">
        <v>5</v>
      </c>
      <c r="AY143" s="111">
        <v>6</v>
      </c>
      <c r="AZ143" s="111">
        <v>7</v>
      </c>
      <c r="BA143" s="111">
        <v>8</v>
      </c>
      <c r="BB143" s="111">
        <v>9</v>
      </c>
      <c r="BC143" s="111">
        <v>10</v>
      </c>
      <c r="BD143" s="111">
        <v>11</v>
      </c>
      <c r="BE143" s="111">
        <v>12</v>
      </c>
      <c r="BF143" s="20" t="s">
        <v>13</v>
      </c>
      <c r="BG143" s="789"/>
      <c r="BH143" s="789"/>
      <c r="BI143" s="792"/>
      <c r="BJ143" s="6"/>
      <c r="BK143" s="564"/>
      <c r="BL143" s="784" t="s">
        <v>19</v>
      </c>
      <c r="BM143" s="785"/>
      <c r="BN143" s="786"/>
      <c r="BO143" s="337"/>
      <c r="BP143" s="111">
        <v>1</v>
      </c>
      <c r="BQ143" s="111">
        <v>2</v>
      </c>
      <c r="BR143" s="111">
        <v>3</v>
      </c>
      <c r="BS143" s="111">
        <v>4</v>
      </c>
      <c r="BT143" s="111">
        <v>5</v>
      </c>
      <c r="BU143" s="111">
        <v>6</v>
      </c>
      <c r="BV143" s="111">
        <v>7</v>
      </c>
      <c r="BW143" s="111">
        <v>8</v>
      </c>
      <c r="BX143" s="111">
        <v>9</v>
      </c>
      <c r="BY143" s="111">
        <v>10</v>
      </c>
      <c r="BZ143" s="111">
        <v>11</v>
      </c>
      <c r="CA143" s="111">
        <v>12</v>
      </c>
      <c r="CB143" s="20" t="s">
        <v>13</v>
      </c>
      <c r="CC143" s="111">
        <v>1</v>
      </c>
      <c r="CD143" s="111">
        <v>2</v>
      </c>
      <c r="CE143" s="111">
        <v>3</v>
      </c>
      <c r="CF143" s="111">
        <v>4</v>
      </c>
      <c r="CG143" s="111">
        <v>5</v>
      </c>
      <c r="CH143" s="111">
        <v>6</v>
      </c>
      <c r="CI143" s="111">
        <v>7</v>
      </c>
      <c r="CJ143" s="111">
        <v>8</v>
      </c>
      <c r="CK143" s="111">
        <v>9</v>
      </c>
      <c r="CL143" s="111">
        <v>10</v>
      </c>
      <c r="CM143" s="111">
        <v>11</v>
      </c>
      <c r="CN143" s="111">
        <v>12</v>
      </c>
      <c r="CO143" s="20" t="s">
        <v>13</v>
      </c>
      <c r="CP143" s="333"/>
      <c r="CQ143" s="333"/>
      <c r="CR143" s="333"/>
      <c r="CS143" s="333"/>
      <c r="CT143" s="358"/>
      <c r="CU143" s="348"/>
      <c r="CV143" s="359"/>
      <c r="CW143" s="21"/>
      <c r="CX143" s="21"/>
      <c r="CY143" s="21"/>
      <c r="CZ143" s="21"/>
      <c r="DA143" s="21"/>
      <c r="DB143" s="21"/>
      <c r="DC143" s="21"/>
      <c r="DD143" s="21"/>
      <c r="DE143" s="21"/>
    </row>
    <row r="144" spans="1:127" s="70" customFormat="1" ht="24.75" customHeight="1" x14ac:dyDescent="0.2">
      <c r="A144" s="64"/>
      <c r="B144" s="345" t="s">
        <v>3</v>
      </c>
      <c r="C144" s="65" t="s">
        <v>59</v>
      </c>
      <c r="D144" s="299">
        <v>183</v>
      </c>
      <c r="E144" s="581">
        <v>90</v>
      </c>
      <c r="F144" s="581">
        <v>90</v>
      </c>
      <c r="G144" s="428"/>
      <c r="H144" s="66"/>
      <c r="I144" s="67"/>
      <c r="J144" s="67"/>
      <c r="K144" s="66"/>
      <c r="L144" s="67"/>
      <c r="M144" s="67"/>
      <c r="N144" s="67"/>
      <c r="O144" s="67"/>
      <c r="P144" s="67"/>
      <c r="Q144" s="339">
        <f t="shared" ref="Q144:Q146" si="510">SUM(E144:P144)</f>
        <v>180</v>
      </c>
      <c r="R144" s="114" t="s">
        <v>11</v>
      </c>
      <c r="S144" s="374">
        <v>100000</v>
      </c>
      <c r="T144" s="578">
        <v>100000</v>
      </c>
      <c r="U144" s="588">
        <v>100000</v>
      </c>
      <c r="V144" s="435"/>
      <c r="W144" s="434"/>
      <c r="X144" s="434"/>
      <c r="Y144" s="322"/>
      <c r="Z144" s="374"/>
      <c r="AA144" s="322"/>
      <c r="AB144" s="322"/>
      <c r="AC144" s="322"/>
      <c r="AD144" s="322"/>
      <c r="AE144" s="322"/>
      <c r="AF144" s="51">
        <f t="shared" ref="AF144:AF146" si="511">Q144*S144</f>
        <v>18000000</v>
      </c>
      <c r="AG144" s="580">
        <f t="shared" ref="AG144:AG146" si="512">T144*E144</f>
        <v>9000000</v>
      </c>
      <c r="AH144" s="556">
        <f t="shared" ref="AH144:AH146" si="513">U144*F144</f>
        <v>9000000</v>
      </c>
      <c r="AI144" s="323">
        <f t="shared" ref="AI144:AI146" si="514">V144*G144</f>
        <v>0</v>
      </c>
      <c r="AJ144" s="323">
        <f t="shared" ref="AJ144:AJ146" si="515">W144*H144</f>
        <v>0</v>
      </c>
      <c r="AK144" s="323">
        <f t="shared" ref="AK144:AK146" si="516">X144*I144</f>
        <v>0</v>
      </c>
      <c r="AL144" s="323">
        <f t="shared" ref="AL144:AL146" si="517">Y144*J144</f>
        <v>0</v>
      </c>
      <c r="AM144" s="323">
        <f t="shared" ref="AM144:AM146" si="518">Z144*K144</f>
        <v>0</v>
      </c>
      <c r="AN144" s="323">
        <f t="shared" ref="AN144:AN146" si="519">AA144*L144</f>
        <v>0</v>
      </c>
      <c r="AO144" s="323">
        <f t="shared" ref="AO144:AO146" si="520">AB144*M144</f>
        <v>0</v>
      </c>
      <c r="AP144" s="323">
        <f t="shared" ref="AP144:AP146" si="521">AC144*N144</f>
        <v>0</v>
      </c>
      <c r="AQ144" s="323">
        <f t="shared" ref="AQ144:AQ146" si="522">AD144*O144</f>
        <v>0</v>
      </c>
      <c r="AR144" s="323">
        <f t="shared" ref="AR144:AR146" si="523">AE144*P144</f>
        <v>0</v>
      </c>
      <c r="AS144" s="324">
        <f t="shared" ref="AS144" si="524">SUM(AG144:AR144)</f>
        <v>18000000</v>
      </c>
      <c r="AT144" s="323"/>
      <c r="AU144" s="323"/>
      <c r="AV144" s="323"/>
      <c r="AW144" s="323"/>
      <c r="AX144" s="323"/>
      <c r="AY144" s="323"/>
      <c r="AZ144" s="323"/>
      <c r="BA144" s="323"/>
      <c r="BB144" s="323"/>
      <c r="BC144" s="323"/>
      <c r="BD144" s="323"/>
      <c r="BE144" s="323"/>
      <c r="BF144" s="55">
        <f t="shared" ref="BF144:BF146" si="525">SUM(AT144:BE144)</f>
        <v>0</v>
      </c>
      <c r="BG144" s="72">
        <f t="shared" ref="BG144:BG147" si="526">AF144-AS144-BF144</f>
        <v>0</v>
      </c>
      <c r="BH144" s="73">
        <f t="shared" ref="BH144:BH146" si="527">S144*D144</f>
        <v>18300000</v>
      </c>
      <c r="BI144" s="74">
        <f t="shared" ref="BI144:BI146" si="528">BH144-AS144-BF144</f>
        <v>300000</v>
      </c>
      <c r="BJ144" s="99">
        <f>SUM(Q144/D144)</f>
        <v>0.98360655737704916</v>
      </c>
      <c r="BK144" s="565"/>
      <c r="BL144" s="323"/>
      <c r="BM144" s="323"/>
      <c r="BN144" s="323"/>
      <c r="BO144" s="561"/>
      <c r="BP144" s="323"/>
      <c r="BQ144" s="323"/>
      <c r="BR144" s="323"/>
      <c r="BS144" s="323"/>
      <c r="BT144" s="323"/>
      <c r="BU144" s="323"/>
      <c r="BV144" s="323"/>
      <c r="BW144" s="323"/>
      <c r="BX144" s="323"/>
      <c r="BY144" s="323"/>
      <c r="BZ144" s="323"/>
      <c r="CA144" s="323"/>
      <c r="CB144" s="55">
        <f t="shared" ref="CB144:CB146" si="529">SUM(BP144:CA144)</f>
        <v>0</v>
      </c>
      <c r="CC144" s="323"/>
      <c r="CD144" s="323"/>
      <c r="CE144" s="323"/>
      <c r="CF144" s="323"/>
      <c r="CG144" s="323"/>
      <c r="CH144" s="323"/>
      <c r="CI144" s="323"/>
      <c r="CJ144" s="323"/>
      <c r="CK144" s="323"/>
      <c r="CL144" s="323"/>
      <c r="CM144" s="323"/>
      <c r="CN144" s="323"/>
      <c r="CO144" s="55">
        <f t="shared" ref="CO144:CO146" si="530">SUM(CC144:CN144)</f>
        <v>0</v>
      </c>
      <c r="CP144" s="334"/>
      <c r="CQ144" s="334"/>
      <c r="CR144" s="334"/>
      <c r="CS144" s="334"/>
      <c r="CT144" s="360"/>
      <c r="CU144" s="349"/>
      <c r="CV144" s="361"/>
      <c r="CW144" s="69"/>
      <c r="CX144" s="69"/>
      <c r="CY144" s="69"/>
      <c r="CZ144" s="69"/>
      <c r="DA144" s="69"/>
      <c r="DB144" s="69"/>
      <c r="DC144" s="69"/>
      <c r="DD144" s="69"/>
      <c r="DE144" s="69"/>
    </row>
    <row r="145" spans="1:109" s="70" customFormat="1" ht="24.75" customHeight="1" x14ac:dyDescent="0.2">
      <c r="A145" s="64"/>
      <c r="B145" s="345" t="s">
        <v>66</v>
      </c>
      <c r="C145" s="65" t="s">
        <v>59</v>
      </c>
      <c r="D145" s="299">
        <v>61</v>
      </c>
      <c r="E145" s="581">
        <v>30</v>
      </c>
      <c r="F145" s="581">
        <v>30</v>
      </c>
      <c r="G145" s="428"/>
      <c r="H145" s="66"/>
      <c r="I145" s="67"/>
      <c r="J145" s="67"/>
      <c r="K145" s="66"/>
      <c r="L145" s="67"/>
      <c r="M145" s="67"/>
      <c r="N145" s="67"/>
      <c r="O145" s="67"/>
      <c r="P145" s="67"/>
      <c r="Q145" s="339">
        <f t="shared" si="510"/>
        <v>60</v>
      </c>
      <c r="R145" s="114" t="s">
        <v>11</v>
      </c>
      <c r="S145" s="374">
        <v>120000</v>
      </c>
      <c r="T145" s="578">
        <v>120000</v>
      </c>
      <c r="U145" s="588">
        <v>120000</v>
      </c>
      <c r="V145" s="435"/>
      <c r="W145" s="434"/>
      <c r="X145" s="434"/>
      <c r="Y145" s="322"/>
      <c r="Z145" s="374"/>
      <c r="AA145" s="322"/>
      <c r="AB145" s="322"/>
      <c r="AC145" s="322"/>
      <c r="AD145" s="322"/>
      <c r="AE145" s="322"/>
      <c r="AF145" s="51">
        <f t="shared" si="511"/>
        <v>7200000</v>
      </c>
      <c r="AG145" s="580">
        <f t="shared" si="512"/>
        <v>3600000</v>
      </c>
      <c r="AH145" s="556">
        <f t="shared" si="513"/>
        <v>3600000</v>
      </c>
      <c r="AI145" s="323">
        <f t="shared" si="514"/>
        <v>0</v>
      </c>
      <c r="AJ145" s="323">
        <f t="shared" si="515"/>
        <v>0</v>
      </c>
      <c r="AK145" s="323">
        <f t="shared" si="516"/>
        <v>0</v>
      </c>
      <c r="AL145" s="323">
        <f t="shared" si="517"/>
        <v>0</v>
      </c>
      <c r="AM145" s="323">
        <f t="shared" si="518"/>
        <v>0</v>
      </c>
      <c r="AN145" s="323">
        <f t="shared" si="519"/>
        <v>0</v>
      </c>
      <c r="AO145" s="323">
        <f t="shared" si="520"/>
        <v>0</v>
      </c>
      <c r="AP145" s="323">
        <f t="shared" si="521"/>
        <v>0</v>
      </c>
      <c r="AQ145" s="323">
        <f t="shared" si="522"/>
        <v>0</v>
      </c>
      <c r="AR145" s="323">
        <f t="shared" si="523"/>
        <v>0</v>
      </c>
      <c r="AS145" s="324">
        <f t="shared" ref="AS145:AS146" si="531">SUM(AG145:AR145)</f>
        <v>7200000</v>
      </c>
      <c r="AT145" s="323"/>
      <c r="AU145" s="323"/>
      <c r="AV145" s="323"/>
      <c r="AW145" s="323"/>
      <c r="AX145" s="323"/>
      <c r="AY145" s="323"/>
      <c r="AZ145" s="323"/>
      <c r="BA145" s="323"/>
      <c r="BB145" s="323"/>
      <c r="BC145" s="323"/>
      <c r="BD145" s="323"/>
      <c r="BE145" s="323"/>
      <c r="BF145" s="55">
        <f t="shared" si="525"/>
        <v>0</v>
      </c>
      <c r="BG145" s="72">
        <f t="shared" si="526"/>
        <v>0</v>
      </c>
      <c r="BH145" s="73">
        <f t="shared" si="527"/>
        <v>7320000</v>
      </c>
      <c r="BI145" s="74">
        <f t="shared" si="528"/>
        <v>120000</v>
      </c>
      <c r="BJ145" s="99">
        <f>SUM(Q145/D145)</f>
        <v>0.98360655737704916</v>
      </c>
      <c r="BK145" s="565"/>
      <c r="BL145" s="323"/>
      <c r="BM145" s="323"/>
      <c r="BN145" s="323"/>
      <c r="BO145" s="561"/>
      <c r="BP145" s="323"/>
      <c r="BQ145" s="323"/>
      <c r="BR145" s="323"/>
      <c r="BS145" s="323"/>
      <c r="BT145" s="323"/>
      <c r="BU145" s="323"/>
      <c r="BV145" s="323"/>
      <c r="BW145" s="323"/>
      <c r="BX145" s="323"/>
      <c r="BY145" s="323"/>
      <c r="BZ145" s="323"/>
      <c r="CA145" s="323"/>
      <c r="CB145" s="55">
        <f t="shared" si="529"/>
        <v>0</v>
      </c>
      <c r="CC145" s="323"/>
      <c r="CD145" s="323"/>
      <c r="CE145" s="323"/>
      <c r="CF145" s="323"/>
      <c r="CG145" s="323"/>
      <c r="CH145" s="323"/>
      <c r="CI145" s="323"/>
      <c r="CJ145" s="323"/>
      <c r="CK145" s="323"/>
      <c r="CL145" s="323"/>
      <c r="CM145" s="323"/>
      <c r="CN145" s="323"/>
      <c r="CO145" s="55">
        <f t="shared" si="530"/>
        <v>0</v>
      </c>
      <c r="CT145" s="364"/>
      <c r="CU145" s="352"/>
      <c r="CV145" s="361"/>
      <c r="CW145" s="69"/>
      <c r="CX145" s="69"/>
      <c r="CY145" s="69"/>
      <c r="CZ145" s="69"/>
      <c r="DA145" s="69"/>
      <c r="DB145" s="69"/>
      <c r="DC145" s="69"/>
      <c r="DD145" s="69"/>
      <c r="DE145" s="69"/>
    </row>
    <row r="146" spans="1:109" s="70" customFormat="1" ht="24.75" customHeight="1" thickBot="1" x14ac:dyDescent="0.25">
      <c r="A146" s="64"/>
      <c r="B146" s="345" t="s">
        <v>67</v>
      </c>
      <c r="C146" s="65" t="s">
        <v>59</v>
      </c>
      <c r="D146" s="299">
        <v>8</v>
      </c>
      <c r="E146" s="559"/>
      <c r="F146" s="581">
        <v>8</v>
      </c>
      <c r="G146" s="429"/>
      <c r="H146" s="67"/>
      <c r="I146" s="67"/>
      <c r="J146" s="67"/>
      <c r="K146" s="67"/>
      <c r="L146" s="67"/>
      <c r="M146" s="67"/>
      <c r="N146" s="67"/>
      <c r="O146" s="67"/>
      <c r="P146" s="67"/>
      <c r="Q146" s="339">
        <f t="shared" si="510"/>
        <v>8</v>
      </c>
      <c r="R146" s="114" t="s">
        <v>11</v>
      </c>
      <c r="S146" s="374">
        <v>130000</v>
      </c>
      <c r="T146" s="558"/>
      <c r="U146" s="589">
        <v>130000</v>
      </c>
      <c r="V146" s="434"/>
      <c r="W146" s="434"/>
      <c r="X146" s="434"/>
      <c r="Y146" s="322"/>
      <c r="Z146" s="322"/>
      <c r="AA146" s="322"/>
      <c r="AB146" s="322"/>
      <c r="AC146" s="322"/>
      <c r="AD146" s="322"/>
      <c r="AE146" s="322"/>
      <c r="AF146" s="51">
        <f t="shared" si="511"/>
        <v>1040000</v>
      </c>
      <c r="AG146" s="580">
        <f t="shared" si="512"/>
        <v>0</v>
      </c>
      <c r="AH146" s="556">
        <f t="shared" si="513"/>
        <v>1040000</v>
      </c>
      <c r="AI146" s="323">
        <f t="shared" si="514"/>
        <v>0</v>
      </c>
      <c r="AJ146" s="323">
        <f t="shared" si="515"/>
        <v>0</v>
      </c>
      <c r="AK146" s="323">
        <f t="shared" si="516"/>
        <v>0</v>
      </c>
      <c r="AL146" s="323">
        <f t="shared" si="517"/>
        <v>0</v>
      </c>
      <c r="AM146" s="323">
        <f t="shared" si="518"/>
        <v>0</v>
      </c>
      <c r="AN146" s="323">
        <f t="shared" si="519"/>
        <v>0</v>
      </c>
      <c r="AO146" s="323">
        <f t="shared" si="520"/>
        <v>0</v>
      </c>
      <c r="AP146" s="323">
        <f t="shared" si="521"/>
        <v>0</v>
      </c>
      <c r="AQ146" s="323">
        <f t="shared" si="522"/>
        <v>0</v>
      </c>
      <c r="AR146" s="323">
        <f t="shared" si="523"/>
        <v>0</v>
      </c>
      <c r="AS146" s="324">
        <f t="shared" si="531"/>
        <v>1040000</v>
      </c>
      <c r="AT146" s="323"/>
      <c r="AU146" s="323"/>
      <c r="AV146" s="323"/>
      <c r="AW146" s="323"/>
      <c r="AX146" s="323"/>
      <c r="AY146" s="323"/>
      <c r="AZ146" s="323"/>
      <c r="BA146" s="323"/>
      <c r="BB146" s="323"/>
      <c r="BC146" s="323"/>
      <c r="BD146" s="323"/>
      <c r="BE146" s="323"/>
      <c r="BF146" s="55">
        <f t="shared" si="525"/>
        <v>0</v>
      </c>
      <c r="BG146" s="72">
        <f t="shared" si="526"/>
        <v>0</v>
      </c>
      <c r="BH146" s="73">
        <f t="shared" si="527"/>
        <v>1040000</v>
      </c>
      <c r="BI146" s="74">
        <f t="shared" si="528"/>
        <v>0</v>
      </c>
      <c r="BJ146" s="99">
        <f>SUM(Q146/D146)</f>
        <v>1</v>
      </c>
      <c r="BK146" s="565"/>
      <c r="BL146" s="323"/>
      <c r="BM146" s="323"/>
      <c r="BN146" s="323"/>
      <c r="BO146" s="561"/>
      <c r="BP146" s="323">
        <f>SUM(AY146*14%)</f>
        <v>0</v>
      </c>
      <c r="BQ146" s="323"/>
      <c r="BR146" s="323"/>
      <c r="BS146" s="323"/>
      <c r="BT146" s="323"/>
      <c r="BU146" s="323"/>
      <c r="BV146" s="323"/>
      <c r="BW146" s="323"/>
      <c r="BX146" s="323"/>
      <c r="BY146" s="323"/>
      <c r="BZ146" s="323"/>
      <c r="CA146" s="323"/>
      <c r="CB146" s="55">
        <f t="shared" si="529"/>
        <v>0</v>
      </c>
      <c r="CC146" s="323">
        <f>SUM(BQ146*14%)</f>
        <v>0</v>
      </c>
      <c r="CD146" s="323"/>
      <c r="CE146" s="323"/>
      <c r="CF146" s="323"/>
      <c r="CG146" s="323"/>
      <c r="CH146" s="323"/>
      <c r="CI146" s="323"/>
      <c r="CJ146" s="323"/>
      <c r="CK146" s="323"/>
      <c r="CL146" s="323"/>
      <c r="CM146" s="323"/>
      <c r="CN146" s="323"/>
      <c r="CO146" s="55">
        <f t="shared" si="530"/>
        <v>0</v>
      </c>
      <c r="CP146" s="334"/>
      <c r="CQ146" s="334"/>
      <c r="CR146" s="334"/>
      <c r="CS146" s="334"/>
      <c r="CT146" s="360"/>
      <c r="CU146" s="349"/>
      <c r="CV146" s="361"/>
      <c r="CW146" s="69"/>
      <c r="CX146" s="69"/>
      <c r="CY146" s="69"/>
      <c r="CZ146" s="69"/>
      <c r="DA146" s="69"/>
      <c r="DB146" s="69"/>
      <c r="DC146" s="69"/>
      <c r="DD146" s="69"/>
      <c r="DE146" s="69"/>
    </row>
    <row r="147" spans="1:109" s="27" customFormat="1" ht="24.75" customHeight="1" thickBot="1" x14ac:dyDescent="0.25">
      <c r="A147" s="30"/>
      <c r="B147" s="31" t="s">
        <v>4</v>
      </c>
      <c r="C147" s="31"/>
      <c r="D147" s="30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4"/>
      <c r="R147" s="58"/>
      <c r="S147" s="141"/>
      <c r="T147" s="142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8">
        <f t="shared" ref="AF147:BF147" si="532">SUM(AF144:AF146)</f>
        <v>26240000</v>
      </c>
      <c r="AG147" s="579">
        <f t="shared" si="532"/>
        <v>12600000</v>
      </c>
      <c r="AH147" s="78">
        <f t="shared" si="532"/>
        <v>13640000</v>
      </c>
      <c r="AI147" s="78">
        <f t="shared" si="532"/>
        <v>0</v>
      </c>
      <c r="AJ147" s="78">
        <f t="shared" si="532"/>
        <v>0</v>
      </c>
      <c r="AK147" s="78">
        <f t="shared" si="532"/>
        <v>0</v>
      </c>
      <c r="AL147" s="78">
        <f t="shared" si="532"/>
        <v>0</v>
      </c>
      <c r="AM147" s="78">
        <f t="shared" si="532"/>
        <v>0</v>
      </c>
      <c r="AN147" s="78">
        <f t="shared" si="532"/>
        <v>0</v>
      </c>
      <c r="AO147" s="78">
        <f t="shared" si="532"/>
        <v>0</v>
      </c>
      <c r="AP147" s="78">
        <f t="shared" si="532"/>
        <v>0</v>
      </c>
      <c r="AQ147" s="78">
        <f t="shared" si="532"/>
        <v>0</v>
      </c>
      <c r="AR147" s="78">
        <f t="shared" si="532"/>
        <v>0</v>
      </c>
      <c r="AS147" s="78">
        <f t="shared" si="532"/>
        <v>26240000</v>
      </c>
      <c r="AT147" s="78">
        <f t="shared" si="532"/>
        <v>0</v>
      </c>
      <c r="AU147" s="78">
        <f t="shared" si="532"/>
        <v>0</v>
      </c>
      <c r="AV147" s="78">
        <f t="shared" si="532"/>
        <v>0</v>
      </c>
      <c r="AW147" s="78">
        <f t="shared" si="532"/>
        <v>0</v>
      </c>
      <c r="AX147" s="78">
        <f t="shared" si="532"/>
        <v>0</v>
      </c>
      <c r="AY147" s="78">
        <f t="shared" si="532"/>
        <v>0</v>
      </c>
      <c r="AZ147" s="78">
        <f t="shared" si="532"/>
        <v>0</v>
      </c>
      <c r="BA147" s="78">
        <f t="shared" si="532"/>
        <v>0</v>
      </c>
      <c r="BB147" s="78">
        <f t="shared" si="532"/>
        <v>0</v>
      </c>
      <c r="BC147" s="78">
        <f t="shared" si="532"/>
        <v>0</v>
      </c>
      <c r="BD147" s="78">
        <f t="shared" si="532"/>
        <v>0</v>
      </c>
      <c r="BE147" s="78">
        <f t="shared" si="532"/>
        <v>0</v>
      </c>
      <c r="BF147" s="78">
        <f t="shared" si="532"/>
        <v>0</v>
      </c>
      <c r="BG147" s="79">
        <f t="shared" si="526"/>
        <v>0</v>
      </c>
      <c r="BH147" s="78">
        <f>SUM(BH144:BH146)</f>
        <v>26660000</v>
      </c>
      <c r="BI147" s="78">
        <f>SUM(BI144:BI146)</f>
        <v>420000</v>
      </c>
      <c r="BJ147" s="100">
        <f>SUM(BJ144:BJ146)/4</f>
        <v>0.74180327868852458</v>
      </c>
      <c r="BK147" s="566"/>
      <c r="BL147" s="78">
        <f>SUM(BL144:BL146)</f>
        <v>0</v>
      </c>
      <c r="BM147" s="78"/>
      <c r="BN147" s="78"/>
      <c r="BO147" s="562"/>
      <c r="BP147" s="78">
        <f t="shared" ref="BP147:CO147" si="533">SUM(BP144:BP146)</f>
        <v>0</v>
      </c>
      <c r="BQ147" s="78">
        <f t="shared" si="533"/>
        <v>0</v>
      </c>
      <c r="BR147" s="78">
        <f t="shared" si="533"/>
        <v>0</v>
      </c>
      <c r="BS147" s="78">
        <f t="shared" si="533"/>
        <v>0</v>
      </c>
      <c r="BT147" s="78">
        <f t="shared" si="533"/>
        <v>0</v>
      </c>
      <c r="BU147" s="78">
        <f t="shared" si="533"/>
        <v>0</v>
      </c>
      <c r="BV147" s="78">
        <f t="shared" si="533"/>
        <v>0</v>
      </c>
      <c r="BW147" s="78">
        <f t="shared" si="533"/>
        <v>0</v>
      </c>
      <c r="BX147" s="78">
        <f t="shared" si="533"/>
        <v>0</v>
      </c>
      <c r="BY147" s="78">
        <f t="shared" si="533"/>
        <v>0</v>
      </c>
      <c r="BZ147" s="78">
        <f t="shared" si="533"/>
        <v>0</v>
      </c>
      <c r="CA147" s="78">
        <f t="shared" si="533"/>
        <v>0</v>
      </c>
      <c r="CB147" s="78">
        <f t="shared" si="533"/>
        <v>0</v>
      </c>
      <c r="CC147" s="78">
        <f t="shared" si="533"/>
        <v>0</v>
      </c>
      <c r="CD147" s="78">
        <f t="shared" si="533"/>
        <v>0</v>
      </c>
      <c r="CE147" s="78">
        <f t="shared" si="533"/>
        <v>0</v>
      </c>
      <c r="CF147" s="78">
        <f t="shared" si="533"/>
        <v>0</v>
      </c>
      <c r="CG147" s="78">
        <f t="shared" si="533"/>
        <v>0</v>
      </c>
      <c r="CH147" s="78">
        <f t="shared" si="533"/>
        <v>0</v>
      </c>
      <c r="CI147" s="78">
        <f t="shared" si="533"/>
        <v>0</v>
      </c>
      <c r="CJ147" s="78">
        <f t="shared" si="533"/>
        <v>0</v>
      </c>
      <c r="CK147" s="78">
        <f t="shared" si="533"/>
        <v>0</v>
      </c>
      <c r="CL147" s="78">
        <f t="shared" si="533"/>
        <v>0</v>
      </c>
      <c r="CM147" s="78">
        <f t="shared" si="533"/>
        <v>0</v>
      </c>
      <c r="CN147" s="78">
        <f t="shared" si="533"/>
        <v>0</v>
      </c>
      <c r="CO147" s="78">
        <f t="shared" si="533"/>
        <v>0</v>
      </c>
      <c r="CP147" s="330"/>
      <c r="CQ147" s="330"/>
      <c r="CR147" s="330"/>
      <c r="CS147" s="330"/>
      <c r="CT147" s="350"/>
      <c r="CU147" s="350"/>
      <c r="CV147" s="362"/>
      <c r="CW147" s="36"/>
      <c r="CX147" s="36"/>
      <c r="CY147" s="36"/>
      <c r="CZ147" s="36"/>
      <c r="DA147" s="36"/>
      <c r="DB147" s="36"/>
      <c r="DC147" s="36"/>
      <c r="DD147" s="36"/>
      <c r="DE147" s="36"/>
    </row>
    <row r="148" spans="1:109" s="534" customFormat="1" ht="25.5" customHeight="1" x14ac:dyDescent="0.2">
      <c r="A148" s="527"/>
      <c r="B148" s="528"/>
      <c r="C148" s="527"/>
      <c r="D148" s="527"/>
      <c r="E148" s="529"/>
      <c r="F148" s="529"/>
      <c r="G148" s="529"/>
      <c r="H148" s="529"/>
      <c r="I148" s="529"/>
      <c r="J148" s="529"/>
      <c r="K148" s="529"/>
      <c r="L148" s="529"/>
      <c r="M148" s="529"/>
      <c r="N148" s="529"/>
      <c r="O148" s="529"/>
      <c r="P148" s="529"/>
      <c r="Q148" s="530"/>
      <c r="R148" s="531"/>
      <c r="S148" s="532"/>
      <c r="T148" s="532"/>
      <c r="U148" s="533"/>
      <c r="V148" s="533"/>
      <c r="W148" s="533"/>
      <c r="X148" s="533"/>
      <c r="Y148" s="533"/>
      <c r="AE148" s="535"/>
      <c r="AF148" s="536"/>
      <c r="AH148" s="592">
        <f>SUM(AG147:AH147)</f>
        <v>26240000</v>
      </c>
      <c r="AS148" s="537"/>
      <c r="BF148" s="537"/>
      <c r="BG148" s="537"/>
      <c r="BH148" s="591"/>
      <c r="BI148" s="538"/>
      <c r="CB148" s="537"/>
      <c r="CO148" s="537"/>
      <c r="CP148" s="540"/>
      <c r="CQ148" s="540"/>
      <c r="CR148" s="540"/>
      <c r="CS148" s="540"/>
      <c r="CT148" s="541"/>
      <c r="CU148" s="542"/>
      <c r="CV148" s="543"/>
      <c r="CW148" s="539"/>
      <c r="CX148" s="539"/>
      <c r="CY148" s="539"/>
      <c r="CZ148" s="539"/>
      <c r="DA148" s="539"/>
      <c r="DB148" s="539"/>
      <c r="DC148" s="539"/>
      <c r="DD148" s="539"/>
      <c r="DE148" s="539"/>
    </row>
    <row r="149" spans="1:109" s="534" customFormat="1" ht="25.5" customHeight="1" x14ac:dyDescent="0.2">
      <c r="A149" s="527"/>
      <c r="B149" s="528"/>
      <c r="C149" s="527"/>
      <c r="D149" s="527"/>
      <c r="E149" s="529"/>
      <c r="F149" s="529"/>
      <c r="G149" s="529"/>
      <c r="H149" s="529"/>
      <c r="I149" s="529"/>
      <c r="J149" s="529"/>
      <c r="K149" s="529"/>
      <c r="L149" s="529"/>
      <c r="M149" s="529"/>
      <c r="N149" s="529"/>
      <c r="O149" s="529"/>
      <c r="P149" s="529"/>
      <c r="Q149" s="530"/>
      <c r="R149" s="531"/>
      <c r="S149" s="532"/>
      <c r="T149" s="532"/>
      <c r="U149" s="533"/>
      <c r="V149" s="533"/>
      <c r="W149" s="533"/>
      <c r="X149" s="533"/>
      <c r="Y149" s="533"/>
      <c r="AE149" s="535"/>
      <c r="AF149" s="536"/>
      <c r="AH149" s="593">
        <v>5000000</v>
      </c>
      <c r="AI149" s="534" t="s">
        <v>232</v>
      </c>
      <c r="AS149" s="537"/>
      <c r="BF149" s="537"/>
      <c r="BG149" s="537"/>
      <c r="BH149" s="537"/>
      <c r="BI149" s="537"/>
      <c r="CB149" s="537"/>
      <c r="CO149" s="537"/>
      <c r="CP149" s="540"/>
      <c r="CQ149" s="540"/>
      <c r="CR149" s="540"/>
      <c r="CS149" s="540"/>
      <c r="CT149" s="541"/>
      <c r="CU149" s="542"/>
      <c r="CV149" s="543"/>
      <c r="CW149" s="539"/>
      <c r="CX149" s="539"/>
      <c r="CY149" s="539"/>
      <c r="CZ149" s="539"/>
      <c r="DA149" s="539"/>
      <c r="DB149" s="539"/>
      <c r="DC149" s="539"/>
      <c r="DD149" s="539"/>
      <c r="DE149" s="539"/>
    </row>
    <row r="150" spans="1:109" s="534" customFormat="1" ht="25.5" customHeight="1" x14ac:dyDescent="0.2">
      <c r="A150" s="527"/>
      <c r="B150" s="528"/>
      <c r="C150" s="527"/>
      <c r="D150" s="527"/>
      <c r="E150" s="529"/>
      <c r="F150" s="529"/>
      <c r="G150" s="529"/>
      <c r="H150" s="529"/>
      <c r="I150" s="529"/>
      <c r="J150" s="529"/>
      <c r="K150" s="529"/>
      <c r="L150" s="529"/>
      <c r="M150" s="529"/>
      <c r="N150" s="529"/>
      <c r="O150" s="529"/>
      <c r="P150" s="529"/>
      <c r="Q150" s="530"/>
      <c r="R150" s="531"/>
      <c r="S150" s="532"/>
      <c r="T150" s="532"/>
      <c r="U150" s="533"/>
      <c r="V150" s="533"/>
      <c r="W150" s="533"/>
      <c r="X150" s="533"/>
      <c r="Y150" s="533"/>
      <c r="AE150" s="535"/>
      <c r="AF150" s="536"/>
      <c r="AH150" s="593">
        <v>1000000</v>
      </c>
      <c r="AI150" s="534" t="s">
        <v>233</v>
      </c>
      <c r="AS150" s="537"/>
      <c r="BF150" s="537"/>
      <c r="BG150" s="537"/>
      <c r="BH150" s="537"/>
      <c r="BI150" s="537"/>
      <c r="CB150" s="537"/>
      <c r="CO150" s="537"/>
      <c r="CP150" s="540"/>
      <c r="CQ150" s="540"/>
      <c r="CR150" s="540"/>
      <c r="CS150" s="540"/>
      <c r="CT150" s="541"/>
      <c r="CU150" s="542"/>
      <c r="CV150" s="543"/>
      <c r="CW150" s="539"/>
      <c r="CX150" s="539"/>
      <c r="CY150" s="539"/>
      <c r="CZ150" s="539"/>
      <c r="DA150" s="539"/>
      <c r="DB150" s="539"/>
      <c r="DC150" s="539"/>
      <c r="DD150" s="539"/>
      <c r="DE150" s="539"/>
    </row>
    <row r="151" spans="1:109" s="534" customFormat="1" ht="25.5" customHeight="1" x14ac:dyDescent="0.2">
      <c r="A151" s="527"/>
      <c r="B151" s="528"/>
      <c r="C151" s="527"/>
      <c r="D151" s="527"/>
      <c r="E151" s="529"/>
      <c r="F151" s="529"/>
      <c r="G151" s="529"/>
      <c r="H151" s="529"/>
      <c r="I151" s="529"/>
      <c r="J151" s="529"/>
      <c r="K151" s="529"/>
      <c r="L151" s="529"/>
      <c r="M151" s="529"/>
      <c r="N151" s="529"/>
      <c r="O151" s="529"/>
      <c r="P151" s="529"/>
      <c r="Q151" s="530"/>
      <c r="R151" s="531"/>
      <c r="S151" s="532"/>
      <c r="T151" s="532"/>
      <c r="U151" s="533"/>
      <c r="V151" s="533"/>
      <c r="W151" s="533"/>
      <c r="X151" s="533"/>
      <c r="Y151" s="533"/>
      <c r="AE151" s="535"/>
      <c r="AF151" s="536"/>
      <c r="AH151" s="594">
        <f>SUM(AH148-AH149-AH150)</f>
        <v>20240000</v>
      </c>
      <c r="AS151" s="537"/>
      <c r="BF151" s="537"/>
      <c r="BG151" s="537"/>
      <c r="BH151" s="538"/>
      <c r="BI151" s="538"/>
      <c r="CB151" s="537"/>
      <c r="CO151" s="537"/>
      <c r="CP151" s="540"/>
      <c r="CQ151" s="540"/>
      <c r="CR151" s="540"/>
      <c r="CS151" s="540"/>
      <c r="CT151" s="541"/>
      <c r="CU151" s="542"/>
      <c r="CV151" s="543"/>
      <c r="CW151" s="539"/>
      <c r="CX151" s="539"/>
      <c r="CY151" s="539"/>
      <c r="CZ151" s="539"/>
      <c r="DA151" s="539"/>
      <c r="DB151" s="539"/>
      <c r="DC151" s="539"/>
      <c r="DD151" s="539"/>
      <c r="DE151" s="539"/>
    </row>
    <row r="152" spans="1:109" s="93" customFormat="1" ht="25.5" customHeight="1" x14ac:dyDescent="0.2">
      <c r="A152" s="102"/>
      <c r="B152" s="301"/>
      <c r="C152" s="102"/>
      <c r="D152" s="10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4"/>
      <c r="R152" s="7"/>
      <c r="S152" s="514"/>
      <c r="T152" s="514"/>
      <c r="U152" s="6"/>
      <c r="V152" s="6"/>
      <c r="W152" s="6"/>
      <c r="X152" s="6"/>
      <c r="Y152" s="6"/>
      <c r="AE152" s="517"/>
      <c r="AF152" s="518"/>
      <c r="AS152" s="519"/>
      <c r="BF152" s="519"/>
      <c r="BG152" s="519"/>
      <c r="BH152" s="520"/>
      <c r="BI152" s="520"/>
      <c r="CB152" s="519"/>
      <c r="CO152" s="519"/>
      <c r="CP152" s="522"/>
      <c r="CQ152" s="522"/>
      <c r="CR152" s="522"/>
      <c r="CS152" s="522"/>
      <c r="CT152" s="523"/>
      <c r="CU152" s="524"/>
      <c r="CV152" s="525"/>
      <c r="CW152" s="521"/>
      <c r="CX152" s="521"/>
      <c r="CY152" s="521"/>
      <c r="CZ152" s="521"/>
      <c r="DA152" s="521"/>
      <c r="DB152" s="521"/>
      <c r="DC152" s="521"/>
      <c r="DD152" s="521"/>
      <c r="DE152" s="521"/>
    </row>
    <row r="153" spans="1:109" s="93" customFormat="1" ht="25.5" customHeight="1" x14ac:dyDescent="0.2">
      <c r="A153" s="102"/>
      <c r="B153" s="301"/>
      <c r="C153" s="102"/>
      <c r="D153" s="10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4"/>
      <c r="R153" s="7"/>
      <c r="S153" s="514"/>
      <c r="T153" s="514"/>
      <c r="U153" s="6"/>
      <c r="V153" s="6"/>
      <c r="W153" s="6"/>
      <c r="X153" s="6"/>
      <c r="Y153" s="6"/>
      <c r="AE153" s="517"/>
      <c r="AF153" s="518"/>
      <c r="AS153" s="519"/>
      <c r="BF153" s="519"/>
      <c r="BG153" s="519"/>
      <c r="BH153" s="520"/>
      <c r="BI153" s="520"/>
      <c r="CB153" s="519"/>
      <c r="CO153" s="519"/>
      <c r="CP153" s="522"/>
      <c r="CQ153" s="522"/>
      <c r="CR153" s="522"/>
      <c r="CS153" s="522"/>
      <c r="CT153" s="523"/>
      <c r="CU153" s="524"/>
      <c r="CV153" s="525"/>
      <c r="CW153" s="521"/>
      <c r="CX153" s="521"/>
      <c r="CY153" s="521"/>
      <c r="CZ153" s="521"/>
      <c r="DA153" s="521"/>
      <c r="DB153" s="521"/>
      <c r="DC153" s="521"/>
      <c r="DD153" s="521"/>
      <c r="DE153" s="521"/>
    </row>
    <row r="154" spans="1:109" s="93" customFormat="1" ht="25.5" customHeight="1" x14ac:dyDescent="0.2">
      <c r="A154" s="102"/>
      <c r="B154" s="301"/>
      <c r="C154" s="102"/>
      <c r="D154" s="10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14"/>
      <c r="R154" s="7"/>
      <c r="S154" s="514"/>
      <c r="T154" s="514"/>
      <c r="U154" s="6"/>
      <c r="V154" s="6"/>
      <c r="W154" s="6"/>
      <c r="X154" s="6"/>
      <c r="Y154" s="6"/>
      <c r="AE154" s="517"/>
      <c r="AF154" s="518"/>
      <c r="AS154" s="519"/>
      <c r="BF154" s="519"/>
      <c r="BG154" s="519"/>
      <c r="BH154" s="520"/>
      <c r="BI154" s="520"/>
      <c r="CB154" s="519"/>
      <c r="CO154" s="519"/>
      <c r="CP154" s="522"/>
      <c r="CQ154" s="522"/>
      <c r="CR154" s="522"/>
      <c r="CS154" s="522"/>
      <c r="CT154" s="523"/>
      <c r="CU154" s="524"/>
      <c r="CV154" s="525"/>
      <c r="CW154" s="521"/>
      <c r="CX154" s="521"/>
      <c r="CY154" s="521"/>
      <c r="CZ154" s="521"/>
      <c r="DA154" s="521"/>
      <c r="DB154" s="521"/>
      <c r="DC154" s="521"/>
      <c r="DD154" s="521"/>
      <c r="DE154" s="521"/>
    </row>
    <row r="155" spans="1:109" s="93" customFormat="1" ht="25.5" customHeight="1" x14ac:dyDescent="0.2">
      <c r="A155" s="102"/>
      <c r="B155" s="301"/>
      <c r="C155" s="102"/>
      <c r="D155" s="10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4"/>
      <c r="R155" s="7"/>
      <c r="S155" s="514"/>
      <c r="T155" s="514"/>
      <c r="U155" s="6"/>
      <c r="V155" s="6"/>
      <c r="W155" s="6"/>
      <c r="X155" s="6"/>
      <c r="Y155" s="6"/>
      <c r="AE155" s="517"/>
      <c r="AF155" s="518"/>
      <c r="AS155" s="519"/>
      <c r="BF155" s="519"/>
      <c r="BG155" s="519"/>
      <c r="BH155" s="520"/>
      <c r="BI155" s="520"/>
      <c r="CB155" s="519"/>
      <c r="CO155" s="519"/>
      <c r="CP155" s="522"/>
      <c r="CQ155" s="522"/>
      <c r="CR155" s="522"/>
      <c r="CS155" s="522"/>
      <c r="CT155" s="523"/>
      <c r="CU155" s="524"/>
      <c r="CV155" s="525"/>
      <c r="CW155" s="521"/>
      <c r="CX155" s="521"/>
      <c r="CY155" s="521"/>
      <c r="CZ155" s="521"/>
      <c r="DA155" s="521"/>
      <c r="DB155" s="521"/>
      <c r="DC155" s="521"/>
      <c r="DD155" s="521"/>
      <c r="DE155" s="521"/>
    </row>
    <row r="156" spans="1:109" s="93" customFormat="1" ht="25.5" customHeight="1" x14ac:dyDescent="0.2">
      <c r="A156" s="102"/>
      <c r="B156" s="301"/>
      <c r="C156" s="102"/>
      <c r="D156" s="10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4"/>
      <c r="R156" s="7"/>
      <c r="S156" s="514"/>
      <c r="T156" s="514"/>
      <c r="U156" s="6"/>
      <c r="V156" s="6"/>
      <c r="W156" s="6"/>
      <c r="X156" s="6"/>
      <c r="Y156" s="6"/>
      <c r="AE156" s="517"/>
      <c r="AF156" s="518"/>
      <c r="AS156" s="519"/>
      <c r="BF156" s="519"/>
      <c r="BG156" s="519"/>
      <c r="BH156" s="520"/>
      <c r="BI156" s="520"/>
      <c r="CB156" s="519"/>
      <c r="CO156" s="519"/>
      <c r="CP156" s="522"/>
      <c r="CQ156" s="522"/>
      <c r="CR156" s="522"/>
      <c r="CS156" s="522"/>
      <c r="CT156" s="523"/>
      <c r="CU156" s="524"/>
      <c r="CV156" s="525"/>
      <c r="CW156" s="521"/>
      <c r="CX156" s="521"/>
      <c r="CY156" s="521"/>
      <c r="CZ156" s="521"/>
      <c r="DA156" s="521"/>
      <c r="DB156" s="521"/>
      <c r="DC156" s="521"/>
      <c r="DD156" s="521"/>
      <c r="DE156" s="521"/>
    </row>
    <row r="157" spans="1:109" s="93" customFormat="1" x14ac:dyDescent="0.2">
      <c r="A157" s="102"/>
      <c r="B157" s="301"/>
      <c r="C157" s="102"/>
      <c r="D157" s="10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4"/>
      <c r="R157" s="7"/>
      <c r="S157" s="514"/>
      <c r="T157" s="514"/>
      <c r="U157" s="6"/>
      <c r="V157" s="6"/>
      <c r="W157" s="6"/>
      <c r="X157" s="6"/>
      <c r="Y157" s="6"/>
      <c r="AE157" s="517"/>
      <c r="AF157" s="518"/>
      <c r="AS157" s="519"/>
      <c r="BF157" s="519"/>
      <c r="BG157" s="519"/>
      <c r="BH157" s="520"/>
      <c r="BI157" s="520"/>
      <c r="CB157" s="519"/>
      <c r="CO157" s="519"/>
      <c r="CP157" s="522"/>
      <c r="CQ157" s="522"/>
      <c r="CR157" s="522"/>
      <c r="CS157" s="522"/>
      <c r="CT157" s="523"/>
      <c r="CU157" s="524"/>
      <c r="CV157" s="525"/>
      <c r="CW157" s="521"/>
      <c r="CX157" s="521"/>
      <c r="CY157" s="521"/>
      <c r="CZ157" s="521"/>
      <c r="DA157" s="521"/>
      <c r="DB157" s="521"/>
      <c r="DC157" s="521"/>
      <c r="DD157" s="521"/>
      <c r="DE157" s="521"/>
    </row>
    <row r="158" spans="1:109" s="93" customFormat="1" x14ac:dyDescent="0.2">
      <c r="A158" s="102"/>
      <c r="B158" s="301"/>
      <c r="C158" s="102"/>
      <c r="D158" s="102"/>
      <c r="E158" s="29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4"/>
      <c r="R158" s="7"/>
      <c r="S158" s="514"/>
      <c r="T158" s="526"/>
      <c r="U158" s="6"/>
      <c r="V158" s="6"/>
      <c r="W158" s="6"/>
      <c r="X158" s="6"/>
      <c r="Y158" s="6"/>
      <c r="AE158" s="517"/>
      <c r="AF158" s="518"/>
      <c r="AS158" s="519"/>
      <c r="BF158" s="519"/>
      <c r="BG158" s="519"/>
      <c r="BH158" s="520"/>
      <c r="BI158" s="520"/>
      <c r="CB158" s="519"/>
      <c r="CO158" s="519"/>
      <c r="CP158" s="522"/>
      <c r="CQ158" s="522"/>
      <c r="CR158" s="522"/>
      <c r="CS158" s="522"/>
      <c r="CT158" s="523"/>
      <c r="CU158" s="524"/>
      <c r="CV158" s="525"/>
      <c r="CW158" s="521"/>
      <c r="CX158" s="521"/>
      <c r="CY158" s="521"/>
      <c r="CZ158" s="521"/>
      <c r="DA158" s="521"/>
      <c r="DB158" s="521"/>
      <c r="DC158" s="521"/>
      <c r="DD158" s="521"/>
      <c r="DE158" s="521"/>
    </row>
    <row r="159" spans="1:109" s="93" customFormat="1" x14ac:dyDescent="0.2">
      <c r="A159" s="102"/>
      <c r="B159" s="301"/>
      <c r="C159" s="102"/>
      <c r="D159" s="102"/>
      <c r="E159" s="29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14"/>
      <c r="R159" s="7"/>
      <c r="S159" s="514"/>
      <c r="T159" s="514"/>
      <c r="U159" s="6"/>
      <c r="V159" s="6"/>
      <c r="W159" s="6"/>
      <c r="X159" s="6"/>
      <c r="Y159" s="6"/>
      <c r="AE159" s="517"/>
      <c r="AF159" s="518"/>
      <c r="AS159" s="519"/>
      <c r="BF159" s="519"/>
      <c r="BG159" s="519"/>
      <c r="BH159" s="520"/>
      <c r="BI159" s="520"/>
      <c r="CB159" s="519"/>
      <c r="CO159" s="519"/>
      <c r="CP159" s="522"/>
      <c r="CQ159" s="522"/>
      <c r="CR159" s="522"/>
      <c r="CS159" s="522"/>
      <c r="CT159" s="523"/>
      <c r="CU159" s="524"/>
      <c r="CV159" s="525"/>
      <c r="CW159" s="521"/>
      <c r="CX159" s="521"/>
      <c r="CY159" s="521"/>
      <c r="CZ159" s="521"/>
      <c r="DA159" s="521"/>
      <c r="DB159" s="521"/>
      <c r="DC159" s="521"/>
      <c r="DD159" s="521"/>
      <c r="DE159" s="521"/>
    </row>
    <row r="160" spans="1:109" s="93" customFormat="1" x14ac:dyDescent="0.2">
      <c r="A160" s="102"/>
      <c r="B160" s="301"/>
      <c r="C160" s="102"/>
      <c r="D160" s="102"/>
      <c r="E160" s="29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4"/>
      <c r="R160" s="7"/>
      <c r="S160" s="514"/>
      <c r="T160" s="514"/>
      <c r="U160" s="6"/>
      <c r="V160" s="6"/>
      <c r="W160" s="6"/>
      <c r="X160" s="6"/>
      <c r="Y160" s="6"/>
      <c r="AE160" s="517"/>
      <c r="AF160" s="518"/>
      <c r="AS160" s="519"/>
      <c r="BF160" s="519"/>
      <c r="BG160" s="519"/>
      <c r="BH160" s="520"/>
      <c r="BI160" s="520"/>
      <c r="CB160" s="519"/>
      <c r="CO160" s="519"/>
      <c r="CP160" s="522"/>
      <c r="CQ160" s="522"/>
      <c r="CR160" s="522"/>
      <c r="CS160" s="522"/>
      <c r="CT160" s="523"/>
      <c r="CU160" s="524"/>
      <c r="CV160" s="525"/>
      <c r="CW160" s="521"/>
      <c r="CX160" s="521"/>
      <c r="CY160" s="521"/>
      <c r="CZ160" s="521"/>
      <c r="DA160" s="521"/>
      <c r="DB160" s="521"/>
      <c r="DC160" s="521"/>
      <c r="DD160" s="521"/>
      <c r="DE160" s="521"/>
    </row>
    <row r="161" spans="1:109" s="93" customFormat="1" x14ac:dyDescent="0.2">
      <c r="A161" s="102"/>
      <c r="B161" s="301"/>
      <c r="C161" s="102"/>
      <c r="D161" s="102"/>
      <c r="E161" s="29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14"/>
      <c r="R161" s="7"/>
      <c r="S161" s="514"/>
      <c r="T161" s="514"/>
      <c r="U161" s="6"/>
      <c r="V161" s="6"/>
      <c r="W161" s="6"/>
      <c r="X161" s="6"/>
      <c r="Y161" s="6"/>
      <c r="AE161" s="517"/>
      <c r="AF161" s="518"/>
      <c r="AS161" s="519"/>
      <c r="BF161" s="519"/>
      <c r="BG161" s="519"/>
      <c r="BH161" s="520"/>
      <c r="BI161" s="520"/>
      <c r="CB161" s="519"/>
      <c r="CO161" s="519"/>
      <c r="CP161" s="522"/>
      <c r="CQ161" s="522"/>
      <c r="CR161" s="522"/>
      <c r="CS161" s="522"/>
      <c r="CT161" s="523"/>
      <c r="CU161" s="524"/>
      <c r="CV161" s="525"/>
      <c r="CW161" s="521"/>
      <c r="CX161" s="521"/>
      <c r="CY161" s="521"/>
      <c r="CZ161" s="521"/>
      <c r="DA161" s="521"/>
      <c r="DB161" s="521"/>
      <c r="DC161" s="521"/>
      <c r="DD161" s="521"/>
      <c r="DE161" s="521"/>
    </row>
    <row r="162" spans="1:109" s="93" customFormat="1" x14ac:dyDescent="0.2">
      <c r="A162" s="102"/>
      <c r="B162" s="301"/>
      <c r="C162" s="102"/>
      <c r="D162" s="102"/>
      <c r="E162" s="29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4"/>
      <c r="R162" s="7"/>
      <c r="S162" s="514"/>
      <c r="T162" s="514"/>
      <c r="U162" s="6"/>
      <c r="V162" s="6"/>
      <c r="W162" s="6"/>
      <c r="X162" s="6"/>
      <c r="Y162" s="6"/>
      <c r="AE162" s="517"/>
      <c r="AF162" s="518"/>
      <c r="AS162" s="519"/>
      <c r="BF162" s="519"/>
      <c r="BG162" s="519"/>
      <c r="BH162" s="520"/>
      <c r="BI162" s="520"/>
      <c r="CB162" s="519"/>
      <c r="CO162" s="519"/>
      <c r="CP162" s="522"/>
      <c r="CQ162" s="522"/>
      <c r="CR162" s="522"/>
      <c r="CS162" s="522"/>
      <c r="CT162" s="523"/>
      <c r="CU162" s="524"/>
      <c r="CV162" s="525"/>
      <c r="CW162" s="521"/>
      <c r="CX162" s="521"/>
      <c r="CY162" s="521"/>
      <c r="CZ162" s="521"/>
      <c r="DA162" s="521"/>
      <c r="DB162" s="521"/>
      <c r="DC162" s="521"/>
      <c r="DD162" s="521"/>
      <c r="DE162" s="521"/>
    </row>
    <row r="163" spans="1:109" s="93" customFormat="1" x14ac:dyDescent="0.2">
      <c r="A163" s="102"/>
      <c r="B163" s="301"/>
      <c r="C163" s="102"/>
      <c r="D163" s="102"/>
      <c r="E163" s="29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4"/>
      <c r="R163" s="7"/>
      <c r="S163" s="514"/>
      <c r="T163" s="514"/>
      <c r="U163" s="6"/>
      <c r="V163" s="6"/>
      <c r="W163" s="6"/>
      <c r="X163" s="6"/>
      <c r="Y163" s="6"/>
      <c r="AE163" s="517"/>
      <c r="AF163" s="518"/>
      <c r="AS163" s="519"/>
      <c r="BF163" s="519"/>
      <c r="BG163" s="519"/>
      <c r="BH163" s="520"/>
      <c r="BI163" s="520"/>
      <c r="CB163" s="519"/>
      <c r="CO163" s="519"/>
      <c r="CP163" s="522"/>
      <c r="CQ163" s="522"/>
      <c r="CR163" s="522"/>
      <c r="CS163" s="522"/>
      <c r="CT163" s="523"/>
      <c r="CU163" s="524"/>
      <c r="CV163" s="525"/>
      <c r="CW163" s="521"/>
      <c r="CX163" s="521"/>
      <c r="CY163" s="521"/>
      <c r="CZ163" s="521"/>
      <c r="DA163" s="521"/>
      <c r="DB163" s="521"/>
      <c r="DC163" s="521"/>
      <c r="DD163" s="521"/>
      <c r="DE163" s="521"/>
    </row>
    <row r="164" spans="1:109" s="93" customFormat="1" x14ac:dyDescent="0.2">
      <c r="A164" s="102"/>
      <c r="B164" s="301"/>
      <c r="C164" s="102"/>
      <c r="D164" s="102"/>
      <c r="E164" s="29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4"/>
      <c r="R164" s="7"/>
      <c r="S164" s="514"/>
      <c r="T164" s="514"/>
      <c r="U164" s="6"/>
      <c r="V164" s="6"/>
      <c r="W164" s="6"/>
      <c r="X164" s="6"/>
      <c r="Y164" s="6"/>
      <c r="AE164" s="517"/>
      <c r="AF164" s="518"/>
      <c r="AS164" s="519"/>
      <c r="BF164" s="519"/>
      <c r="BG164" s="519"/>
      <c r="BH164" s="520"/>
      <c r="BI164" s="520"/>
      <c r="CB164" s="519"/>
      <c r="CO164" s="519"/>
      <c r="CP164" s="522"/>
      <c r="CQ164" s="522"/>
      <c r="CR164" s="522"/>
      <c r="CS164" s="522"/>
      <c r="CT164" s="523"/>
      <c r="CU164" s="524"/>
      <c r="CV164" s="525"/>
      <c r="CW164" s="521"/>
      <c r="CX164" s="521"/>
      <c r="CY164" s="521"/>
      <c r="CZ164" s="521"/>
      <c r="DA164" s="521"/>
      <c r="DB164" s="521"/>
      <c r="DC164" s="521"/>
      <c r="DD164" s="521"/>
      <c r="DE164" s="521"/>
    </row>
    <row r="165" spans="1:109" s="93" customFormat="1" x14ac:dyDescent="0.2">
      <c r="A165" s="102"/>
      <c r="B165" s="301"/>
      <c r="C165" s="102"/>
      <c r="D165" s="102"/>
      <c r="E165" s="29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14"/>
      <c r="R165" s="7"/>
      <c r="S165" s="514"/>
      <c r="T165" s="514"/>
      <c r="U165" s="6"/>
      <c r="V165" s="6"/>
      <c r="W165" s="6"/>
      <c r="X165" s="6"/>
      <c r="Y165" s="6"/>
      <c r="AE165" s="517"/>
      <c r="AF165" s="518"/>
      <c r="AS165" s="519"/>
      <c r="BF165" s="519"/>
      <c r="BG165" s="519"/>
      <c r="BH165" s="520"/>
      <c r="BI165" s="520"/>
      <c r="CB165" s="519"/>
      <c r="CO165" s="519"/>
      <c r="CP165" s="522"/>
      <c r="CQ165" s="522"/>
      <c r="CR165" s="522"/>
      <c r="CS165" s="522"/>
      <c r="CT165" s="523"/>
      <c r="CU165" s="524"/>
      <c r="CV165" s="525"/>
      <c r="CW165" s="521"/>
      <c r="CX165" s="521"/>
      <c r="CY165" s="521"/>
      <c r="CZ165" s="521"/>
      <c r="DA165" s="521"/>
      <c r="DB165" s="521"/>
      <c r="DC165" s="521"/>
      <c r="DD165" s="521"/>
      <c r="DE165" s="521"/>
    </row>
    <row r="166" spans="1:109" s="93" customFormat="1" x14ac:dyDescent="0.2">
      <c r="A166" s="102"/>
      <c r="B166" s="301"/>
      <c r="C166" s="102"/>
      <c r="D166" s="102"/>
      <c r="E166" s="29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4"/>
      <c r="R166" s="7"/>
      <c r="S166" s="514"/>
      <c r="T166" s="514"/>
      <c r="U166" s="6"/>
      <c r="V166" s="6"/>
      <c r="W166" s="6"/>
      <c r="X166" s="6"/>
      <c r="Y166" s="6"/>
      <c r="AE166" s="517"/>
      <c r="AF166" s="518"/>
      <c r="AS166" s="519"/>
      <c r="BF166" s="519"/>
      <c r="BG166" s="519"/>
      <c r="BH166" s="520"/>
      <c r="BI166" s="520"/>
      <c r="CB166" s="519"/>
      <c r="CO166" s="519"/>
      <c r="CP166" s="522"/>
      <c r="CQ166" s="522"/>
      <c r="CR166" s="522"/>
      <c r="CS166" s="522"/>
      <c r="CT166" s="523"/>
      <c r="CU166" s="524"/>
      <c r="CV166" s="525"/>
      <c r="CW166" s="521"/>
      <c r="CX166" s="521"/>
      <c r="CY166" s="521"/>
      <c r="CZ166" s="521"/>
      <c r="DA166" s="521"/>
      <c r="DB166" s="521"/>
      <c r="DC166" s="521"/>
      <c r="DD166" s="521"/>
      <c r="DE166" s="521"/>
    </row>
    <row r="167" spans="1:109" s="93" customFormat="1" x14ac:dyDescent="0.2">
      <c r="A167" s="102"/>
      <c r="B167" s="301"/>
      <c r="C167" s="102"/>
      <c r="D167" s="102"/>
      <c r="E167" s="29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4"/>
      <c r="R167" s="7"/>
      <c r="S167" s="514"/>
      <c r="T167" s="514"/>
      <c r="U167" s="6"/>
      <c r="V167" s="6"/>
      <c r="W167" s="6"/>
      <c r="X167" s="6"/>
      <c r="Y167" s="6"/>
      <c r="AE167" s="517"/>
      <c r="AF167" s="518"/>
      <c r="AS167" s="519"/>
      <c r="BF167" s="519"/>
      <c r="BG167" s="519"/>
      <c r="BH167" s="520"/>
      <c r="BI167" s="520"/>
      <c r="CB167" s="519"/>
      <c r="CO167" s="519"/>
      <c r="CP167" s="522"/>
      <c r="CQ167" s="522"/>
      <c r="CR167" s="522"/>
      <c r="CS167" s="522"/>
      <c r="CT167" s="523"/>
      <c r="CU167" s="524"/>
      <c r="CV167" s="525"/>
      <c r="CW167" s="521"/>
      <c r="CX167" s="521"/>
      <c r="CY167" s="521"/>
      <c r="CZ167" s="521"/>
      <c r="DA167" s="521"/>
      <c r="DB167" s="521"/>
      <c r="DC167" s="521"/>
      <c r="DD167" s="521"/>
      <c r="DE167" s="521"/>
    </row>
    <row r="168" spans="1:109" s="93" customFormat="1" x14ac:dyDescent="0.2">
      <c r="A168" s="102"/>
      <c r="B168" s="301"/>
      <c r="C168" s="102"/>
      <c r="D168" s="102"/>
      <c r="E168" s="29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14"/>
      <c r="R168" s="7"/>
      <c r="S168" s="514"/>
      <c r="T168" s="526"/>
      <c r="U168" s="6"/>
      <c r="V168" s="6"/>
      <c r="W168" s="6"/>
      <c r="X168" s="6"/>
      <c r="Y168" s="6"/>
      <c r="AE168" s="517"/>
      <c r="AF168" s="518"/>
      <c r="AS168" s="519"/>
      <c r="BF168" s="519"/>
      <c r="BG168" s="519"/>
      <c r="BH168" s="520"/>
      <c r="BI168" s="520"/>
      <c r="CB168" s="519"/>
      <c r="CO168" s="519"/>
      <c r="CP168" s="522"/>
      <c r="CQ168" s="522"/>
      <c r="CR168" s="522"/>
      <c r="CS168" s="522"/>
      <c r="CT168" s="523"/>
      <c r="CU168" s="524"/>
      <c r="CV168" s="525"/>
      <c r="CW168" s="521"/>
      <c r="CX168" s="521"/>
      <c r="CY168" s="521"/>
      <c r="CZ168" s="521"/>
      <c r="DA168" s="521"/>
      <c r="DB168" s="521"/>
      <c r="DC168" s="521"/>
      <c r="DD168" s="521"/>
      <c r="DE168" s="521"/>
    </row>
    <row r="169" spans="1:109" s="93" customFormat="1" x14ac:dyDescent="0.2">
      <c r="A169" s="102"/>
      <c r="B169" s="301"/>
      <c r="C169" s="102"/>
      <c r="D169" s="102"/>
      <c r="E169" s="29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4"/>
      <c r="R169" s="7"/>
      <c r="S169" s="514"/>
      <c r="T169" s="526"/>
      <c r="U169" s="6"/>
      <c r="V169" s="6"/>
      <c r="W169" s="6"/>
      <c r="X169" s="6"/>
      <c r="Y169" s="6"/>
      <c r="AE169" s="517"/>
      <c r="AF169" s="518"/>
      <c r="AS169" s="519"/>
      <c r="BF169" s="519"/>
      <c r="BG169" s="519"/>
      <c r="BH169" s="520"/>
      <c r="BI169" s="520"/>
      <c r="CB169" s="519"/>
      <c r="CO169" s="519"/>
      <c r="CP169" s="522"/>
      <c r="CQ169" s="522"/>
      <c r="CR169" s="522"/>
      <c r="CS169" s="522"/>
      <c r="CT169" s="523"/>
      <c r="CU169" s="524"/>
      <c r="CV169" s="525"/>
      <c r="CW169" s="521"/>
      <c r="CX169" s="521"/>
      <c r="CY169" s="521"/>
      <c r="CZ169" s="521"/>
      <c r="DA169" s="521"/>
      <c r="DB169" s="521"/>
      <c r="DC169" s="521"/>
      <c r="DD169" s="521"/>
      <c r="DE169" s="521"/>
    </row>
    <row r="170" spans="1:109" s="93" customFormat="1" x14ac:dyDescent="0.2">
      <c r="A170" s="102"/>
      <c r="B170" s="301"/>
      <c r="C170" s="102"/>
      <c r="D170" s="102"/>
      <c r="E170" s="29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4"/>
      <c r="R170" s="7"/>
      <c r="S170" s="514"/>
      <c r="T170" s="526"/>
      <c r="U170" s="6"/>
      <c r="V170" s="6"/>
      <c r="W170" s="6"/>
      <c r="X170" s="6"/>
      <c r="Y170" s="6"/>
      <c r="AE170" s="517"/>
      <c r="AF170" s="518"/>
      <c r="AS170" s="519"/>
      <c r="BF170" s="519"/>
      <c r="BG170" s="519"/>
      <c r="BH170" s="520"/>
      <c r="BI170" s="520"/>
      <c r="CB170" s="519"/>
      <c r="CO170" s="519"/>
      <c r="CP170" s="522"/>
      <c r="CQ170" s="522"/>
      <c r="CR170" s="522"/>
      <c r="CS170" s="522"/>
      <c r="CT170" s="523"/>
      <c r="CU170" s="524"/>
      <c r="CV170" s="525"/>
      <c r="CW170" s="521"/>
      <c r="CX170" s="521"/>
      <c r="CY170" s="521"/>
      <c r="CZ170" s="521"/>
      <c r="DA170" s="521"/>
      <c r="DB170" s="521"/>
      <c r="DC170" s="521"/>
      <c r="DD170" s="521"/>
      <c r="DE170" s="521"/>
    </row>
    <row r="171" spans="1:109" s="93" customFormat="1" x14ac:dyDescent="0.2">
      <c r="A171" s="102"/>
      <c r="B171" s="301"/>
      <c r="C171" s="102"/>
      <c r="D171" s="102"/>
      <c r="E171" s="29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14"/>
      <c r="R171" s="7"/>
      <c r="S171" s="514"/>
      <c r="T171" s="526"/>
      <c r="U171" s="6"/>
      <c r="V171" s="6"/>
      <c r="W171" s="6"/>
      <c r="X171" s="6"/>
      <c r="Y171" s="6"/>
      <c r="AE171" s="517"/>
      <c r="AF171" s="518"/>
      <c r="AS171" s="519"/>
      <c r="BF171" s="519"/>
      <c r="BG171" s="519"/>
      <c r="BH171" s="520"/>
      <c r="BI171" s="520"/>
      <c r="CB171" s="519"/>
      <c r="CO171" s="519"/>
      <c r="CP171" s="522"/>
      <c r="CQ171" s="522"/>
      <c r="CR171" s="522"/>
      <c r="CS171" s="522"/>
      <c r="CT171" s="523"/>
      <c r="CU171" s="524"/>
      <c r="CV171" s="525"/>
      <c r="CW171" s="521"/>
      <c r="CX171" s="521"/>
      <c r="CY171" s="521"/>
      <c r="CZ171" s="521"/>
      <c r="DA171" s="521"/>
      <c r="DB171" s="521"/>
      <c r="DC171" s="521"/>
      <c r="DD171" s="521"/>
      <c r="DE171" s="521"/>
    </row>
    <row r="172" spans="1:109" s="93" customFormat="1" x14ac:dyDescent="0.2">
      <c r="A172" s="102"/>
      <c r="B172" s="301"/>
      <c r="C172" s="102"/>
      <c r="D172" s="102"/>
      <c r="E172" s="29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14"/>
      <c r="R172" s="7"/>
      <c r="S172" s="514"/>
      <c r="T172" s="526"/>
      <c r="U172" s="6"/>
      <c r="V172" s="6"/>
      <c r="W172" s="6"/>
      <c r="X172" s="6"/>
      <c r="Y172" s="6"/>
      <c r="AE172" s="517"/>
      <c r="AF172" s="518"/>
      <c r="AS172" s="519"/>
      <c r="BF172" s="519"/>
      <c r="BG172" s="519"/>
      <c r="BH172" s="520"/>
      <c r="BI172" s="520"/>
      <c r="CB172" s="519"/>
      <c r="CO172" s="519"/>
      <c r="CP172" s="522"/>
      <c r="CQ172" s="522"/>
      <c r="CR172" s="522"/>
      <c r="CS172" s="522"/>
      <c r="CT172" s="523"/>
      <c r="CU172" s="524"/>
      <c r="CV172" s="525"/>
      <c r="CW172" s="521"/>
      <c r="CX172" s="521"/>
      <c r="CY172" s="521"/>
      <c r="CZ172" s="521"/>
      <c r="DA172" s="521"/>
      <c r="DB172" s="521"/>
      <c r="DC172" s="521"/>
      <c r="DD172" s="521"/>
      <c r="DE172" s="521"/>
    </row>
    <row r="173" spans="1:109" s="93" customFormat="1" x14ac:dyDescent="0.2">
      <c r="A173" s="102"/>
      <c r="B173" s="301"/>
      <c r="C173" s="102"/>
      <c r="D173" s="102"/>
      <c r="E173" s="29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14"/>
      <c r="R173" s="7"/>
      <c r="S173" s="514"/>
      <c r="T173" s="526"/>
      <c r="U173" s="6"/>
      <c r="V173" s="6"/>
      <c r="W173" s="6"/>
      <c r="X173" s="6"/>
      <c r="Y173" s="6"/>
      <c r="AE173" s="517"/>
      <c r="AF173" s="518"/>
      <c r="AS173" s="519"/>
      <c r="BF173" s="519"/>
      <c r="BG173" s="519"/>
      <c r="BH173" s="520"/>
      <c r="BI173" s="520"/>
      <c r="CB173" s="519"/>
      <c r="CO173" s="519"/>
      <c r="CP173" s="522"/>
      <c r="CQ173" s="522"/>
      <c r="CR173" s="522"/>
      <c r="CS173" s="522"/>
      <c r="CT173" s="523"/>
      <c r="CU173" s="524"/>
      <c r="CV173" s="525"/>
      <c r="CW173" s="521"/>
      <c r="CX173" s="521"/>
      <c r="CY173" s="521"/>
      <c r="CZ173" s="521"/>
      <c r="DA173" s="521"/>
      <c r="DB173" s="521"/>
      <c r="DC173" s="521"/>
      <c r="DD173" s="521"/>
      <c r="DE173" s="521"/>
    </row>
    <row r="174" spans="1:109" s="93" customFormat="1" x14ac:dyDescent="0.2">
      <c r="A174" s="102"/>
      <c r="B174" s="301"/>
      <c r="C174" s="102"/>
      <c r="D174" s="102"/>
      <c r="E174" s="29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4"/>
      <c r="R174" s="7"/>
      <c r="S174" s="514"/>
      <c r="T174" s="514"/>
      <c r="U174" s="6"/>
      <c r="V174" s="6"/>
      <c r="W174" s="6"/>
      <c r="X174" s="6"/>
      <c r="Y174" s="6"/>
      <c r="AE174" s="517"/>
      <c r="AF174" s="518"/>
      <c r="AS174" s="519"/>
      <c r="BF174" s="519"/>
      <c r="BG174" s="519"/>
      <c r="BH174" s="520"/>
      <c r="BI174" s="520"/>
      <c r="CB174" s="519"/>
      <c r="CO174" s="519"/>
      <c r="CP174" s="522"/>
      <c r="CQ174" s="522"/>
      <c r="CR174" s="522"/>
      <c r="CS174" s="522"/>
      <c r="CT174" s="523"/>
      <c r="CU174" s="524"/>
      <c r="CV174" s="525"/>
      <c r="CW174" s="521"/>
      <c r="CX174" s="521"/>
      <c r="CY174" s="521"/>
      <c r="CZ174" s="521"/>
      <c r="DA174" s="521"/>
      <c r="DB174" s="521"/>
      <c r="DC174" s="521"/>
      <c r="DD174" s="521"/>
      <c r="DE174" s="521"/>
    </row>
    <row r="175" spans="1:109" s="93" customFormat="1" x14ac:dyDescent="0.2">
      <c r="A175" s="102"/>
      <c r="B175" s="301"/>
      <c r="C175" s="102"/>
      <c r="D175" s="102"/>
      <c r="E175" s="29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4"/>
      <c r="R175" s="7"/>
      <c r="S175" s="514"/>
      <c r="T175" s="514"/>
      <c r="U175" s="6"/>
      <c r="V175" s="6"/>
      <c r="W175" s="6"/>
      <c r="X175" s="6"/>
      <c r="Y175" s="6"/>
      <c r="AE175" s="517"/>
      <c r="AF175" s="518"/>
      <c r="AS175" s="519"/>
      <c r="BF175" s="519"/>
      <c r="BG175" s="519"/>
      <c r="BH175" s="520"/>
      <c r="BI175" s="520"/>
      <c r="CB175" s="519"/>
      <c r="CO175" s="519"/>
      <c r="CP175" s="522"/>
      <c r="CQ175" s="522"/>
      <c r="CR175" s="522"/>
      <c r="CS175" s="522"/>
      <c r="CT175" s="523"/>
      <c r="CU175" s="524"/>
      <c r="CV175" s="525"/>
      <c r="CW175" s="521"/>
      <c r="CX175" s="521"/>
      <c r="CY175" s="521"/>
      <c r="CZ175" s="521"/>
      <c r="DA175" s="521"/>
      <c r="DB175" s="521"/>
      <c r="DC175" s="521"/>
      <c r="DD175" s="521"/>
      <c r="DE175" s="521"/>
    </row>
    <row r="176" spans="1:109" s="93" customFormat="1" x14ac:dyDescent="0.2">
      <c r="A176" s="102"/>
      <c r="B176" s="301"/>
      <c r="C176" s="102"/>
      <c r="D176" s="102"/>
      <c r="E176" s="29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4"/>
      <c r="R176" s="7"/>
      <c r="S176" s="514"/>
      <c r="T176" s="514"/>
      <c r="U176" s="6"/>
      <c r="V176" s="6"/>
      <c r="W176" s="6"/>
      <c r="X176" s="6"/>
      <c r="Y176" s="6"/>
      <c r="AE176" s="517"/>
      <c r="AF176" s="518"/>
      <c r="AS176" s="519"/>
      <c r="BF176" s="519"/>
      <c r="BG176" s="519"/>
      <c r="BH176" s="520"/>
      <c r="BI176" s="520"/>
      <c r="CB176" s="519"/>
      <c r="CO176" s="519"/>
      <c r="CP176" s="522"/>
      <c r="CQ176" s="522"/>
      <c r="CR176" s="522"/>
      <c r="CS176" s="522"/>
      <c r="CT176" s="523"/>
      <c r="CU176" s="524"/>
      <c r="CV176" s="525"/>
      <c r="CW176" s="521"/>
      <c r="CX176" s="521"/>
      <c r="CY176" s="521"/>
      <c r="CZ176" s="521"/>
      <c r="DA176" s="521"/>
      <c r="DB176" s="521"/>
      <c r="DC176" s="521"/>
      <c r="DD176" s="521"/>
      <c r="DE176" s="521"/>
    </row>
    <row r="177" spans="1:109" s="93" customFormat="1" x14ac:dyDescent="0.2">
      <c r="A177" s="102"/>
      <c r="B177" s="301"/>
      <c r="C177" s="102"/>
      <c r="D177" s="102"/>
      <c r="E177" s="29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4"/>
      <c r="R177" s="7"/>
      <c r="S177" s="514"/>
      <c r="T177" s="514"/>
      <c r="U177" s="6"/>
      <c r="V177" s="6"/>
      <c r="W177" s="6"/>
      <c r="X177" s="6"/>
      <c r="Y177" s="6"/>
      <c r="AE177" s="517"/>
      <c r="AF177" s="518"/>
      <c r="AS177" s="519"/>
      <c r="BF177" s="519"/>
      <c r="BG177" s="519"/>
      <c r="BH177" s="520"/>
      <c r="BI177" s="520"/>
      <c r="CB177" s="519"/>
      <c r="CO177" s="519"/>
      <c r="CP177" s="522"/>
      <c r="CQ177" s="522"/>
      <c r="CR177" s="522"/>
      <c r="CS177" s="522"/>
      <c r="CT177" s="523"/>
      <c r="CU177" s="524"/>
      <c r="CV177" s="525"/>
      <c r="CW177" s="521"/>
      <c r="CX177" s="521"/>
      <c r="CY177" s="521"/>
      <c r="CZ177" s="521"/>
      <c r="DA177" s="521"/>
      <c r="DB177" s="521"/>
      <c r="DC177" s="521"/>
      <c r="DD177" s="521"/>
      <c r="DE177" s="521"/>
    </row>
    <row r="178" spans="1:109" s="93" customFormat="1" x14ac:dyDescent="0.2">
      <c r="A178" s="102"/>
      <c r="B178" s="301"/>
      <c r="C178" s="102"/>
      <c r="D178" s="102"/>
      <c r="E178" s="29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4"/>
      <c r="R178" s="7"/>
      <c r="S178" s="514"/>
      <c r="T178" s="514"/>
      <c r="U178" s="6"/>
      <c r="V178" s="6"/>
      <c r="W178" s="6"/>
      <c r="X178" s="6"/>
      <c r="Y178" s="6"/>
      <c r="AE178" s="517"/>
      <c r="AF178" s="518"/>
      <c r="AS178" s="519"/>
      <c r="BF178" s="519"/>
      <c r="BG178" s="519"/>
      <c r="BH178" s="520"/>
      <c r="BI178" s="520"/>
      <c r="CB178" s="519"/>
      <c r="CO178" s="519"/>
      <c r="CP178" s="522"/>
      <c r="CQ178" s="522"/>
      <c r="CR178" s="522"/>
      <c r="CS178" s="522"/>
      <c r="CT178" s="523"/>
      <c r="CU178" s="524"/>
      <c r="CV178" s="525"/>
      <c r="CW178" s="521"/>
      <c r="CX178" s="521"/>
      <c r="CY178" s="521"/>
      <c r="CZ178" s="521"/>
      <c r="DA178" s="521"/>
      <c r="DB178" s="521"/>
      <c r="DC178" s="521"/>
      <c r="DD178" s="521"/>
      <c r="DE178" s="521"/>
    </row>
    <row r="179" spans="1:109" s="93" customFormat="1" x14ac:dyDescent="0.2">
      <c r="A179" s="102"/>
      <c r="B179" s="301"/>
      <c r="C179" s="102"/>
      <c r="D179" s="102"/>
      <c r="E179" s="29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4"/>
      <c r="R179" s="7"/>
      <c r="S179" s="514"/>
      <c r="T179" s="514"/>
      <c r="U179" s="6"/>
      <c r="V179" s="6"/>
      <c r="W179" s="6"/>
      <c r="X179" s="6"/>
      <c r="Y179" s="6"/>
      <c r="AE179" s="517"/>
      <c r="AF179" s="518"/>
      <c r="AS179" s="519"/>
      <c r="BF179" s="519"/>
      <c r="BG179" s="519"/>
      <c r="BH179" s="520"/>
      <c r="BI179" s="520"/>
      <c r="CB179" s="519"/>
      <c r="CO179" s="519"/>
      <c r="CP179" s="522"/>
      <c r="CQ179" s="522"/>
      <c r="CR179" s="522"/>
      <c r="CS179" s="522"/>
      <c r="CT179" s="523"/>
      <c r="CU179" s="524"/>
      <c r="CV179" s="525"/>
      <c r="CW179" s="521"/>
      <c r="CX179" s="521"/>
      <c r="CY179" s="521"/>
      <c r="CZ179" s="521"/>
      <c r="DA179" s="521"/>
      <c r="DB179" s="521"/>
      <c r="DC179" s="521"/>
      <c r="DD179" s="521"/>
      <c r="DE179" s="521"/>
    </row>
    <row r="180" spans="1:109" s="93" customFormat="1" x14ac:dyDescent="0.2">
      <c r="A180" s="102"/>
      <c r="B180" s="301"/>
      <c r="C180" s="102"/>
      <c r="D180" s="102"/>
      <c r="E180" s="29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4"/>
      <c r="R180" s="7"/>
      <c r="S180" s="514"/>
      <c r="T180" s="514"/>
      <c r="U180" s="6"/>
      <c r="V180" s="6"/>
      <c r="W180" s="6"/>
      <c r="X180" s="6"/>
      <c r="Y180" s="6"/>
      <c r="AE180" s="517"/>
      <c r="AF180" s="518"/>
      <c r="AS180" s="519"/>
      <c r="BF180" s="519"/>
      <c r="BG180" s="519"/>
      <c r="BH180" s="520"/>
      <c r="BI180" s="520"/>
      <c r="CB180" s="519"/>
      <c r="CO180" s="519"/>
      <c r="CP180" s="522"/>
      <c r="CQ180" s="522"/>
      <c r="CR180" s="522"/>
      <c r="CS180" s="522"/>
      <c r="CT180" s="523"/>
      <c r="CU180" s="524"/>
      <c r="CV180" s="525"/>
      <c r="CW180" s="521"/>
      <c r="CX180" s="521"/>
      <c r="CY180" s="521"/>
      <c r="CZ180" s="521"/>
      <c r="DA180" s="521"/>
      <c r="DB180" s="521"/>
      <c r="DC180" s="521"/>
      <c r="DD180" s="521"/>
      <c r="DE180" s="521"/>
    </row>
    <row r="181" spans="1:109" s="93" customFormat="1" x14ac:dyDescent="0.2">
      <c r="A181" s="102"/>
      <c r="B181" s="301"/>
      <c r="C181" s="102"/>
      <c r="D181" s="102"/>
      <c r="E181" s="29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4"/>
      <c r="R181" s="7"/>
      <c r="S181" s="514"/>
      <c r="T181" s="514"/>
      <c r="U181" s="6"/>
      <c r="V181" s="6"/>
      <c r="W181" s="6"/>
      <c r="X181" s="6"/>
      <c r="Y181" s="6"/>
      <c r="AE181" s="517"/>
      <c r="AF181" s="518"/>
      <c r="AS181" s="519"/>
      <c r="BF181" s="519"/>
      <c r="BG181" s="519"/>
      <c r="BH181" s="520"/>
      <c r="BI181" s="520"/>
      <c r="CB181" s="519"/>
      <c r="CO181" s="519"/>
      <c r="CP181" s="522"/>
      <c r="CQ181" s="522"/>
      <c r="CR181" s="522"/>
      <c r="CS181" s="522"/>
      <c r="CT181" s="523"/>
      <c r="CU181" s="524"/>
      <c r="CV181" s="525"/>
      <c r="CW181" s="521"/>
      <c r="CX181" s="521"/>
      <c r="CY181" s="521"/>
      <c r="CZ181" s="521"/>
      <c r="DA181" s="521"/>
      <c r="DB181" s="521"/>
      <c r="DC181" s="521"/>
      <c r="DD181" s="521"/>
      <c r="DE181" s="521"/>
    </row>
    <row r="182" spans="1:109" s="93" customFormat="1" x14ac:dyDescent="0.2">
      <c r="A182" s="102"/>
      <c r="B182" s="301"/>
      <c r="C182" s="102"/>
      <c r="D182" s="102"/>
      <c r="E182" s="29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4"/>
      <c r="R182" s="7"/>
      <c r="S182" s="514"/>
      <c r="T182" s="526"/>
      <c r="U182" s="6"/>
      <c r="V182" s="6"/>
      <c r="W182" s="6"/>
      <c r="X182" s="6"/>
      <c r="Y182" s="6"/>
      <c r="AE182" s="517"/>
      <c r="AF182" s="518"/>
      <c r="AS182" s="519"/>
      <c r="BF182" s="519"/>
      <c r="BG182" s="519"/>
      <c r="BH182" s="520"/>
      <c r="BI182" s="520"/>
      <c r="CB182" s="519"/>
      <c r="CO182" s="519"/>
      <c r="CP182" s="522"/>
      <c r="CQ182" s="522"/>
      <c r="CR182" s="522"/>
      <c r="CS182" s="522"/>
      <c r="CT182" s="523"/>
      <c r="CU182" s="524"/>
      <c r="CV182" s="525"/>
      <c r="CW182" s="521"/>
      <c r="CX182" s="521"/>
      <c r="CY182" s="521"/>
      <c r="CZ182" s="521"/>
      <c r="DA182" s="521"/>
      <c r="DB182" s="521"/>
      <c r="DC182" s="521"/>
      <c r="DD182" s="521"/>
      <c r="DE182" s="521"/>
    </row>
    <row r="183" spans="1:109" s="93" customFormat="1" x14ac:dyDescent="0.2">
      <c r="A183" s="102"/>
      <c r="B183" s="301"/>
      <c r="C183" s="102"/>
      <c r="D183" s="102"/>
      <c r="E183" s="29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14"/>
      <c r="R183" s="7"/>
      <c r="S183" s="514"/>
      <c r="T183" s="526"/>
      <c r="U183" s="6"/>
      <c r="V183" s="6"/>
      <c r="W183" s="6"/>
      <c r="X183" s="6"/>
      <c r="Y183" s="6"/>
      <c r="AE183" s="517"/>
      <c r="AF183" s="518"/>
      <c r="AS183" s="519"/>
      <c r="BF183" s="519"/>
      <c r="BG183" s="519"/>
      <c r="BH183" s="520"/>
      <c r="BI183" s="520"/>
      <c r="CB183" s="519"/>
      <c r="CO183" s="519"/>
      <c r="CP183" s="522"/>
      <c r="CQ183" s="522"/>
      <c r="CR183" s="522"/>
      <c r="CS183" s="522"/>
      <c r="CT183" s="523"/>
      <c r="CU183" s="524"/>
      <c r="CV183" s="525"/>
      <c r="CW183" s="521"/>
      <c r="CX183" s="521"/>
      <c r="CY183" s="521"/>
      <c r="CZ183" s="521"/>
      <c r="DA183" s="521"/>
      <c r="DB183" s="521"/>
      <c r="DC183" s="521"/>
      <c r="DD183" s="521"/>
      <c r="DE183" s="521"/>
    </row>
    <row r="184" spans="1:109" s="93" customFormat="1" x14ac:dyDescent="0.2">
      <c r="A184" s="102"/>
      <c r="B184" s="301"/>
      <c r="C184" s="102"/>
      <c r="D184" s="102"/>
      <c r="E184" s="29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4"/>
      <c r="R184" s="7"/>
      <c r="S184" s="514"/>
      <c r="T184" s="526"/>
      <c r="U184" s="6"/>
      <c r="V184" s="6"/>
      <c r="W184" s="6"/>
      <c r="X184" s="6"/>
      <c r="Y184" s="6"/>
      <c r="AE184" s="517"/>
      <c r="AF184" s="518"/>
      <c r="AS184" s="519"/>
      <c r="BF184" s="519"/>
      <c r="BG184" s="519"/>
      <c r="BH184" s="520"/>
      <c r="BI184" s="520"/>
      <c r="CB184" s="519"/>
      <c r="CO184" s="519"/>
      <c r="CP184" s="522"/>
      <c r="CQ184" s="522"/>
      <c r="CR184" s="522"/>
      <c r="CS184" s="522"/>
      <c r="CT184" s="523"/>
      <c r="CU184" s="524"/>
      <c r="CV184" s="525"/>
      <c r="CW184" s="521"/>
      <c r="CX184" s="521"/>
      <c r="CY184" s="521"/>
      <c r="CZ184" s="521"/>
      <c r="DA184" s="521"/>
      <c r="DB184" s="521"/>
      <c r="DC184" s="521"/>
      <c r="DD184" s="521"/>
      <c r="DE184" s="521"/>
    </row>
    <row r="185" spans="1:109" s="93" customFormat="1" x14ac:dyDescent="0.2">
      <c r="A185" s="102"/>
      <c r="B185" s="301"/>
      <c r="C185" s="102"/>
      <c r="D185" s="102"/>
      <c r="E185" s="29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14"/>
      <c r="R185" s="7"/>
      <c r="S185" s="514"/>
      <c r="T185" s="526"/>
      <c r="U185" s="6"/>
      <c r="V185" s="6"/>
      <c r="W185" s="6"/>
      <c r="X185" s="6"/>
      <c r="Y185" s="6"/>
      <c r="AE185" s="517"/>
      <c r="AF185" s="518"/>
      <c r="AS185" s="519"/>
      <c r="BF185" s="519"/>
      <c r="BG185" s="519"/>
      <c r="BH185" s="520"/>
      <c r="BI185" s="520"/>
      <c r="CB185" s="519"/>
      <c r="CO185" s="519"/>
      <c r="CP185" s="522"/>
      <c r="CQ185" s="522"/>
      <c r="CR185" s="522"/>
      <c r="CS185" s="522"/>
      <c r="CT185" s="523"/>
      <c r="CU185" s="524"/>
      <c r="CV185" s="525"/>
      <c r="CW185" s="521"/>
      <c r="CX185" s="521"/>
      <c r="CY185" s="521"/>
      <c r="CZ185" s="521"/>
      <c r="DA185" s="521"/>
      <c r="DB185" s="521"/>
      <c r="DC185" s="521"/>
      <c r="DD185" s="521"/>
      <c r="DE185" s="521"/>
    </row>
    <row r="186" spans="1:109" s="93" customFormat="1" x14ac:dyDescent="0.2">
      <c r="A186" s="102"/>
      <c r="B186" s="301"/>
      <c r="C186" s="102"/>
      <c r="D186" s="102"/>
      <c r="E186" s="29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4"/>
      <c r="R186" s="7"/>
      <c r="S186" s="514"/>
      <c r="T186" s="526"/>
      <c r="U186" s="6"/>
      <c r="V186" s="6"/>
      <c r="W186" s="6"/>
      <c r="X186" s="6"/>
      <c r="Y186" s="6"/>
      <c r="AE186" s="517"/>
      <c r="AF186" s="518"/>
      <c r="AS186" s="519"/>
      <c r="BF186" s="519"/>
      <c r="BG186" s="519"/>
      <c r="BH186" s="520"/>
      <c r="BI186" s="520"/>
      <c r="CB186" s="519"/>
      <c r="CO186" s="519"/>
      <c r="CP186" s="522"/>
      <c r="CQ186" s="522"/>
      <c r="CR186" s="522"/>
      <c r="CS186" s="522"/>
      <c r="CT186" s="523"/>
      <c r="CU186" s="524"/>
      <c r="CV186" s="525"/>
      <c r="CW186" s="521"/>
      <c r="CX186" s="521"/>
      <c r="CY186" s="521"/>
      <c r="CZ186" s="521"/>
      <c r="DA186" s="521"/>
      <c r="DB186" s="521"/>
      <c r="DC186" s="521"/>
      <c r="DD186" s="521"/>
      <c r="DE186" s="521"/>
    </row>
    <row r="187" spans="1:109" s="93" customFormat="1" x14ac:dyDescent="0.2">
      <c r="A187" s="102"/>
      <c r="B187" s="301"/>
      <c r="C187" s="102"/>
      <c r="D187" s="102"/>
      <c r="E187" s="29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4"/>
      <c r="R187" s="7"/>
      <c r="S187" s="514"/>
      <c r="T187" s="526"/>
      <c r="U187" s="6"/>
      <c r="V187" s="6"/>
      <c r="W187" s="6"/>
      <c r="X187" s="6"/>
      <c r="Y187" s="6"/>
      <c r="AE187" s="517"/>
      <c r="AF187" s="518"/>
      <c r="AS187" s="519"/>
      <c r="BF187" s="519"/>
      <c r="BG187" s="519"/>
      <c r="BH187" s="520"/>
      <c r="BI187" s="520"/>
      <c r="CB187" s="519"/>
      <c r="CO187" s="519"/>
      <c r="CP187" s="522"/>
      <c r="CQ187" s="522"/>
      <c r="CR187" s="522"/>
      <c r="CS187" s="522"/>
      <c r="CT187" s="523"/>
      <c r="CU187" s="524"/>
      <c r="CV187" s="525"/>
      <c r="CW187" s="521"/>
      <c r="CX187" s="521"/>
      <c r="CY187" s="521"/>
      <c r="CZ187" s="521"/>
      <c r="DA187" s="521"/>
      <c r="DB187" s="521"/>
      <c r="DC187" s="521"/>
      <c r="DD187" s="521"/>
      <c r="DE187" s="521"/>
    </row>
    <row r="188" spans="1:109" s="93" customFormat="1" x14ac:dyDescent="0.2">
      <c r="A188" s="102"/>
      <c r="B188" s="301"/>
      <c r="C188" s="102"/>
      <c r="D188" s="102"/>
      <c r="E188" s="29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4"/>
      <c r="R188" s="7"/>
      <c r="S188" s="514"/>
      <c r="T188" s="526"/>
      <c r="U188" s="6"/>
      <c r="V188" s="6"/>
      <c r="W188" s="6"/>
      <c r="X188" s="6"/>
      <c r="Y188" s="6"/>
      <c r="AE188" s="517"/>
      <c r="AF188" s="518"/>
      <c r="AS188" s="519"/>
      <c r="BF188" s="519"/>
      <c r="BG188" s="519"/>
      <c r="BH188" s="520"/>
      <c r="BI188" s="520"/>
      <c r="CB188" s="519"/>
      <c r="CO188" s="519"/>
      <c r="CP188" s="522"/>
      <c r="CQ188" s="522"/>
      <c r="CR188" s="522"/>
      <c r="CS188" s="522"/>
      <c r="CT188" s="523"/>
      <c r="CU188" s="524"/>
      <c r="CV188" s="525"/>
      <c r="CW188" s="521"/>
      <c r="CX188" s="521"/>
      <c r="CY188" s="521"/>
      <c r="CZ188" s="521"/>
      <c r="DA188" s="521"/>
      <c r="DB188" s="521"/>
      <c r="DC188" s="521"/>
      <c r="DD188" s="521"/>
      <c r="DE188" s="521"/>
    </row>
    <row r="189" spans="1:109" s="93" customFormat="1" x14ac:dyDescent="0.2">
      <c r="A189" s="102"/>
      <c r="B189" s="301"/>
      <c r="C189" s="102"/>
      <c r="D189" s="102"/>
      <c r="E189" s="29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14"/>
      <c r="R189" s="7"/>
      <c r="S189" s="514"/>
      <c r="T189" s="526"/>
      <c r="U189" s="6"/>
      <c r="V189" s="6"/>
      <c r="W189" s="6"/>
      <c r="X189" s="6"/>
      <c r="Y189" s="6"/>
      <c r="AE189" s="517"/>
      <c r="AF189" s="518"/>
      <c r="AS189" s="519"/>
      <c r="BF189" s="519"/>
      <c r="BG189" s="519"/>
      <c r="BH189" s="520"/>
      <c r="BI189" s="520"/>
      <c r="CB189" s="519"/>
      <c r="CO189" s="519"/>
      <c r="CP189" s="522"/>
      <c r="CQ189" s="522"/>
      <c r="CR189" s="522"/>
      <c r="CS189" s="522"/>
      <c r="CT189" s="523"/>
      <c r="CU189" s="524"/>
      <c r="CV189" s="525"/>
      <c r="CW189" s="521"/>
      <c r="CX189" s="521"/>
      <c r="CY189" s="521"/>
      <c r="CZ189" s="521"/>
      <c r="DA189" s="521"/>
      <c r="DB189" s="521"/>
      <c r="DC189" s="521"/>
      <c r="DD189" s="521"/>
      <c r="DE189" s="521"/>
    </row>
    <row r="190" spans="1:109" s="93" customFormat="1" x14ac:dyDescent="0.2">
      <c r="A190" s="102"/>
      <c r="B190" s="301"/>
      <c r="C190" s="102"/>
      <c r="D190" s="102"/>
      <c r="E190" s="29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4"/>
      <c r="R190" s="7"/>
      <c r="S190" s="514"/>
      <c r="T190" s="526"/>
      <c r="U190" s="6"/>
      <c r="V190" s="6"/>
      <c r="W190" s="6"/>
      <c r="X190" s="6"/>
      <c r="Y190" s="6"/>
      <c r="AE190" s="517"/>
      <c r="AF190" s="518"/>
      <c r="AS190" s="519"/>
      <c r="BF190" s="519"/>
      <c r="BG190" s="519"/>
      <c r="BH190" s="520"/>
      <c r="BI190" s="520"/>
      <c r="CB190" s="519"/>
      <c r="CO190" s="519"/>
      <c r="CP190" s="522"/>
      <c r="CQ190" s="522"/>
      <c r="CR190" s="522"/>
      <c r="CS190" s="522"/>
      <c r="CT190" s="523"/>
      <c r="CU190" s="524"/>
      <c r="CV190" s="525"/>
      <c r="CW190" s="521"/>
      <c r="CX190" s="521"/>
      <c r="CY190" s="521"/>
      <c r="CZ190" s="521"/>
      <c r="DA190" s="521"/>
      <c r="DB190" s="521"/>
      <c r="DC190" s="521"/>
      <c r="DD190" s="521"/>
      <c r="DE190" s="521"/>
    </row>
    <row r="191" spans="1:109" s="93" customFormat="1" x14ac:dyDescent="0.2">
      <c r="A191" s="102"/>
      <c r="B191" s="301"/>
      <c r="C191" s="102"/>
      <c r="D191" s="102"/>
      <c r="E191" s="29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14"/>
      <c r="R191" s="7"/>
      <c r="S191" s="514"/>
      <c r="T191" s="526"/>
      <c r="U191" s="6"/>
      <c r="V191" s="6"/>
      <c r="W191" s="6"/>
      <c r="X191" s="6"/>
      <c r="Y191" s="6"/>
      <c r="AE191" s="517"/>
      <c r="AF191" s="518"/>
      <c r="AS191" s="519"/>
      <c r="BF191" s="519"/>
      <c r="BG191" s="519"/>
      <c r="BH191" s="520"/>
      <c r="BI191" s="520"/>
      <c r="CB191" s="519"/>
      <c r="CO191" s="519"/>
      <c r="CP191" s="522"/>
      <c r="CQ191" s="522"/>
      <c r="CR191" s="522"/>
      <c r="CS191" s="522"/>
      <c r="CT191" s="523"/>
      <c r="CU191" s="524"/>
      <c r="CV191" s="525"/>
      <c r="CW191" s="521"/>
      <c r="CX191" s="521"/>
      <c r="CY191" s="521"/>
      <c r="CZ191" s="521"/>
      <c r="DA191" s="521"/>
      <c r="DB191" s="521"/>
      <c r="DC191" s="521"/>
      <c r="DD191" s="521"/>
      <c r="DE191" s="521"/>
    </row>
    <row r="192" spans="1:109" s="93" customFormat="1" x14ac:dyDescent="0.2">
      <c r="A192" s="102"/>
      <c r="B192" s="301"/>
      <c r="C192" s="102"/>
      <c r="D192" s="102"/>
      <c r="E192" s="29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14"/>
      <c r="R192" s="7"/>
      <c r="S192" s="514"/>
      <c r="T192" s="514"/>
      <c r="U192" s="6"/>
      <c r="V192" s="6"/>
      <c r="W192" s="6"/>
      <c r="X192" s="6"/>
      <c r="Y192" s="6"/>
      <c r="AE192" s="517"/>
      <c r="AF192" s="518"/>
      <c r="AS192" s="519"/>
      <c r="BF192" s="519"/>
      <c r="BG192" s="519"/>
      <c r="BH192" s="520"/>
      <c r="BI192" s="520"/>
      <c r="CB192" s="519"/>
      <c r="CO192" s="519"/>
      <c r="CP192" s="522"/>
      <c r="CQ192" s="522"/>
      <c r="CR192" s="522"/>
      <c r="CS192" s="522"/>
      <c r="CT192" s="523"/>
      <c r="CU192" s="524"/>
      <c r="CV192" s="525"/>
      <c r="CW192" s="521"/>
      <c r="CX192" s="521"/>
      <c r="CY192" s="521"/>
      <c r="CZ192" s="521"/>
      <c r="DA192" s="521"/>
      <c r="DB192" s="521"/>
      <c r="DC192" s="521"/>
      <c r="DD192" s="521"/>
      <c r="DE192" s="521"/>
    </row>
    <row r="193" spans="1:109" s="93" customFormat="1" x14ac:dyDescent="0.2">
      <c r="A193" s="102"/>
      <c r="B193" s="301"/>
      <c r="C193" s="102"/>
      <c r="D193" s="102"/>
      <c r="E193" s="29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4"/>
      <c r="R193" s="7"/>
      <c r="S193" s="514"/>
      <c r="T193" s="514"/>
      <c r="U193" s="6"/>
      <c r="V193" s="6"/>
      <c r="W193" s="6"/>
      <c r="X193" s="6"/>
      <c r="Y193" s="6"/>
      <c r="AE193" s="517"/>
      <c r="AF193" s="518"/>
      <c r="AS193" s="519"/>
      <c r="BF193" s="519"/>
      <c r="BG193" s="519"/>
      <c r="BH193" s="520"/>
      <c r="BI193" s="520"/>
      <c r="CB193" s="519"/>
      <c r="CO193" s="519"/>
      <c r="CP193" s="522"/>
      <c r="CQ193" s="522"/>
      <c r="CR193" s="522"/>
      <c r="CS193" s="522"/>
      <c r="CT193" s="523"/>
      <c r="CU193" s="524"/>
      <c r="CV193" s="525"/>
      <c r="CW193" s="521"/>
      <c r="CX193" s="521"/>
      <c r="CY193" s="521"/>
      <c r="CZ193" s="521"/>
      <c r="DA193" s="521"/>
      <c r="DB193" s="521"/>
      <c r="DC193" s="521"/>
      <c r="DD193" s="521"/>
      <c r="DE193" s="521"/>
    </row>
    <row r="194" spans="1:109" s="93" customFormat="1" x14ac:dyDescent="0.2">
      <c r="A194" s="102"/>
      <c r="B194" s="301"/>
      <c r="C194" s="102"/>
      <c r="D194" s="102"/>
      <c r="E194" s="29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4"/>
      <c r="R194" s="7"/>
      <c r="S194" s="514"/>
      <c r="T194" s="514"/>
      <c r="U194" s="6"/>
      <c r="V194" s="6"/>
      <c r="W194" s="6"/>
      <c r="X194" s="6"/>
      <c r="Y194" s="6"/>
      <c r="AE194" s="517"/>
      <c r="AF194" s="518"/>
      <c r="AS194" s="519"/>
      <c r="BF194" s="519"/>
      <c r="BG194" s="519"/>
      <c r="BH194" s="520"/>
      <c r="BI194" s="520"/>
      <c r="CB194" s="519"/>
      <c r="CO194" s="519"/>
      <c r="CP194" s="522"/>
      <c r="CQ194" s="522"/>
      <c r="CR194" s="522"/>
      <c r="CS194" s="522"/>
      <c r="CT194" s="523"/>
      <c r="CU194" s="524"/>
      <c r="CV194" s="525"/>
      <c r="CW194" s="521"/>
      <c r="CX194" s="521"/>
      <c r="CY194" s="521"/>
      <c r="CZ194" s="521"/>
      <c r="DA194" s="521"/>
      <c r="DB194" s="521"/>
      <c r="DC194" s="521"/>
      <c r="DD194" s="521"/>
      <c r="DE194" s="521"/>
    </row>
    <row r="195" spans="1:109" s="93" customFormat="1" x14ac:dyDescent="0.2">
      <c r="A195" s="102"/>
      <c r="B195" s="301"/>
      <c r="C195" s="102"/>
      <c r="D195" s="102"/>
      <c r="E195" s="29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4"/>
      <c r="R195" s="7"/>
      <c r="S195" s="514"/>
      <c r="T195" s="514"/>
      <c r="U195" s="6"/>
      <c r="V195" s="6"/>
      <c r="W195" s="6"/>
      <c r="X195" s="6"/>
      <c r="Y195" s="6"/>
      <c r="AE195" s="517"/>
      <c r="AF195" s="518"/>
      <c r="AS195" s="519"/>
      <c r="BF195" s="519"/>
      <c r="BG195" s="519"/>
      <c r="BH195" s="520"/>
      <c r="BI195" s="520"/>
      <c r="CB195" s="519"/>
      <c r="CO195" s="519"/>
      <c r="CP195" s="522"/>
      <c r="CQ195" s="522"/>
      <c r="CR195" s="522"/>
      <c r="CS195" s="522"/>
      <c r="CT195" s="523"/>
      <c r="CU195" s="524"/>
      <c r="CV195" s="525"/>
      <c r="CW195" s="521"/>
      <c r="CX195" s="521"/>
      <c r="CY195" s="521"/>
      <c r="CZ195" s="521"/>
      <c r="DA195" s="521"/>
      <c r="DB195" s="521"/>
      <c r="DC195" s="521"/>
      <c r="DD195" s="521"/>
      <c r="DE195" s="521"/>
    </row>
    <row r="196" spans="1:109" s="93" customFormat="1" x14ac:dyDescent="0.2">
      <c r="A196" s="102"/>
      <c r="B196" s="301"/>
      <c r="C196" s="102"/>
      <c r="D196" s="102"/>
      <c r="E196" s="29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4"/>
      <c r="R196" s="7"/>
      <c r="S196" s="514"/>
      <c r="T196" s="514"/>
      <c r="U196" s="6"/>
      <c r="V196" s="6"/>
      <c r="W196" s="6"/>
      <c r="X196" s="6"/>
      <c r="Y196" s="6"/>
      <c r="AE196" s="517"/>
      <c r="AF196" s="518"/>
      <c r="AS196" s="519"/>
      <c r="BF196" s="519"/>
      <c r="BG196" s="519"/>
      <c r="BH196" s="520"/>
      <c r="BI196" s="520"/>
      <c r="CB196" s="519"/>
      <c r="CO196" s="519"/>
      <c r="CP196" s="522"/>
      <c r="CQ196" s="522"/>
      <c r="CR196" s="522"/>
      <c r="CS196" s="522"/>
      <c r="CT196" s="523"/>
      <c r="CU196" s="524"/>
      <c r="CV196" s="525"/>
      <c r="CW196" s="521"/>
      <c r="CX196" s="521"/>
      <c r="CY196" s="521"/>
      <c r="CZ196" s="521"/>
      <c r="DA196" s="521"/>
      <c r="DB196" s="521"/>
      <c r="DC196" s="521"/>
      <c r="DD196" s="521"/>
      <c r="DE196" s="521"/>
    </row>
    <row r="197" spans="1:109" s="93" customFormat="1" x14ac:dyDescent="0.2">
      <c r="A197" s="102"/>
      <c r="B197" s="301"/>
      <c r="C197" s="102"/>
      <c r="D197" s="102"/>
      <c r="E197" s="29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4"/>
      <c r="R197" s="7"/>
      <c r="S197" s="514"/>
      <c r="T197" s="514"/>
      <c r="U197" s="6"/>
      <c r="V197" s="6"/>
      <c r="W197" s="6"/>
      <c r="X197" s="6"/>
      <c r="Y197" s="6"/>
      <c r="AE197" s="517"/>
      <c r="AF197" s="518"/>
      <c r="AS197" s="519"/>
      <c r="BF197" s="519"/>
      <c r="BG197" s="519"/>
      <c r="BH197" s="520"/>
      <c r="BI197" s="520"/>
      <c r="CB197" s="519"/>
      <c r="CO197" s="519"/>
      <c r="CP197" s="522"/>
      <c r="CQ197" s="522"/>
      <c r="CR197" s="522"/>
      <c r="CS197" s="522"/>
      <c r="CT197" s="523"/>
      <c r="CU197" s="524"/>
      <c r="CV197" s="525"/>
      <c r="CW197" s="521"/>
      <c r="CX197" s="521"/>
      <c r="CY197" s="521"/>
      <c r="CZ197" s="521"/>
      <c r="DA197" s="521"/>
      <c r="DB197" s="521"/>
      <c r="DC197" s="521"/>
      <c r="DD197" s="521"/>
      <c r="DE197" s="521"/>
    </row>
    <row r="198" spans="1:109" s="93" customFormat="1" x14ac:dyDescent="0.2">
      <c r="A198" s="102"/>
      <c r="B198" s="301"/>
      <c r="C198" s="102"/>
      <c r="D198" s="102"/>
      <c r="E198" s="29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4"/>
      <c r="R198" s="7"/>
      <c r="S198" s="514"/>
      <c r="T198" s="514"/>
      <c r="U198" s="6"/>
      <c r="V198" s="6"/>
      <c r="W198" s="6"/>
      <c r="X198" s="6"/>
      <c r="Y198" s="6"/>
      <c r="AE198" s="517"/>
      <c r="AF198" s="518"/>
      <c r="AS198" s="519"/>
      <c r="BF198" s="519"/>
      <c r="BG198" s="519"/>
      <c r="BH198" s="520"/>
      <c r="BI198" s="520"/>
      <c r="CB198" s="519"/>
      <c r="CO198" s="519"/>
      <c r="CP198" s="522"/>
      <c r="CQ198" s="522"/>
      <c r="CR198" s="522"/>
      <c r="CS198" s="522"/>
      <c r="CT198" s="523"/>
      <c r="CU198" s="524"/>
      <c r="CV198" s="525"/>
      <c r="CW198" s="521"/>
      <c r="CX198" s="521"/>
      <c r="CY198" s="521"/>
      <c r="CZ198" s="521"/>
      <c r="DA198" s="521"/>
      <c r="DB198" s="521"/>
      <c r="DC198" s="521"/>
      <c r="DD198" s="521"/>
      <c r="DE198" s="521"/>
    </row>
    <row r="199" spans="1:109" s="93" customFormat="1" x14ac:dyDescent="0.2">
      <c r="A199" s="102"/>
      <c r="B199" s="301"/>
      <c r="C199" s="102"/>
      <c r="D199" s="102"/>
      <c r="E199" s="29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4"/>
      <c r="R199" s="7"/>
      <c r="S199" s="514"/>
      <c r="T199" s="514"/>
      <c r="U199" s="6"/>
      <c r="V199" s="6"/>
      <c r="W199" s="6"/>
      <c r="X199" s="6"/>
      <c r="Y199" s="6"/>
      <c r="AE199" s="517"/>
      <c r="AF199" s="518"/>
      <c r="AS199" s="519"/>
      <c r="BF199" s="519"/>
      <c r="BG199" s="519"/>
      <c r="BH199" s="520"/>
      <c r="BI199" s="520"/>
      <c r="CB199" s="519"/>
      <c r="CO199" s="519"/>
      <c r="CP199" s="522"/>
      <c r="CQ199" s="522"/>
      <c r="CR199" s="522"/>
      <c r="CS199" s="522"/>
      <c r="CT199" s="523"/>
      <c r="CU199" s="524"/>
      <c r="CV199" s="525"/>
      <c r="CW199" s="521"/>
      <c r="CX199" s="521"/>
      <c r="CY199" s="521"/>
      <c r="CZ199" s="521"/>
      <c r="DA199" s="521"/>
      <c r="DB199" s="521"/>
      <c r="DC199" s="521"/>
      <c r="DD199" s="521"/>
      <c r="DE199" s="521"/>
    </row>
    <row r="200" spans="1:109" s="93" customFormat="1" x14ac:dyDescent="0.2">
      <c r="A200" s="102"/>
      <c r="B200" s="301"/>
      <c r="C200" s="102"/>
      <c r="D200" s="102"/>
      <c r="E200" s="29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4"/>
      <c r="R200" s="7"/>
      <c r="S200" s="514"/>
      <c r="T200" s="514"/>
      <c r="U200" s="6"/>
      <c r="V200" s="6"/>
      <c r="W200" s="6"/>
      <c r="X200" s="6"/>
      <c r="Y200" s="6"/>
      <c r="AE200" s="517"/>
      <c r="AF200" s="518"/>
      <c r="AS200" s="519"/>
      <c r="BF200" s="519"/>
      <c r="BG200" s="519"/>
      <c r="BH200" s="520"/>
      <c r="BI200" s="520"/>
      <c r="CB200" s="519"/>
      <c r="CO200" s="519"/>
      <c r="CP200" s="522"/>
      <c r="CQ200" s="522"/>
      <c r="CR200" s="522"/>
      <c r="CS200" s="522"/>
      <c r="CT200" s="523"/>
      <c r="CU200" s="524"/>
      <c r="CV200" s="525"/>
      <c r="CW200" s="521"/>
      <c r="CX200" s="521"/>
      <c r="CY200" s="521"/>
      <c r="CZ200" s="521"/>
      <c r="DA200" s="521"/>
      <c r="DB200" s="521"/>
      <c r="DC200" s="521"/>
      <c r="DD200" s="521"/>
      <c r="DE200" s="521"/>
    </row>
    <row r="201" spans="1:109" s="93" customFormat="1" x14ac:dyDescent="0.2">
      <c r="A201" s="102"/>
      <c r="B201" s="301"/>
      <c r="C201" s="102"/>
      <c r="D201" s="102"/>
      <c r="E201" s="29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4"/>
      <c r="R201" s="7"/>
      <c r="S201" s="514"/>
      <c r="T201" s="526"/>
      <c r="U201" s="6"/>
      <c r="V201" s="6"/>
      <c r="W201" s="6"/>
      <c r="X201" s="6"/>
      <c r="Y201" s="6"/>
      <c r="AE201" s="517"/>
      <c r="AF201" s="518"/>
      <c r="AS201" s="519"/>
      <c r="BF201" s="519"/>
      <c r="BG201" s="519"/>
      <c r="BH201" s="520"/>
      <c r="BI201" s="520"/>
      <c r="CB201" s="519"/>
      <c r="CO201" s="519"/>
      <c r="CP201" s="522"/>
      <c r="CQ201" s="522"/>
      <c r="CR201" s="522"/>
      <c r="CS201" s="522"/>
      <c r="CT201" s="523"/>
      <c r="CU201" s="524"/>
      <c r="CV201" s="525"/>
      <c r="CW201" s="521"/>
      <c r="CX201" s="521"/>
      <c r="CY201" s="521"/>
      <c r="CZ201" s="521"/>
      <c r="DA201" s="521"/>
      <c r="DB201" s="521"/>
      <c r="DC201" s="521"/>
      <c r="DD201" s="521"/>
      <c r="DE201" s="521"/>
    </row>
    <row r="202" spans="1:109" s="93" customFormat="1" x14ac:dyDescent="0.2">
      <c r="A202" s="102"/>
      <c r="B202" s="301"/>
      <c r="C202" s="102"/>
      <c r="D202" s="102"/>
      <c r="E202" s="29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4"/>
      <c r="R202" s="7"/>
      <c r="S202" s="514"/>
      <c r="T202" s="526">
        <v>53000</v>
      </c>
      <c r="U202" s="6"/>
      <c r="V202" s="6"/>
      <c r="W202" s="6"/>
      <c r="X202" s="6"/>
      <c r="Y202" s="6"/>
      <c r="AE202" s="517"/>
      <c r="AF202" s="518"/>
      <c r="AS202" s="519"/>
      <c r="BF202" s="519"/>
      <c r="BG202" s="519"/>
      <c r="BH202" s="520"/>
      <c r="BI202" s="520"/>
      <c r="CB202" s="519"/>
      <c r="CO202" s="519"/>
      <c r="CP202" s="522"/>
      <c r="CQ202" s="522"/>
      <c r="CR202" s="522"/>
      <c r="CS202" s="522"/>
      <c r="CT202" s="523"/>
      <c r="CU202" s="524"/>
      <c r="CV202" s="525"/>
      <c r="CW202" s="521"/>
      <c r="CX202" s="521"/>
      <c r="CY202" s="521"/>
      <c r="CZ202" s="521"/>
      <c r="DA202" s="521"/>
      <c r="DB202" s="521"/>
      <c r="DC202" s="521"/>
      <c r="DD202" s="521"/>
      <c r="DE202" s="521"/>
    </row>
    <row r="203" spans="1:109" s="93" customFormat="1" x14ac:dyDescent="0.2">
      <c r="A203" s="102"/>
      <c r="B203" s="301"/>
      <c r="C203" s="102"/>
      <c r="D203" s="102"/>
      <c r="E203" s="29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4"/>
      <c r="R203" s="7"/>
      <c r="S203" s="514"/>
      <c r="T203" s="526">
        <v>85000</v>
      </c>
      <c r="U203" s="6"/>
      <c r="V203" s="6"/>
      <c r="W203" s="6"/>
      <c r="X203" s="6"/>
      <c r="Y203" s="6"/>
      <c r="AE203" s="517"/>
      <c r="AF203" s="518"/>
      <c r="AS203" s="519"/>
      <c r="BF203" s="519"/>
      <c r="BG203" s="519"/>
      <c r="BH203" s="520"/>
      <c r="BI203" s="520"/>
      <c r="CB203" s="519"/>
      <c r="CO203" s="519"/>
      <c r="CP203" s="522"/>
      <c r="CQ203" s="522"/>
      <c r="CR203" s="522"/>
      <c r="CS203" s="522"/>
      <c r="CT203" s="523"/>
      <c r="CU203" s="524"/>
      <c r="CV203" s="525"/>
      <c r="CW203" s="521"/>
      <c r="CX203" s="521"/>
      <c r="CY203" s="521"/>
      <c r="CZ203" s="521"/>
      <c r="DA203" s="521"/>
      <c r="DB203" s="521"/>
      <c r="DC203" s="521"/>
      <c r="DD203" s="521"/>
      <c r="DE203" s="521"/>
    </row>
    <row r="204" spans="1:109" s="93" customFormat="1" x14ac:dyDescent="0.2">
      <c r="A204" s="102"/>
      <c r="B204" s="301"/>
      <c r="C204" s="102"/>
      <c r="D204" s="102"/>
      <c r="E204" s="29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4"/>
      <c r="R204" s="7"/>
      <c r="S204" s="514"/>
      <c r="T204" s="526">
        <v>75000</v>
      </c>
      <c r="U204" s="6"/>
      <c r="V204" s="6"/>
      <c r="W204" s="6"/>
      <c r="X204" s="6"/>
      <c r="Y204" s="6"/>
      <c r="AE204" s="517"/>
      <c r="AF204" s="518"/>
      <c r="AS204" s="519"/>
      <c r="BF204" s="519"/>
      <c r="BG204" s="519"/>
      <c r="BH204" s="520"/>
      <c r="BI204" s="520"/>
      <c r="CB204" s="519"/>
      <c r="CO204" s="519"/>
      <c r="CP204" s="522"/>
      <c r="CQ204" s="522"/>
      <c r="CR204" s="522"/>
      <c r="CS204" s="522"/>
      <c r="CT204" s="523"/>
      <c r="CU204" s="524"/>
      <c r="CV204" s="525"/>
      <c r="CW204" s="521"/>
      <c r="CX204" s="521"/>
      <c r="CY204" s="521"/>
      <c r="CZ204" s="521"/>
      <c r="DA204" s="521"/>
      <c r="DB204" s="521"/>
      <c r="DC204" s="521"/>
      <c r="DD204" s="521"/>
      <c r="DE204" s="521"/>
    </row>
    <row r="205" spans="1:109" s="93" customFormat="1" x14ac:dyDescent="0.2">
      <c r="A205" s="102"/>
      <c r="B205" s="301"/>
      <c r="C205" s="102"/>
      <c r="D205" s="102"/>
      <c r="E205" s="29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4"/>
      <c r="R205" s="7"/>
      <c r="S205" s="514"/>
      <c r="T205" s="526"/>
      <c r="U205" s="6"/>
      <c r="V205" s="6"/>
      <c r="W205" s="6"/>
      <c r="X205" s="6"/>
      <c r="Y205" s="6"/>
      <c r="AE205" s="517"/>
      <c r="AF205" s="518"/>
      <c r="AS205" s="519"/>
      <c r="BF205" s="519"/>
      <c r="BG205" s="519"/>
      <c r="BH205" s="520"/>
      <c r="BI205" s="520"/>
      <c r="CB205" s="519"/>
      <c r="CO205" s="519"/>
      <c r="CP205" s="522"/>
      <c r="CQ205" s="522"/>
      <c r="CR205" s="522"/>
      <c r="CS205" s="522"/>
      <c r="CT205" s="523"/>
      <c r="CU205" s="524"/>
      <c r="CV205" s="525"/>
      <c r="CW205" s="521"/>
      <c r="CX205" s="521"/>
      <c r="CY205" s="521"/>
      <c r="CZ205" s="521"/>
      <c r="DA205" s="521"/>
      <c r="DB205" s="521"/>
      <c r="DC205" s="521"/>
      <c r="DD205" s="521"/>
      <c r="DE205" s="521"/>
    </row>
    <row r="206" spans="1:109" s="93" customFormat="1" x14ac:dyDescent="0.2">
      <c r="A206" s="102"/>
      <c r="B206" s="301"/>
      <c r="C206" s="102"/>
      <c r="D206" s="102"/>
      <c r="E206" s="29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4"/>
      <c r="R206" s="7"/>
      <c r="S206" s="514"/>
      <c r="T206" s="526"/>
      <c r="U206" s="6"/>
      <c r="V206" s="6"/>
      <c r="W206" s="6"/>
      <c r="X206" s="6"/>
      <c r="Y206" s="6"/>
      <c r="AE206" s="517"/>
      <c r="AF206" s="518"/>
      <c r="AS206" s="519"/>
      <c r="BF206" s="519"/>
      <c r="BG206" s="519"/>
      <c r="BH206" s="520"/>
      <c r="BI206" s="520"/>
      <c r="CB206" s="519"/>
      <c r="CO206" s="519"/>
      <c r="CP206" s="522"/>
      <c r="CQ206" s="522"/>
      <c r="CR206" s="522"/>
      <c r="CS206" s="522"/>
      <c r="CT206" s="523"/>
      <c r="CU206" s="524"/>
      <c r="CV206" s="525"/>
      <c r="CW206" s="521"/>
      <c r="CX206" s="521"/>
      <c r="CY206" s="521"/>
      <c r="CZ206" s="521"/>
      <c r="DA206" s="521"/>
      <c r="DB206" s="521"/>
      <c r="DC206" s="521"/>
      <c r="DD206" s="521"/>
      <c r="DE206" s="521"/>
    </row>
    <row r="207" spans="1:109" x14ac:dyDescent="0.2">
      <c r="E207" s="296"/>
      <c r="T207" s="377"/>
    </row>
    <row r="208" spans="1:109" x14ac:dyDescent="0.2">
      <c r="E208" s="296"/>
      <c r="T208" s="377"/>
    </row>
    <row r="209" spans="5:33" x14ac:dyDescent="0.2">
      <c r="E209" s="296"/>
      <c r="T209" s="377"/>
    </row>
    <row r="210" spans="5:33" x14ac:dyDescent="0.2">
      <c r="E210" s="296"/>
      <c r="T210" s="377"/>
    </row>
    <row r="211" spans="5:33" x14ac:dyDescent="0.2">
      <c r="E211" s="296"/>
      <c r="T211" s="377"/>
    </row>
    <row r="212" spans="5:33" x14ac:dyDescent="0.2">
      <c r="E212" s="296"/>
      <c r="T212" s="377"/>
    </row>
    <row r="213" spans="5:33" x14ac:dyDescent="0.2">
      <c r="E213" s="296"/>
    </row>
    <row r="214" spans="5:33" x14ac:dyDescent="0.2">
      <c r="E214" s="296"/>
    </row>
    <row r="216" spans="5:33" x14ac:dyDescent="0.2">
      <c r="AG216" s="162"/>
    </row>
  </sheetData>
  <mergeCells count="172">
    <mergeCell ref="BG141:BG143"/>
    <mergeCell ref="BH141:BH143"/>
    <mergeCell ref="BI141:BI143"/>
    <mergeCell ref="BP141:CO141"/>
    <mergeCell ref="D142:D143"/>
    <mergeCell ref="E142:Q142"/>
    <mergeCell ref="S142:S143"/>
    <mergeCell ref="T142:AE142"/>
    <mergeCell ref="AF142:AF143"/>
    <mergeCell ref="AG142:AS142"/>
    <mergeCell ref="BP142:CB142"/>
    <mergeCell ref="CC142:CO142"/>
    <mergeCell ref="BL143:BN143"/>
    <mergeCell ref="A140:B140"/>
    <mergeCell ref="A141:A143"/>
    <mergeCell ref="B141:B143"/>
    <mergeCell ref="C141:C143"/>
    <mergeCell ref="D141:Q141"/>
    <mergeCell ref="R141:R143"/>
    <mergeCell ref="S141:AE141"/>
    <mergeCell ref="AF141:AS141"/>
    <mergeCell ref="AT141:BF142"/>
    <mergeCell ref="BP2:CO2"/>
    <mergeCell ref="BL4:BN4"/>
    <mergeCell ref="BG84:BG86"/>
    <mergeCell ref="BH84:BH86"/>
    <mergeCell ref="BI84:BI86"/>
    <mergeCell ref="BI2:BI4"/>
    <mergeCell ref="BP48:CO48"/>
    <mergeCell ref="BP49:CB49"/>
    <mergeCell ref="CC49:CO49"/>
    <mergeCell ref="BG65:BG67"/>
    <mergeCell ref="BH65:BH67"/>
    <mergeCell ref="BI65:BI67"/>
    <mergeCell ref="BP65:CO65"/>
    <mergeCell ref="BP66:CB66"/>
    <mergeCell ref="CC66:CO66"/>
    <mergeCell ref="BG76:BG78"/>
    <mergeCell ref="BH76:BH78"/>
    <mergeCell ref="BI76:BI78"/>
    <mergeCell ref="BP76:CO76"/>
    <mergeCell ref="BP77:CB77"/>
    <mergeCell ref="CC77:CO77"/>
    <mergeCell ref="BP84:CO84"/>
    <mergeCell ref="BP85:CB85"/>
    <mergeCell ref="CC85:CO85"/>
    <mergeCell ref="AF49:AF50"/>
    <mergeCell ref="AG49:AS49"/>
    <mergeCell ref="R48:R50"/>
    <mergeCell ref="D28:D29"/>
    <mergeCell ref="E28:Q28"/>
    <mergeCell ref="BG38:BG40"/>
    <mergeCell ref="BH38:BH40"/>
    <mergeCell ref="BI38:BI40"/>
    <mergeCell ref="AT38:BF39"/>
    <mergeCell ref="S48:AE48"/>
    <mergeCell ref="AF48:AS48"/>
    <mergeCell ref="AT48:BF49"/>
    <mergeCell ref="BG48:BG50"/>
    <mergeCell ref="D48:Q48"/>
    <mergeCell ref="D39:D40"/>
    <mergeCell ref="E39:Q39"/>
    <mergeCell ref="S39:S40"/>
    <mergeCell ref="A83:B83"/>
    <mergeCell ref="A84:A86"/>
    <mergeCell ref="B84:B86"/>
    <mergeCell ref="C84:C86"/>
    <mergeCell ref="D84:Q84"/>
    <mergeCell ref="R84:R86"/>
    <mergeCell ref="S84:AE84"/>
    <mergeCell ref="AF84:AS84"/>
    <mergeCell ref="AT76:BF77"/>
    <mergeCell ref="AT84:BF85"/>
    <mergeCell ref="D77:D78"/>
    <mergeCell ref="E77:Q77"/>
    <mergeCell ref="S77:S78"/>
    <mergeCell ref="T77:AE77"/>
    <mergeCell ref="AF77:AF78"/>
    <mergeCell ref="AG77:AS77"/>
    <mergeCell ref="D85:D86"/>
    <mergeCell ref="E85:Q85"/>
    <mergeCell ref="S85:S86"/>
    <mergeCell ref="T85:AE85"/>
    <mergeCell ref="AF85:AF86"/>
    <mergeCell ref="AG85:AS85"/>
    <mergeCell ref="R2:R4"/>
    <mergeCell ref="D27:Q27"/>
    <mergeCell ref="R27:R29"/>
    <mergeCell ref="S27:AE27"/>
    <mergeCell ref="AF27:AS27"/>
    <mergeCell ref="A38:A40"/>
    <mergeCell ref="B38:B40"/>
    <mergeCell ref="C38:C40"/>
    <mergeCell ref="D38:Q38"/>
    <mergeCell ref="T3:AE3"/>
    <mergeCell ref="AF3:AF4"/>
    <mergeCell ref="AG3:AS3"/>
    <mergeCell ref="BI27:BI29"/>
    <mergeCell ref="S28:S29"/>
    <mergeCell ref="T28:AE28"/>
    <mergeCell ref="AF28:AF29"/>
    <mergeCell ref="AG28:AS28"/>
    <mergeCell ref="A75:B75"/>
    <mergeCell ref="A76:A78"/>
    <mergeCell ref="B76:B78"/>
    <mergeCell ref="C76:C78"/>
    <mergeCell ref="D76:Q76"/>
    <mergeCell ref="R76:R78"/>
    <mergeCell ref="S76:AE76"/>
    <mergeCell ref="AF76:AS76"/>
    <mergeCell ref="A47:B47"/>
    <mergeCell ref="A48:A50"/>
    <mergeCell ref="B48:B50"/>
    <mergeCell ref="C48:C50"/>
    <mergeCell ref="AT27:BF28"/>
    <mergeCell ref="BH48:BH50"/>
    <mergeCell ref="BI48:BI50"/>
    <mergeCell ref="D49:D50"/>
    <mergeCell ref="E49:Q49"/>
    <mergeCell ref="S49:S50"/>
    <mergeCell ref="T49:AE49"/>
    <mergeCell ref="A1:B1"/>
    <mergeCell ref="A37:B37"/>
    <mergeCell ref="C2:C4"/>
    <mergeCell ref="D2:Q2"/>
    <mergeCell ref="D3:D4"/>
    <mergeCell ref="E3:Q3"/>
    <mergeCell ref="A2:A4"/>
    <mergeCell ref="B2:B4"/>
    <mergeCell ref="A26:B26"/>
    <mergeCell ref="A27:A29"/>
    <mergeCell ref="B27:B29"/>
    <mergeCell ref="C27:C29"/>
    <mergeCell ref="T39:AE39"/>
    <mergeCell ref="AF39:AF40"/>
    <mergeCell ref="AG39:AS39"/>
    <mergeCell ref="R38:R40"/>
    <mergeCell ref="S38:AE38"/>
    <mergeCell ref="AF38:AS38"/>
    <mergeCell ref="BL3:BN3"/>
    <mergeCell ref="BP27:CO27"/>
    <mergeCell ref="BP28:CB28"/>
    <mergeCell ref="CC28:CO28"/>
    <mergeCell ref="BP38:CO38"/>
    <mergeCell ref="BP39:CB39"/>
    <mergeCell ref="CC39:CO39"/>
    <mergeCell ref="BL29:BN29"/>
    <mergeCell ref="BP3:CB3"/>
    <mergeCell ref="CC3:CO3"/>
    <mergeCell ref="AT2:BF3"/>
    <mergeCell ref="S2:AE2"/>
    <mergeCell ref="AF2:AS2"/>
    <mergeCell ref="S3:S4"/>
    <mergeCell ref="BH2:BH4"/>
    <mergeCell ref="BG2:BG4"/>
    <mergeCell ref="BG27:BG29"/>
    <mergeCell ref="BH27:BH29"/>
    <mergeCell ref="A64:B64"/>
    <mergeCell ref="A65:A67"/>
    <mergeCell ref="B65:B67"/>
    <mergeCell ref="C65:C67"/>
    <mergeCell ref="D65:Q65"/>
    <mergeCell ref="R65:R67"/>
    <mergeCell ref="S65:AE65"/>
    <mergeCell ref="AF65:AS65"/>
    <mergeCell ref="AT65:BF66"/>
    <mergeCell ref="D66:D67"/>
    <mergeCell ref="E66:Q66"/>
    <mergeCell ref="S66:S67"/>
    <mergeCell ref="T66:AE66"/>
    <mergeCell ref="AF66:AF67"/>
    <mergeCell ref="AG66:AS66"/>
  </mergeCells>
  <phoneticPr fontId="51" type="noConversion"/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T142"/>
  <sheetViews>
    <sheetView zoomScale="90" zoomScaleNormal="90" workbookViewId="0">
      <selection activeCell="BI15" sqref="BI15"/>
    </sheetView>
  </sheetViews>
  <sheetFormatPr defaultRowHeight="15" x14ac:dyDescent="0.2"/>
  <cols>
    <col min="1" max="1" width="7.5" style="9" customWidth="1"/>
    <col min="2" max="2" width="86.83203125" style="8" customWidth="1"/>
    <col min="3" max="3" width="10" style="9" customWidth="1"/>
    <col min="4" max="4" width="18" style="8" customWidth="1"/>
    <col min="5" max="16" width="11.6640625" style="4" customWidth="1"/>
    <col min="17" max="17" width="11.6640625" style="14" customWidth="1"/>
    <col min="18" max="18" width="14.33203125" style="102" customWidth="1"/>
    <col min="19" max="19" width="21.83203125" style="8" customWidth="1"/>
    <col min="20" max="20" width="16.1640625" customWidth="1"/>
    <col min="21" max="21" width="16.83203125" customWidth="1"/>
    <col min="22" max="30" width="11.6640625" customWidth="1"/>
    <col min="31" max="31" width="11.6640625" style="2" customWidth="1"/>
    <col min="32" max="32" width="20.5" style="10" customWidth="1"/>
    <col min="33" max="44" width="17.5" customWidth="1"/>
    <col min="45" max="45" width="17.5" style="12" customWidth="1"/>
    <col min="46" max="46" width="18.6640625" customWidth="1"/>
    <col min="47" max="57" width="17.5" customWidth="1"/>
    <col min="58" max="58" width="18.6640625" style="12" customWidth="1"/>
    <col min="59" max="59" width="17.5" style="12" customWidth="1"/>
    <col min="60" max="61" width="17.5" style="13" customWidth="1"/>
    <col min="62" max="62" width="16.1640625" bestFit="1" customWidth="1"/>
    <col min="63" max="63" width="14.1640625" style="108" customWidth="1"/>
    <col min="64" max="64" width="15.83203125" style="3" customWidth="1"/>
    <col min="65" max="67" width="14.1640625" style="3" customWidth="1"/>
    <col min="68" max="68" width="16.83203125" style="3" bestFit="1" customWidth="1"/>
    <col min="69" max="80" width="9.33203125" style="3"/>
    <col min="81" max="81" width="28.5" bestFit="1" customWidth="1"/>
  </cols>
  <sheetData>
    <row r="1" spans="1:98" s="16" customFormat="1" ht="16.5" customHeight="1" x14ac:dyDescent="0.2">
      <c r="A1" s="811" t="s">
        <v>7</v>
      </c>
      <c r="B1" s="812"/>
      <c r="C1" s="83" t="s">
        <v>147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6"/>
      <c r="AF1" s="17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7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7"/>
      <c r="BG1" s="87"/>
      <c r="BH1" s="84"/>
      <c r="BI1" s="88"/>
      <c r="BJ1" s="84"/>
      <c r="BK1" s="103"/>
      <c r="BL1" s="85"/>
      <c r="BM1" s="85"/>
      <c r="BN1" s="85"/>
      <c r="BO1" s="85"/>
      <c r="BP1" s="86"/>
      <c r="BQ1" s="85"/>
      <c r="BR1" s="85"/>
      <c r="BS1" s="85"/>
      <c r="BT1" s="85"/>
      <c r="BU1" s="85"/>
      <c r="BV1" s="87"/>
      <c r="BW1" s="87"/>
      <c r="BX1" s="87"/>
      <c r="BY1" s="84"/>
      <c r="BZ1" s="88"/>
      <c r="CA1" s="87"/>
      <c r="CB1" s="87"/>
      <c r="CC1" s="18"/>
      <c r="CD1" s="18"/>
      <c r="CE1" s="18"/>
      <c r="CF1" s="18"/>
      <c r="CG1" s="18"/>
      <c r="CH1" s="89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</row>
    <row r="2" spans="1:98" s="7" customFormat="1" ht="48.75" customHeight="1" x14ac:dyDescent="0.2">
      <c r="A2" s="813" t="s">
        <v>8</v>
      </c>
      <c r="B2" s="787" t="s">
        <v>9</v>
      </c>
      <c r="C2" s="787" t="s">
        <v>22</v>
      </c>
      <c r="D2" s="806" t="s">
        <v>10</v>
      </c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787" t="s">
        <v>20</v>
      </c>
      <c r="S2" s="807" t="s">
        <v>17</v>
      </c>
      <c r="T2" s="808"/>
      <c r="U2" s="808"/>
      <c r="V2" s="808"/>
      <c r="W2" s="808"/>
      <c r="X2" s="808"/>
      <c r="Y2" s="808"/>
      <c r="Z2" s="808"/>
      <c r="AA2" s="808"/>
      <c r="AB2" s="808"/>
      <c r="AC2" s="808"/>
      <c r="AD2" s="808"/>
      <c r="AE2" s="809"/>
      <c r="AF2" s="810" t="s">
        <v>5</v>
      </c>
      <c r="AG2" s="810"/>
      <c r="AH2" s="810"/>
      <c r="AI2" s="810"/>
      <c r="AJ2" s="810"/>
      <c r="AK2" s="810"/>
      <c r="AL2" s="810"/>
      <c r="AM2" s="810"/>
      <c r="AN2" s="810"/>
      <c r="AO2" s="810"/>
      <c r="AP2" s="810"/>
      <c r="AQ2" s="810"/>
      <c r="AR2" s="810"/>
      <c r="AS2" s="810"/>
      <c r="AT2" s="800" t="s">
        <v>32</v>
      </c>
      <c r="AU2" s="801"/>
      <c r="AV2" s="801"/>
      <c r="AW2" s="801"/>
      <c r="AX2" s="801"/>
      <c r="AY2" s="801"/>
      <c r="AZ2" s="801"/>
      <c r="BA2" s="801"/>
      <c r="BB2" s="801"/>
      <c r="BC2" s="801"/>
      <c r="BD2" s="801"/>
      <c r="BE2" s="801"/>
      <c r="BF2" s="802"/>
      <c r="BG2" s="787" t="s">
        <v>29</v>
      </c>
      <c r="BH2" s="787" t="s">
        <v>57</v>
      </c>
      <c r="BI2" s="790" t="s">
        <v>30</v>
      </c>
      <c r="BJ2" s="84"/>
      <c r="BK2" s="17"/>
      <c r="BL2" s="84"/>
      <c r="BM2" s="84"/>
      <c r="BN2" s="84"/>
      <c r="BO2" s="84"/>
      <c r="BP2" s="774" t="s">
        <v>32</v>
      </c>
      <c r="BQ2" s="775"/>
      <c r="BR2" s="775"/>
      <c r="BS2" s="775"/>
      <c r="BT2" s="775"/>
      <c r="BU2" s="775"/>
      <c r="BV2" s="775"/>
      <c r="BW2" s="775"/>
      <c r="BX2" s="775"/>
      <c r="BY2" s="775"/>
      <c r="BZ2" s="775"/>
      <c r="CA2" s="775"/>
      <c r="CB2" s="775"/>
      <c r="CC2" s="775"/>
      <c r="CD2" s="775"/>
      <c r="CE2" s="775"/>
      <c r="CF2" s="775"/>
      <c r="CG2" s="775"/>
      <c r="CH2" s="775"/>
      <c r="CI2" s="775"/>
      <c r="CJ2" s="775"/>
      <c r="CK2" s="775"/>
      <c r="CL2" s="775"/>
      <c r="CM2" s="775"/>
      <c r="CN2" s="775"/>
      <c r="CO2" s="776"/>
    </row>
    <row r="3" spans="1:98" s="7" customFormat="1" ht="48.75" customHeight="1" x14ac:dyDescent="0.2">
      <c r="A3" s="814"/>
      <c r="B3" s="788"/>
      <c r="C3" s="788"/>
      <c r="D3" s="797" t="s">
        <v>18</v>
      </c>
      <c r="E3" s="795" t="s">
        <v>19</v>
      </c>
      <c r="F3" s="796"/>
      <c r="G3" s="796"/>
      <c r="H3" s="796"/>
      <c r="I3" s="796"/>
      <c r="J3" s="796"/>
      <c r="K3" s="796"/>
      <c r="L3" s="796"/>
      <c r="M3" s="796"/>
      <c r="N3" s="796"/>
      <c r="O3" s="796"/>
      <c r="P3" s="796"/>
      <c r="Q3" s="796"/>
      <c r="R3" s="788"/>
      <c r="S3" s="797" t="s">
        <v>18</v>
      </c>
      <c r="T3" s="795" t="s">
        <v>19</v>
      </c>
      <c r="U3" s="796"/>
      <c r="V3" s="796"/>
      <c r="W3" s="796"/>
      <c r="X3" s="796"/>
      <c r="Y3" s="796"/>
      <c r="Z3" s="796"/>
      <c r="AA3" s="796"/>
      <c r="AB3" s="796"/>
      <c r="AC3" s="796"/>
      <c r="AD3" s="796"/>
      <c r="AE3" s="799"/>
      <c r="AF3" s="797" t="s">
        <v>18</v>
      </c>
      <c r="AG3" s="795" t="s">
        <v>19</v>
      </c>
      <c r="AH3" s="796"/>
      <c r="AI3" s="796"/>
      <c r="AJ3" s="796"/>
      <c r="AK3" s="796"/>
      <c r="AL3" s="796"/>
      <c r="AM3" s="796"/>
      <c r="AN3" s="796"/>
      <c r="AO3" s="796"/>
      <c r="AP3" s="796"/>
      <c r="AQ3" s="796"/>
      <c r="AR3" s="796"/>
      <c r="AS3" s="799"/>
      <c r="AT3" s="803"/>
      <c r="AU3" s="804"/>
      <c r="AV3" s="804"/>
      <c r="AW3" s="804"/>
      <c r="AX3" s="804"/>
      <c r="AY3" s="804"/>
      <c r="AZ3" s="804"/>
      <c r="BA3" s="804"/>
      <c r="BB3" s="804"/>
      <c r="BC3" s="804"/>
      <c r="BD3" s="804"/>
      <c r="BE3" s="804"/>
      <c r="BF3" s="805"/>
      <c r="BG3" s="788"/>
      <c r="BH3" s="788"/>
      <c r="BI3" s="791"/>
      <c r="BJ3" s="84"/>
      <c r="BK3" s="17"/>
      <c r="BL3" s="777">
        <f>SUM(BL5/60)</f>
        <v>0</v>
      </c>
      <c r="BM3" s="777"/>
      <c r="BN3" s="777"/>
      <c r="BO3" s="17"/>
      <c r="BP3" s="778" t="s">
        <v>230</v>
      </c>
      <c r="BQ3" s="779"/>
      <c r="BR3" s="779"/>
      <c r="BS3" s="779"/>
      <c r="BT3" s="779"/>
      <c r="BU3" s="779"/>
      <c r="BV3" s="779"/>
      <c r="BW3" s="779"/>
      <c r="BX3" s="779"/>
      <c r="BY3" s="779"/>
      <c r="BZ3" s="779"/>
      <c r="CA3" s="779"/>
      <c r="CB3" s="780"/>
      <c r="CC3" s="781" t="s">
        <v>231</v>
      </c>
      <c r="CD3" s="782"/>
      <c r="CE3" s="782"/>
      <c r="CF3" s="782"/>
      <c r="CG3" s="782"/>
      <c r="CH3" s="782"/>
      <c r="CI3" s="782"/>
      <c r="CJ3" s="782"/>
      <c r="CK3" s="782"/>
      <c r="CL3" s="782"/>
      <c r="CM3" s="782"/>
      <c r="CN3" s="782"/>
      <c r="CO3" s="783"/>
    </row>
    <row r="4" spans="1:98" s="5" customFormat="1" ht="28.5" customHeight="1" x14ac:dyDescent="0.2">
      <c r="A4" s="815"/>
      <c r="B4" s="789"/>
      <c r="C4" s="789"/>
      <c r="D4" s="798"/>
      <c r="E4" s="20">
        <v>1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  <c r="O4" s="20">
        <v>11</v>
      </c>
      <c r="P4" s="20">
        <v>12</v>
      </c>
      <c r="Q4" s="20" t="s">
        <v>21</v>
      </c>
      <c r="R4" s="789"/>
      <c r="S4" s="798"/>
      <c r="T4" s="20">
        <v>1</v>
      </c>
      <c r="U4" s="20">
        <v>2</v>
      </c>
      <c r="V4" s="20">
        <v>3</v>
      </c>
      <c r="W4" s="20">
        <v>4</v>
      </c>
      <c r="X4" s="20">
        <v>5</v>
      </c>
      <c r="Y4" s="20">
        <v>6</v>
      </c>
      <c r="Z4" s="20">
        <v>7</v>
      </c>
      <c r="AA4" s="20">
        <v>8</v>
      </c>
      <c r="AB4" s="20">
        <v>9</v>
      </c>
      <c r="AC4" s="20">
        <v>10</v>
      </c>
      <c r="AD4" s="20">
        <v>11</v>
      </c>
      <c r="AE4" s="20">
        <v>12</v>
      </c>
      <c r="AF4" s="798"/>
      <c r="AG4" s="20">
        <v>1</v>
      </c>
      <c r="AH4" s="20">
        <v>2</v>
      </c>
      <c r="AI4" s="20">
        <v>3</v>
      </c>
      <c r="AJ4" s="20">
        <v>4</v>
      </c>
      <c r="AK4" s="20">
        <v>5</v>
      </c>
      <c r="AL4" s="20">
        <v>6</v>
      </c>
      <c r="AM4" s="20">
        <v>7</v>
      </c>
      <c r="AN4" s="20">
        <v>8</v>
      </c>
      <c r="AO4" s="20">
        <v>9</v>
      </c>
      <c r="AP4" s="20">
        <v>10</v>
      </c>
      <c r="AQ4" s="20">
        <v>11</v>
      </c>
      <c r="AR4" s="20">
        <v>12</v>
      </c>
      <c r="AS4" s="20" t="s">
        <v>13</v>
      </c>
      <c r="AT4" s="111">
        <v>1</v>
      </c>
      <c r="AU4" s="111">
        <v>2</v>
      </c>
      <c r="AV4" s="111">
        <v>3</v>
      </c>
      <c r="AW4" s="111">
        <v>4</v>
      </c>
      <c r="AX4" s="111">
        <v>5</v>
      </c>
      <c r="AY4" s="111">
        <v>6</v>
      </c>
      <c r="AZ4" s="111">
        <v>7</v>
      </c>
      <c r="BA4" s="111">
        <v>8</v>
      </c>
      <c r="BB4" s="111">
        <v>9</v>
      </c>
      <c r="BC4" s="111">
        <v>10</v>
      </c>
      <c r="BD4" s="111">
        <v>11</v>
      </c>
      <c r="BE4" s="111">
        <v>12</v>
      </c>
      <c r="BF4" s="20" t="s">
        <v>13</v>
      </c>
      <c r="BG4" s="789"/>
      <c r="BH4" s="789"/>
      <c r="BI4" s="792"/>
      <c r="BJ4" s="6"/>
      <c r="BK4" s="21"/>
      <c r="BL4" s="784" t="s">
        <v>19</v>
      </c>
      <c r="BM4" s="785"/>
      <c r="BN4" s="786"/>
      <c r="BO4" s="337"/>
      <c r="BP4" s="111">
        <v>1</v>
      </c>
      <c r="BQ4" s="111">
        <v>2</v>
      </c>
      <c r="BR4" s="111">
        <v>3</v>
      </c>
      <c r="BS4" s="111">
        <v>4</v>
      </c>
      <c r="BT4" s="111">
        <v>5</v>
      </c>
      <c r="BU4" s="111">
        <v>6</v>
      </c>
      <c r="BV4" s="111">
        <v>7</v>
      </c>
      <c r="BW4" s="111">
        <v>8</v>
      </c>
      <c r="BX4" s="111">
        <v>9</v>
      </c>
      <c r="BY4" s="111">
        <v>10</v>
      </c>
      <c r="BZ4" s="111">
        <v>11</v>
      </c>
      <c r="CA4" s="111">
        <v>12</v>
      </c>
      <c r="CB4" s="20" t="s">
        <v>13</v>
      </c>
      <c r="CC4" s="111">
        <v>1</v>
      </c>
      <c r="CD4" s="111">
        <v>2</v>
      </c>
      <c r="CE4" s="111">
        <v>3</v>
      </c>
      <c r="CF4" s="111">
        <v>4</v>
      </c>
      <c r="CG4" s="111">
        <v>5</v>
      </c>
      <c r="CH4" s="111">
        <v>6</v>
      </c>
      <c r="CI4" s="111">
        <v>7</v>
      </c>
      <c r="CJ4" s="111">
        <v>8</v>
      </c>
      <c r="CK4" s="111">
        <v>9</v>
      </c>
      <c r="CL4" s="111">
        <v>10</v>
      </c>
      <c r="CM4" s="111">
        <v>11</v>
      </c>
      <c r="CN4" s="111">
        <v>12</v>
      </c>
      <c r="CO4" s="20" t="s">
        <v>13</v>
      </c>
    </row>
    <row r="5" spans="1:98" s="6" customFormat="1" ht="24.75" customHeight="1" thickBot="1" x14ac:dyDescent="0.25">
      <c r="A5" s="29"/>
      <c r="B5" s="128" t="s">
        <v>148</v>
      </c>
      <c r="C5" s="22" t="s">
        <v>73</v>
      </c>
      <c r="D5" s="127">
        <v>1</v>
      </c>
      <c r="E5" s="426">
        <v>1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>
        <f>SUM(E5:P5)</f>
        <v>1</v>
      </c>
      <c r="R5" s="62" t="s">
        <v>15</v>
      </c>
      <c r="S5" s="63">
        <v>2800000</v>
      </c>
      <c r="T5" s="427">
        <v>2800000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51">
        <f>SUM(Q5*S5)</f>
        <v>2800000</v>
      </c>
      <c r="AG5" s="52">
        <f t="shared" ref="AG5" si="0">T5*E5</f>
        <v>2800000</v>
      </c>
      <c r="AH5" s="52">
        <f t="shared" ref="AH5" si="1">U5*F5</f>
        <v>0</v>
      </c>
      <c r="AI5" s="52">
        <f t="shared" ref="AI5" si="2">V5*G5</f>
        <v>0</v>
      </c>
      <c r="AJ5" s="52">
        <f t="shared" ref="AJ5" si="3">W5*H5</f>
        <v>0</v>
      </c>
      <c r="AK5" s="52">
        <f t="shared" ref="AK5" si="4">X5*I5</f>
        <v>0</v>
      </c>
      <c r="AL5" s="52">
        <f t="shared" ref="AL5" si="5">Y5*J5</f>
        <v>0</v>
      </c>
      <c r="AM5" s="52">
        <f t="shared" ref="AM5" si="6">Z5*K5</f>
        <v>0</v>
      </c>
      <c r="AN5" s="52">
        <f t="shared" ref="AN5" si="7">AA5*L5</f>
        <v>0</v>
      </c>
      <c r="AO5" s="52">
        <f t="shared" ref="AO5" si="8">AB5*M5</f>
        <v>0</v>
      </c>
      <c r="AP5" s="52">
        <f t="shared" ref="AP5" si="9">AC5*N5</f>
        <v>0</v>
      </c>
      <c r="AQ5" s="52">
        <f t="shared" ref="AQ5" si="10">AD5*O5</f>
        <v>0</v>
      </c>
      <c r="AR5" s="52">
        <f t="shared" ref="AR5" si="11">AE5*P5</f>
        <v>0</v>
      </c>
      <c r="AS5" s="53">
        <f>SUM(AG5:AR5)</f>
        <v>2800000</v>
      </c>
      <c r="AT5" s="52"/>
      <c r="AU5" s="52">
        <f t="shared" ref="AU5" si="12">SUM(AH5*14%)</f>
        <v>0</v>
      </c>
      <c r="AV5" s="52">
        <f t="shared" ref="AV5" si="13">SUM(AI5*14%)</f>
        <v>0</v>
      </c>
      <c r="AW5" s="52">
        <f t="shared" ref="AW5" si="14">SUM(AJ5*14%)</f>
        <v>0</v>
      </c>
      <c r="AX5" s="52">
        <f t="shared" ref="AX5" si="15">SUM(AK5*14%)</f>
        <v>0</v>
      </c>
      <c r="AY5" s="52">
        <f t="shared" ref="AY5" si="16">SUM(AL5*14%)</f>
        <v>0</v>
      </c>
      <c r="AZ5" s="52">
        <f t="shared" ref="AZ5" si="17">SUM(AM5*14%)</f>
        <v>0</v>
      </c>
      <c r="BA5" s="52">
        <f t="shared" ref="BA5" si="18">SUM(AN5*14%)</f>
        <v>0</v>
      </c>
      <c r="BB5" s="52">
        <f t="shared" ref="BB5" si="19">SUM(AO5*14%)</f>
        <v>0</v>
      </c>
      <c r="BC5" s="52">
        <f t="shared" ref="BC5" si="20">SUM(AP5*14%)</f>
        <v>0</v>
      </c>
      <c r="BD5" s="52">
        <f t="shared" ref="BD5" si="21">SUM(AQ5*14%)</f>
        <v>0</v>
      </c>
      <c r="BE5" s="52">
        <f t="shared" ref="BE5" si="22">SUM(AR5*14%)</f>
        <v>0</v>
      </c>
      <c r="BF5" s="54">
        <f t="shared" ref="BF5" si="23">SUM(AT5:BE5)</f>
        <v>0</v>
      </c>
      <c r="BG5" s="55">
        <f>AF5-AS5-BF5</f>
        <v>0</v>
      </c>
      <c r="BH5" s="56">
        <f>S5*D5</f>
        <v>2800000</v>
      </c>
      <c r="BI5" s="57">
        <f t="shared" ref="BI5" si="24">BH5-AS5-BF5</f>
        <v>0</v>
      </c>
      <c r="BJ5" s="112">
        <f>SUM(Q5/D5)</f>
        <v>1</v>
      </c>
      <c r="BK5" s="109"/>
      <c r="BL5" s="556"/>
      <c r="BM5" s="556"/>
      <c r="BN5" s="567"/>
      <c r="BO5" s="561"/>
      <c r="BP5" s="323"/>
      <c r="BQ5" s="323"/>
      <c r="BR5" s="556">
        <f t="shared" ref="BR5:BR6" si="25">SUM(AI5*12.5%)</f>
        <v>0</v>
      </c>
      <c r="BS5" s="323">
        <f t="shared" ref="BS5:CA6" si="26">SUM(AJ5*12.5%)</f>
        <v>0</v>
      </c>
      <c r="BT5" s="323">
        <f t="shared" si="26"/>
        <v>0</v>
      </c>
      <c r="BU5" s="323">
        <f t="shared" si="26"/>
        <v>0</v>
      </c>
      <c r="BV5" s="323">
        <f t="shared" si="26"/>
        <v>0</v>
      </c>
      <c r="BW5" s="323">
        <f t="shared" si="26"/>
        <v>0</v>
      </c>
      <c r="BX5" s="323">
        <f t="shared" si="26"/>
        <v>0</v>
      </c>
      <c r="BY5" s="323">
        <f t="shared" si="26"/>
        <v>0</v>
      </c>
      <c r="BZ5" s="323">
        <f t="shared" si="26"/>
        <v>0</v>
      </c>
      <c r="CA5" s="323">
        <f t="shared" si="26"/>
        <v>0</v>
      </c>
      <c r="CB5" s="55">
        <f t="shared" ref="CB5" si="27">SUM(BP5:CA5)</f>
        <v>0</v>
      </c>
      <c r="CC5" s="323"/>
      <c r="CD5" s="323"/>
      <c r="CE5" s="323"/>
      <c r="CF5" s="323"/>
      <c r="CG5" s="323"/>
      <c r="CH5" s="323"/>
      <c r="CI5" s="323"/>
      <c r="CJ5" s="323"/>
      <c r="CK5" s="323"/>
      <c r="CL5" s="323"/>
      <c r="CM5" s="323"/>
      <c r="CN5" s="323"/>
      <c r="CO5" s="55">
        <f t="shared" ref="CO5:CO6" si="28">SUM(CC5:CN5)</f>
        <v>0</v>
      </c>
    </row>
    <row r="6" spans="1:98" s="27" customFormat="1" ht="24.75" customHeight="1" thickBot="1" x14ac:dyDescent="0.25">
      <c r="A6" s="30"/>
      <c r="B6" s="31" t="s">
        <v>4</v>
      </c>
      <c r="C6" s="31"/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58"/>
      <c r="S6" s="32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59">
        <f t="shared" ref="AF6:BF6" si="29">SUM(AF5:AF5)</f>
        <v>2800000</v>
      </c>
      <c r="AG6" s="59">
        <f t="shared" si="29"/>
        <v>2800000</v>
      </c>
      <c r="AH6" s="59">
        <f t="shared" si="29"/>
        <v>0</v>
      </c>
      <c r="AI6" s="59">
        <f t="shared" si="29"/>
        <v>0</v>
      </c>
      <c r="AJ6" s="59">
        <f t="shared" si="29"/>
        <v>0</v>
      </c>
      <c r="AK6" s="59">
        <f t="shared" si="29"/>
        <v>0</v>
      </c>
      <c r="AL6" s="59">
        <f t="shared" si="29"/>
        <v>0</v>
      </c>
      <c r="AM6" s="59">
        <f t="shared" si="29"/>
        <v>0</v>
      </c>
      <c r="AN6" s="59">
        <f t="shared" si="29"/>
        <v>0</v>
      </c>
      <c r="AO6" s="59">
        <f t="shared" si="29"/>
        <v>0</v>
      </c>
      <c r="AP6" s="59">
        <f t="shared" si="29"/>
        <v>0</v>
      </c>
      <c r="AQ6" s="59">
        <f t="shared" si="29"/>
        <v>0</v>
      </c>
      <c r="AR6" s="59">
        <f t="shared" si="29"/>
        <v>0</v>
      </c>
      <c r="AS6" s="59">
        <f t="shared" si="29"/>
        <v>2800000</v>
      </c>
      <c r="AT6" s="59">
        <f t="shared" si="29"/>
        <v>0</v>
      </c>
      <c r="AU6" s="59">
        <f t="shared" si="29"/>
        <v>0</v>
      </c>
      <c r="AV6" s="59">
        <f t="shared" si="29"/>
        <v>0</v>
      </c>
      <c r="AW6" s="59">
        <f t="shared" si="29"/>
        <v>0</v>
      </c>
      <c r="AX6" s="59">
        <f t="shared" si="29"/>
        <v>0</v>
      </c>
      <c r="AY6" s="59">
        <f t="shared" si="29"/>
        <v>0</v>
      </c>
      <c r="AZ6" s="59">
        <f t="shared" si="29"/>
        <v>0</v>
      </c>
      <c r="BA6" s="59">
        <f t="shared" si="29"/>
        <v>0</v>
      </c>
      <c r="BB6" s="59">
        <f t="shared" si="29"/>
        <v>0</v>
      </c>
      <c r="BC6" s="59">
        <f t="shared" si="29"/>
        <v>0</v>
      </c>
      <c r="BD6" s="59">
        <f t="shared" si="29"/>
        <v>0</v>
      </c>
      <c r="BE6" s="59">
        <f t="shared" si="29"/>
        <v>0</v>
      </c>
      <c r="BF6" s="59">
        <f t="shared" si="29"/>
        <v>0</v>
      </c>
      <c r="BG6" s="60">
        <f>AF6-AS6-BF6</f>
        <v>0</v>
      </c>
      <c r="BH6" s="59">
        <f>SUM(BH5:BH5)</f>
        <v>2800000</v>
      </c>
      <c r="BI6" s="59">
        <f>SUM(BI5:BI5)</f>
        <v>0</v>
      </c>
      <c r="BJ6" s="498">
        <f>SUM(BJ5:BJ5)/1</f>
        <v>1</v>
      </c>
      <c r="BK6" s="106"/>
      <c r="BL6" s="556"/>
      <c r="BM6" s="556"/>
      <c r="BN6" s="567"/>
      <c r="BO6" s="561"/>
      <c r="BP6" s="323"/>
      <c r="BQ6" s="323"/>
      <c r="BR6" s="556">
        <f t="shared" si="25"/>
        <v>0</v>
      </c>
      <c r="BS6" s="323">
        <f t="shared" si="26"/>
        <v>0</v>
      </c>
      <c r="BT6" s="323">
        <f t="shared" si="26"/>
        <v>0</v>
      </c>
      <c r="BU6" s="323">
        <f t="shared" si="26"/>
        <v>0</v>
      </c>
      <c r="BV6" s="323">
        <f t="shared" si="26"/>
        <v>0</v>
      </c>
      <c r="BW6" s="323">
        <f t="shared" si="26"/>
        <v>0</v>
      </c>
      <c r="BX6" s="323">
        <f t="shared" si="26"/>
        <v>0</v>
      </c>
      <c r="BY6" s="323">
        <f t="shared" si="26"/>
        <v>0</v>
      </c>
      <c r="BZ6" s="323">
        <f t="shared" si="26"/>
        <v>0</v>
      </c>
      <c r="CA6" s="323">
        <f t="shared" si="26"/>
        <v>0</v>
      </c>
      <c r="CB6" s="55">
        <f t="shared" ref="CB6" si="30">SUM(BP6:CA6)</f>
        <v>0</v>
      </c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55">
        <f t="shared" si="28"/>
        <v>0</v>
      </c>
    </row>
    <row r="7" spans="1:98" s="16" customFormat="1" ht="24.75" customHeight="1" x14ac:dyDescent="0.2">
      <c r="A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AE7" s="28"/>
      <c r="AS7" s="38"/>
      <c r="BF7" s="39">
        <f>SUM(AS6+BF6)</f>
        <v>2800000</v>
      </c>
      <c r="BG7" s="40">
        <f>AF6-AS6-BF6</f>
        <v>0</v>
      </c>
      <c r="BH7" s="41">
        <f>SUM(BI6+AS6+BF6)</f>
        <v>2800000</v>
      </c>
      <c r="BI7" s="42">
        <f>SUM(BG6)</f>
        <v>0</v>
      </c>
      <c r="BJ7" s="28" t="s">
        <v>29</v>
      </c>
      <c r="BK7" s="107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</row>
    <row r="8" spans="1:98" s="16" customFormat="1" ht="24.75" customHeight="1" x14ac:dyDescent="0.2">
      <c r="A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AE8" s="28"/>
      <c r="AS8" s="28"/>
      <c r="AT8" s="233">
        <f>SUM(AG6+AT6)</f>
        <v>2800000</v>
      </c>
      <c r="AU8" s="233">
        <f t="shared" ref="AU8" si="31">SUM(AH6+AU6)</f>
        <v>0</v>
      </c>
      <c r="AV8" s="233">
        <f t="shared" ref="AV8" si="32">SUM(AI6+AV6)</f>
        <v>0</v>
      </c>
      <c r="AW8" s="233">
        <f t="shared" ref="AW8" si="33">SUM(AJ6+AW6)</f>
        <v>0</v>
      </c>
      <c r="AX8" s="233">
        <f t="shared" ref="AX8" si="34">SUM(AK6+AX6)</f>
        <v>0</v>
      </c>
      <c r="AY8" s="233">
        <f t="shared" ref="AY8" si="35">SUM(AL6+AY6)</f>
        <v>0</v>
      </c>
      <c r="AZ8" s="233">
        <f t="shared" ref="AZ8" si="36">SUM(AM6+AZ6)</f>
        <v>0</v>
      </c>
      <c r="BA8" s="233">
        <f t="shared" ref="BA8" si="37">SUM(AN6+BA6)</f>
        <v>0</v>
      </c>
      <c r="BB8" s="233">
        <f t="shared" ref="BB8" si="38">SUM(AO6+BB6)</f>
        <v>0</v>
      </c>
      <c r="BC8" s="233">
        <f t="shared" ref="BC8" si="39">SUM(AP6+BC6)</f>
        <v>0</v>
      </c>
      <c r="BD8" s="233">
        <f t="shared" ref="BD8" si="40">SUM(AQ6+BD6)</f>
        <v>0</v>
      </c>
      <c r="BE8" s="233">
        <f t="shared" ref="BE8" si="41">SUM(AR6+BE6)</f>
        <v>0</v>
      </c>
      <c r="BF8" s="233">
        <f>SUM(AT8:BE8)</f>
        <v>2800000</v>
      </c>
      <c r="BG8" s="28"/>
      <c r="BH8" s="43"/>
      <c r="BI8" s="44">
        <f>SUM(BI6-BI7)</f>
        <v>0</v>
      </c>
      <c r="BJ8" s="28" t="s">
        <v>28</v>
      </c>
      <c r="BK8" s="107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</row>
    <row r="9" spans="1:98" s="16" customFormat="1" ht="16.5" customHeight="1" x14ac:dyDescent="0.2">
      <c r="A9" s="811" t="s">
        <v>7</v>
      </c>
      <c r="B9" s="812"/>
      <c r="C9" s="83" t="s">
        <v>208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6"/>
      <c r="AF9" s="17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7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7"/>
      <c r="BG9" s="87"/>
      <c r="BH9" s="84"/>
      <c r="BI9" s="88"/>
      <c r="BJ9" s="84"/>
      <c r="BK9" s="103"/>
      <c r="BL9" s="85"/>
      <c r="BM9" s="85"/>
      <c r="BN9" s="85"/>
      <c r="BO9" s="85"/>
      <c r="BP9" s="86"/>
      <c r="BQ9" s="85"/>
      <c r="BR9" s="85"/>
      <c r="BS9" s="85"/>
      <c r="BT9" s="85"/>
      <c r="BU9" s="85"/>
      <c r="BV9" s="87"/>
      <c r="BW9" s="87"/>
      <c r="BX9" s="87"/>
      <c r="BY9" s="84"/>
      <c r="BZ9" s="88"/>
      <c r="CA9" s="87"/>
      <c r="CB9" s="87"/>
      <c r="CC9" s="18"/>
      <c r="CD9" s="18"/>
      <c r="CE9" s="18"/>
      <c r="CF9" s="18"/>
      <c r="CG9" s="18"/>
      <c r="CH9" s="89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</row>
    <row r="10" spans="1:98" s="7" customFormat="1" ht="48.75" customHeight="1" x14ac:dyDescent="0.2">
      <c r="A10" s="813" t="s">
        <v>8</v>
      </c>
      <c r="B10" s="787" t="s">
        <v>9</v>
      </c>
      <c r="C10" s="787" t="s">
        <v>22</v>
      </c>
      <c r="D10" s="806" t="s">
        <v>10</v>
      </c>
      <c r="E10" s="806"/>
      <c r="F10" s="806"/>
      <c r="G10" s="806"/>
      <c r="H10" s="806"/>
      <c r="I10" s="806"/>
      <c r="J10" s="806"/>
      <c r="K10" s="806"/>
      <c r="L10" s="806"/>
      <c r="M10" s="806"/>
      <c r="N10" s="806"/>
      <c r="O10" s="806"/>
      <c r="P10" s="806"/>
      <c r="Q10" s="806"/>
      <c r="R10" s="787" t="s">
        <v>20</v>
      </c>
      <c r="S10" s="807" t="s">
        <v>17</v>
      </c>
      <c r="T10" s="808"/>
      <c r="U10" s="808"/>
      <c r="V10" s="808"/>
      <c r="W10" s="808"/>
      <c r="X10" s="808"/>
      <c r="Y10" s="808"/>
      <c r="Z10" s="808"/>
      <c r="AA10" s="808"/>
      <c r="AB10" s="808"/>
      <c r="AC10" s="808"/>
      <c r="AD10" s="808"/>
      <c r="AE10" s="809"/>
      <c r="AF10" s="810" t="s">
        <v>5</v>
      </c>
      <c r="AG10" s="810"/>
      <c r="AH10" s="810"/>
      <c r="AI10" s="810"/>
      <c r="AJ10" s="810"/>
      <c r="AK10" s="810"/>
      <c r="AL10" s="810"/>
      <c r="AM10" s="810"/>
      <c r="AN10" s="810"/>
      <c r="AO10" s="810"/>
      <c r="AP10" s="810"/>
      <c r="AQ10" s="810"/>
      <c r="AR10" s="810"/>
      <c r="AS10" s="810"/>
      <c r="AT10" s="800" t="s">
        <v>32</v>
      </c>
      <c r="AU10" s="801"/>
      <c r="AV10" s="801"/>
      <c r="AW10" s="801"/>
      <c r="AX10" s="801"/>
      <c r="AY10" s="801"/>
      <c r="AZ10" s="801"/>
      <c r="BA10" s="801"/>
      <c r="BB10" s="801"/>
      <c r="BC10" s="801"/>
      <c r="BD10" s="801"/>
      <c r="BE10" s="801"/>
      <c r="BF10" s="802"/>
      <c r="BG10" s="787" t="s">
        <v>29</v>
      </c>
      <c r="BH10" s="787" t="s">
        <v>57</v>
      </c>
      <c r="BI10" s="790" t="s">
        <v>30</v>
      </c>
      <c r="BJ10" s="84"/>
      <c r="BK10" s="17"/>
      <c r="BL10" s="84"/>
      <c r="BM10" s="84"/>
      <c r="BN10" s="84"/>
      <c r="BO10" s="84"/>
      <c r="BP10" s="774" t="s">
        <v>32</v>
      </c>
      <c r="BQ10" s="775"/>
      <c r="BR10" s="775"/>
      <c r="BS10" s="775"/>
      <c r="BT10" s="775"/>
      <c r="BU10" s="775"/>
      <c r="BV10" s="775"/>
      <c r="BW10" s="775"/>
      <c r="BX10" s="775"/>
      <c r="BY10" s="775"/>
      <c r="BZ10" s="775"/>
      <c r="CA10" s="775"/>
      <c r="CB10" s="775"/>
      <c r="CC10" s="775"/>
      <c r="CD10" s="775"/>
      <c r="CE10" s="775"/>
      <c r="CF10" s="775"/>
      <c r="CG10" s="775"/>
      <c r="CH10" s="775"/>
      <c r="CI10" s="775"/>
      <c r="CJ10" s="775"/>
      <c r="CK10" s="775"/>
      <c r="CL10" s="775"/>
      <c r="CM10" s="775"/>
      <c r="CN10" s="775"/>
      <c r="CO10" s="776"/>
    </row>
    <row r="11" spans="1:98" s="7" customFormat="1" ht="48.75" customHeight="1" x14ac:dyDescent="0.2">
      <c r="A11" s="814"/>
      <c r="B11" s="788"/>
      <c r="C11" s="788"/>
      <c r="D11" s="797" t="s">
        <v>18</v>
      </c>
      <c r="E11" s="795" t="s">
        <v>19</v>
      </c>
      <c r="F11" s="796"/>
      <c r="G11" s="796"/>
      <c r="H11" s="796"/>
      <c r="I11" s="796"/>
      <c r="J11" s="796"/>
      <c r="K11" s="796"/>
      <c r="L11" s="796"/>
      <c r="M11" s="796"/>
      <c r="N11" s="796"/>
      <c r="O11" s="796"/>
      <c r="P11" s="796"/>
      <c r="Q11" s="796"/>
      <c r="R11" s="788"/>
      <c r="S11" s="797" t="s">
        <v>18</v>
      </c>
      <c r="T11" s="795" t="s">
        <v>19</v>
      </c>
      <c r="U11" s="796"/>
      <c r="V11" s="796"/>
      <c r="W11" s="796"/>
      <c r="X11" s="796"/>
      <c r="Y11" s="796"/>
      <c r="Z11" s="796"/>
      <c r="AA11" s="796"/>
      <c r="AB11" s="796"/>
      <c r="AC11" s="796"/>
      <c r="AD11" s="796"/>
      <c r="AE11" s="799"/>
      <c r="AF11" s="797" t="s">
        <v>18</v>
      </c>
      <c r="AG11" s="795" t="s">
        <v>19</v>
      </c>
      <c r="AH11" s="796"/>
      <c r="AI11" s="796"/>
      <c r="AJ11" s="796"/>
      <c r="AK11" s="796"/>
      <c r="AL11" s="796"/>
      <c r="AM11" s="796"/>
      <c r="AN11" s="796"/>
      <c r="AO11" s="796"/>
      <c r="AP11" s="796"/>
      <c r="AQ11" s="796"/>
      <c r="AR11" s="796"/>
      <c r="AS11" s="799"/>
      <c r="AT11" s="803"/>
      <c r="AU11" s="804"/>
      <c r="AV11" s="804"/>
      <c r="AW11" s="804"/>
      <c r="AX11" s="804"/>
      <c r="AY11" s="804"/>
      <c r="AZ11" s="804"/>
      <c r="BA11" s="804"/>
      <c r="BB11" s="804"/>
      <c r="BC11" s="804"/>
      <c r="BD11" s="804"/>
      <c r="BE11" s="804"/>
      <c r="BF11" s="805"/>
      <c r="BG11" s="788"/>
      <c r="BH11" s="788"/>
      <c r="BI11" s="791"/>
      <c r="BJ11" s="84"/>
      <c r="BK11" s="17"/>
      <c r="BL11" s="777">
        <f>SUM(BL13/60)</f>
        <v>0</v>
      </c>
      <c r="BM11" s="777"/>
      <c r="BN11" s="777"/>
      <c r="BO11" s="17"/>
      <c r="BP11" s="778" t="s">
        <v>230</v>
      </c>
      <c r="BQ11" s="779"/>
      <c r="BR11" s="779"/>
      <c r="BS11" s="779"/>
      <c r="BT11" s="779"/>
      <c r="BU11" s="779"/>
      <c r="BV11" s="779"/>
      <c r="BW11" s="779"/>
      <c r="BX11" s="779"/>
      <c r="BY11" s="779"/>
      <c r="BZ11" s="779"/>
      <c r="CA11" s="779"/>
      <c r="CB11" s="780"/>
      <c r="CC11" s="781" t="s">
        <v>231</v>
      </c>
      <c r="CD11" s="782"/>
      <c r="CE11" s="782"/>
      <c r="CF11" s="782"/>
      <c r="CG11" s="782"/>
      <c r="CH11" s="782"/>
      <c r="CI11" s="782"/>
      <c r="CJ11" s="782"/>
      <c r="CK11" s="782"/>
      <c r="CL11" s="782"/>
      <c r="CM11" s="782"/>
      <c r="CN11" s="782"/>
      <c r="CO11" s="783"/>
    </row>
    <row r="12" spans="1:98" s="5" customFormat="1" ht="28.5" customHeight="1" x14ac:dyDescent="0.2">
      <c r="A12" s="815"/>
      <c r="B12" s="789"/>
      <c r="C12" s="789"/>
      <c r="D12" s="798"/>
      <c r="E12" s="20">
        <v>1</v>
      </c>
      <c r="F12" s="20">
        <v>2</v>
      </c>
      <c r="G12" s="20">
        <v>3</v>
      </c>
      <c r="H12" s="20">
        <v>4</v>
      </c>
      <c r="I12" s="20">
        <v>5</v>
      </c>
      <c r="J12" s="20">
        <v>6</v>
      </c>
      <c r="K12" s="20">
        <v>7</v>
      </c>
      <c r="L12" s="20">
        <v>8</v>
      </c>
      <c r="M12" s="20">
        <v>9</v>
      </c>
      <c r="N12" s="20">
        <v>10</v>
      </c>
      <c r="O12" s="20">
        <v>11</v>
      </c>
      <c r="P12" s="20">
        <v>12</v>
      </c>
      <c r="Q12" s="20" t="s">
        <v>21</v>
      </c>
      <c r="R12" s="789"/>
      <c r="S12" s="798"/>
      <c r="T12" s="20">
        <v>1</v>
      </c>
      <c r="U12" s="20">
        <v>2</v>
      </c>
      <c r="V12" s="20">
        <v>3</v>
      </c>
      <c r="W12" s="20">
        <v>4</v>
      </c>
      <c r="X12" s="20">
        <v>5</v>
      </c>
      <c r="Y12" s="20">
        <v>6</v>
      </c>
      <c r="Z12" s="20">
        <v>7</v>
      </c>
      <c r="AA12" s="20">
        <v>8</v>
      </c>
      <c r="AB12" s="20">
        <v>9</v>
      </c>
      <c r="AC12" s="20">
        <v>10</v>
      </c>
      <c r="AD12" s="20">
        <v>11</v>
      </c>
      <c r="AE12" s="20">
        <v>12</v>
      </c>
      <c r="AF12" s="798"/>
      <c r="AG12" s="20">
        <v>1</v>
      </c>
      <c r="AH12" s="20">
        <v>2</v>
      </c>
      <c r="AI12" s="20">
        <v>3</v>
      </c>
      <c r="AJ12" s="20">
        <v>4</v>
      </c>
      <c r="AK12" s="20">
        <v>5</v>
      </c>
      <c r="AL12" s="20">
        <v>6</v>
      </c>
      <c r="AM12" s="20">
        <v>7</v>
      </c>
      <c r="AN12" s="20">
        <v>8</v>
      </c>
      <c r="AO12" s="20">
        <v>9</v>
      </c>
      <c r="AP12" s="20">
        <v>10</v>
      </c>
      <c r="AQ12" s="20">
        <v>11</v>
      </c>
      <c r="AR12" s="20">
        <v>12</v>
      </c>
      <c r="AS12" s="20" t="s">
        <v>13</v>
      </c>
      <c r="AT12" s="111">
        <v>1</v>
      </c>
      <c r="AU12" s="111">
        <v>2</v>
      </c>
      <c r="AV12" s="111">
        <v>3</v>
      </c>
      <c r="AW12" s="111">
        <v>4</v>
      </c>
      <c r="AX12" s="111">
        <v>5</v>
      </c>
      <c r="AY12" s="111">
        <v>6</v>
      </c>
      <c r="AZ12" s="111">
        <v>7</v>
      </c>
      <c r="BA12" s="111">
        <v>8</v>
      </c>
      <c r="BB12" s="111">
        <v>9</v>
      </c>
      <c r="BC12" s="111">
        <v>10</v>
      </c>
      <c r="BD12" s="111">
        <v>11</v>
      </c>
      <c r="BE12" s="111">
        <v>12</v>
      </c>
      <c r="BF12" s="20" t="s">
        <v>13</v>
      </c>
      <c r="BG12" s="789"/>
      <c r="BH12" s="789"/>
      <c r="BI12" s="792"/>
      <c r="BJ12" s="6"/>
      <c r="BK12" s="21"/>
      <c r="BL12" s="784" t="s">
        <v>19</v>
      </c>
      <c r="BM12" s="785"/>
      <c r="BN12" s="786"/>
      <c r="BO12" s="337"/>
      <c r="BP12" s="111">
        <v>1</v>
      </c>
      <c r="BQ12" s="111">
        <v>2</v>
      </c>
      <c r="BR12" s="111">
        <v>3</v>
      </c>
      <c r="BS12" s="111">
        <v>4</v>
      </c>
      <c r="BT12" s="111">
        <v>5</v>
      </c>
      <c r="BU12" s="111">
        <v>6</v>
      </c>
      <c r="BV12" s="111">
        <v>7</v>
      </c>
      <c r="BW12" s="111">
        <v>8</v>
      </c>
      <c r="BX12" s="111">
        <v>9</v>
      </c>
      <c r="BY12" s="111">
        <v>10</v>
      </c>
      <c r="BZ12" s="111">
        <v>11</v>
      </c>
      <c r="CA12" s="111">
        <v>12</v>
      </c>
      <c r="CB12" s="20" t="s">
        <v>13</v>
      </c>
      <c r="CC12" s="111">
        <v>1</v>
      </c>
      <c r="CD12" s="111">
        <v>2</v>
      </c>
      <c r="CE12" s="111">
        <v>3</v>
      </c>
      <c r="CF12" s="111">
        <v>4</v>
      </c>
      <c r="CG12" s="111">
        <v>5</v>
      </c>
      <c r="CH12" s="111">
        <v>6</v>
      </c>
      <c r="CI12" s="111">
        <v>7</v>
      </c>
      <c r="CJ12" s="111">
        <v>8</v>
      </c>
      <c r="CK12" s="111">
        <v>9</v>
      </c>
      <c r="CL12" s="111">
        <v>10</v>
      </c>
      <c r="CM12" s="111">
        <v>11</v>
      </c>
      <c r="CN12" s="111">
        <v>12</v>
      </c>
      <c r="CO12" s="20" t="s">
        <v>13</v>
      </c>
    </row>
    <row r="13" spans="1:98" s="6" customFormat="1" ht="24.75" customHeight="1" x14ac:dyDescent="0.2">
      <c r="A13" s="29"/>
      <c r="B13" s="128" t="s">
        <v>209</v>
      </c>
      <c r="C13" s="22" t="s">
        <v>62</v>
      </c>
      <c r="D13" s="127">
        <v>1</v>
      </c>
      <c r="E13" s="730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4">
        <f>SUM(E13:P13)</f>
        <v>0</v>
      </c>
      <c r="R13" s="62" t="s">
        <v>25</v>
      </c>
      <c r="S13" s="63">
        <v>413207</v>
      </c>
      <c r="T13" s="427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51">
        <f>Q13*S13</f>
        <v>0</v>
      </c>
      <c r="AG13" s="52">
        <f t="shared" ref="AG13:AI13" si="42">T13*E13</f>
        <v>0</v>
      </c>
      <c r="AH13" s="52">
        <f t="shared" si="42"/>
        <v>0</v>
      </c>
      <c r="AI13" s="52">
        <f t="shared" si="42"/>
        <v>0</v>
      </c>
      <c r="AJ13" s="52">
        <f t="shared" ref="AJ13:AR13" si="43">W13*H13</f>
        <v>0</v>
      </c>
      <c r="AK13" s="52">
        <f t="shared" si="43"/>
        <v>0</v>
      </c>
      <c r="AL13" s="52">
        <f t="shared" si="43"/>
        <v>0</v>
      </c>
      <c r="AM13" s="52">
        <f t="shared" si="43"/>
        <v>0</v>
      </c>
      <c r="AN13" s="52">
        <f t="shared" si="43"/>
        <v>0</v>
      </c>
      <c r="AO13" s="52">
        <f t="shared" si="43"/>
        <v>0</v>
      </c>
      <c r="AP13" s="52">
        <f t="shared" si="43"/>
        <v>0</v>
      </c>
      <c r="AQ13" s="52">
        <f t="shared" si="43"/>
        <v>0</v>
      </c>
      <c r="AR13" s="52">
        <f t="shared" si="43"/>
        <v>0</v>
      </c>
      <c r="AS13" s="53">
        <f>SUM(AG13:AR13)</f>
        <v>0</v>
      </c>
      <c r="AT13" s="52"/>
      <c r="AU13" s="52">
        <f t="shared" ref="AU13:AV13" si="44">SUM(AH13*14%)</f>
        <v>0</v>
      </c>
      <c r="AV13" s="52">
        <f t="shared" si="44"/>
        <v>0</v>
      </c>
      <c r="AW13" s="52">
        <f t="shared" ref="AW13:BE13" si="45">SUM(AJ13*14%)</f>
        <v>0</v>
      </c>
      <c r="AX13" s="52">
        <f t="shared" si="45"/>
        <v>0</v>
      </c>
      <c r="AY13" s="52">
        <f t="shared" si="45"/>
        <v>0</v>
      </c>
      <c r="AZ13" s="52">
        <f t="shared" si="45"/>
        <v>0</v>
      </c>
      <c r="BA13" s="52">
        <f t="shared" si="45"/>
        <v>0</v>
      </c>
      <c r="BB13" s="52">
        <f t="shared" si="45"/>
        <v>0</v>
      </c>
      <c r="BC13" s="52">
        <f t="shared" si="45"/>
        <v>0</v>
      </c>
      <c r="BD13" s="52">
        <f t="shared" si="45"/>
        <v>0</v>
      </c>
      <c r="BE13" s="52">
        <f t="shared" si="45"/>
        <v>0</v>
      </c>
      <c r="BF13" s="54">
        <f t="shared" ref="BF13" si="46">SUM(AT13:BE13)</f>
        <v>0</v>
      </c>
      <c r="BG13" s="55">
        <f>AF13-AS13-BF13</f>
        <v>0</v>
      </c>
      <c r="BH13" s="56">
        <f>S13*D13</f>
        <v>413207</v>
      </c>
      <c r="BI13" s="57">
        <f>BH13-AG14</f>
        <v>163207</v>
      </c>
      <c r="BJ13" s="112">
        <f>SUM(Q13/D13)</f>
        <v>0</v>
      </c>
      <c r="BK13" s="109"/>
      <c r="BL13" s="556"/>
      <c r="BM13" s="556"/>
      <c r="BN13" s="567"/>
      <c r="BO13" s="561"/>
      <c r="BP13" s="323"/>
      <c r="BQ13" s="323"/>
      <c r="BR13" s="556">
        <f t="shared" ref="BR13:BR15" si="47">SUM(AI13*12.5%)</f>
        <v>0</v>
      </c>
      <c r="BS13" s="323">
        <f t="shared" ref="BS13:CA15" si="48">SUM(AJ13*12.5%)</f>
        <v>0</v>
      </c>
      <c r="BT13" s="323">
        <f t="shared" si="48"/>
        <v>0</v>
      </c>
      <c r="BU13" s="323">
        <f t="shared" si="48"/>
        <v>0</v>
      </c>
      <c r="BV13" s="323">
        <f t="shared" si="48"/>
        <v>0</v>
      </c>
      <c r="BW13" s="323">
        <f t="shared" si="48"/>
        <v>0</v>
      </c>
      <c r="BX13" s="323">
        <f t="shared" si="48"/>
        <v>0</v>
      </c>
      <c r="BY13" s="323">
        <f t="shared" si="48"/>
        <v>0</v>
      </c>
      <c r="BZ13" s="323">
        <f t="shared" si="48"/>
        <v>0</v>
      </c>
      <c r="CA13" s="323">
        <f t="shared" si="48"/>
        <v>0</v>
      </c>
      <c r="CB13" s="55">
        <f t="shared" ref="CB13" si="49">SUM(BP13:CA13)</f>
        <v>0</v>
      </c>
      <c r="CC13" s="323"/>
      <c r="CD13" s="323"/>
      <c r="CE13" s="323"/>
      <c r="CF13" s="323"/>
      <c r="CG13" s="323"/>
      <c r="CH13" s="323"/>
      <c r="CI13" s="323"/>
      <c r="CJ13" s="323"/>
      <c r="CK13" s="323"/>
      <c r="CL13" s="323"/>
      <c r="CM13" s="323"/>
      <c r="CN13" s="323"/>
      <c r="CO13" s="55">
        <f t="shared" ref="CO13:CO15" si="50">SUM(CC13:CN13)</f>
        <v>0</v>
      </c>
    </row>
    <row r="14" spans="1:98" s="6" customFormat="1" ht="24.75" customHeight="1" thickBot="1" x14ac:dyDescent="0.25">
      <c r="A14" s="29"/>
      <c r="B14" s="128" t="s">
        <v>293</v>
      </c>
      <c r="C14" s="22" t="s">
        <v>62</v>
      </c>
      <c r="D14" s="127">
        <v>100</v>
      </c>
      <c r="E14" s="730">
        <v>100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4">
        <f>SUM(E14:P14)</f>
        <v>100</v>
      </c>
      <c r="R14" s="62" t="s">
        <v>25</v>
      </c>
      <c r="S14" s="63">
        <v>250000</v>
      </c>
      <c r="T14" s="733">
        <v>2500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51">
        <v>250000</v>
      </c>
      <c r="AG14" s="729">
        <f t="shared" ref="AG14" si="51">T14*E14</f>
        <v>250000</v>
      </c>
      <c r="AH14" s="52">
        <f t="shared" ref="AH14" si="52">U14*F14</f>
        <v>0</v>
      </c>
      <c r="AI14" s="52">
        <f t="shared" ref="AI14" si="53">V14*G14</f>
        <v>0</v>
      </c>
      <c r="AJ14" s="52">
        <f t="shared" ref="AJ14" si="54">W14*H14</f>
        <v>0</v>
      </c>
      <c r="AK14" s="52">
        <f t="shared" ref="AK14" si="55">X14*I14</f>
        <v>0</v>
      </c>
      <c r="AL14" s="52">
        <f t="shared" ref="AL14" si="56">Y14*J14</f>
        <v>0</v>
      </c>
      <c r="AM14" s="52">
        <f t="shared" ref="AM14" si="57">Z14*K14</f>
        <v>0</v>
      </c>
      <c r="AN14" s="52">
        <f t="shared" ref="AN14" si="58">AA14*L14</f>
        <v>0</v>
      </c>
      <c r="AO14" s="52">
        <f t="shared" ref="AO14" si="59">AB14*M14</f>
        <v>0</v>
      </c>
      <c r="AP14" s="52">
        <f t="shared" ref="AP14" si="60">AC14*N14</f>
        <v>0</v>
      </c>
      <c r="AQ14" s="52">
        <f t="shared" ref="AQ14" si="61">AD14*O14</f>
        <v>0</v>
      </c>
      <c r="AR14" s="52">
        <f t="shared" ref="AR14" si="62">AE14*P14</f>
        <v>0</v>
      </c>
      <c r="AS14" s="53">
        <f>SUM(AG14:AR14)</f>
        <v>250000</v>
      </c>
      <c r="AT14" s="52"/>
      <c r="AU14" s="52">
        <f t="shared" ref="AU14" si="63">SUM(AH14*14%)</f>
        <v>0</v>
      </c>
      <c r="AV14" s="52">
        <f t="shared" ref="AV14" si="64">SUM(AI14*14%)</f>
        <v>0</v>
      </c>
      <c r="AW14" s="52">
        <f t="shared" ref="AW14" si="65">SUM(AJ14*14%)</f>
        <v>0</v>
      </c>
      <c r="AX14" s="52">
        <f t="shared" ref="AX14" si="66">SUM(AK14*14%)</f>
        <v>0</v>
      </c>
      <c r="AY14" s="52">
        <f t="shared" ref="AY14" si="67">SUM(AL14*14%)</f>
        <v>0</v>
      </c>
      <c r="AZ14" s="52">
        <f t="shared" ref="AZ14" si="68">SUM(AM14*14%)</f>
        <v>0</v>
      </c>
      <c r="BA14" s="52">
        <f t="shared" ref="BA14" si="69">SUM(AN14*14%)</f>
        <v>0</v>
      </c>
      <c r="BB14" s="52">
        <f t="shared" ref="BB14" si="70">SUM(AO14*14%)</f>
        <v>0</v>
      </c>
      <c r="BC14" s="52">
        <f t="shared" ref="BC14" si="71">SUM(AP14*14%)</f>
        <v>0</v>
      </c>
      <c r="BD14" s="52">
        <f t="shared" ref="BD14" si="72">SUM(AQ14*14%)</f>
        <v>0</v>
      </c>
      <c r="BE14" s="52">
        <f t="shared" ref="BE14" si="73">SUM(AR14*14%)</f>
        <v>0</v>
      </c>
      <c r="BF14" s="54">
        <f t="shared" ref="BF14" si="74">SUM(AT14:BE14)</f>
        <v>0</v>
      </c>
      <c r="BG14" s="55">
        <v>0</v>
      </c>
      <c r="BH14" s="56"/>
      <c r="BI14" s="57"/>
      <c r="BJ14" s="112">
        <f>SUM(Q14/D14)</f>
        <v>1</v>
      </c>
      <c r="BK14" s="109"/>
      <c r="BL14" s="556"/>
      <c r="BM14" s="556"/>
      <c r="BN14" s="567"/>
      <c r="BO14" s="561"/>
      <c r="BP14" s="323"/>
      <c r="BQ14" s="323"/>
      <c r="BR14" s="556">
        <f t="shared" ref="BR14" si="75">SUM(AI14*12.5%)</f>
        <v>0</v>
      </c>
      <c r="BS14" s="323">
        <f t="shared" ref="BS14" si="76">SUM(AJ14*12.5%)</f>
        <v>0</v>
      </c>
      <c r="BT14" s="323">
        <f t="shared" ref="BT14" si="77">SUM(AK14*12.5%)</f>
        <v>0</v>
      </c>
      <c r="BU14" s="323">
        <f t="shared" ref="BU14" si="78">SUM(AL14*12.5%)</f>
        <v>0</v>
      </c>
      <c r="BV14" s="323">
        <f t="shared" ref="BV14" si="79">SUM(AM14*12.5%)</f>
        <v>0</v>
      </c>
      <c r="BW14" s="323">
        <f t="shared" ref="BW14" si="80">SUM(AN14*12.5%)</f>
        <v>0</v>
      </c>
      <c r="BX14" s="323">
        <f t="shared" ref="BX14" si="81">SUM(AO14*12.5%)</f>
        <v>0</v>
      </c>
      <c r="BY14" s="323">
        <f t="shared" ref="BY14" si="82">SUM(AP14*12.5%)</f>
        <v>0</v>
      </c>
      <c r="BZ14" s="323">
        <f t="shared" ref="BZ14" si="83">SUM(AQ14*12.5%)</f>
        <v>0</v>
      </c>
      <c r="CA14" s="323">
        <f t="shared" ref="CA14" si="84">SUM(AR14*12.5%)</f>
        <v>0</v>
      </c>
      <c r="CB14" s="55">
        <f t="shared" ref="CB14" si="85">SUM(BP14:CA14)</f>
        <v>0</v>
      </c>
      <c r="CC14" s="323"/>
      <c r="CD14" s="323"/>
      <c r="CE14" s="323"/>
      <c r="CF14" s="323"/>
      <c r="CG14" s="323"/>
      <c r="CH14" s="323"/>
      <c r="CI14" s="323"/>
      <c r="CJ14" s="323"/>
      <c r="CK14" s="323"/>
      <c r="CL14" s="323"/>
      <c r="CM14" s="323"/>
      <c r="CN14" s="323"/>
      <c r="CO14" s="55">
        <f t="shared" ref="CO14" si="86">SUM(CC14:CN14)</f>
        <v>0</v>
      </c>
    </row>
    <row r="15" spans="1:98" s="27" customFormat="1" ht="24.75" customHeight="1" thickBot="1" x14ac:dyDescent="0.25">
      <c r="A15" s="30"/>
      <c r="B15" s="31" t="s">
        <v>4</v>
      </c>
      <c r="C15" s="31"/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4"/>
      <c r="R15" s="58"/>
      <c r="S15" s="32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59">
        <f t="shared" ref="AF15:BF15" si="87">SUM(AF13:AF13)</f>
        <v>0</v>
      </c>
      <c r="AG15" s="59">
        <f t="shared" si="87"/>
        <v>0</v>
      </c>
      <c r="AH15" s="59">
        <f t="shared" si="87"/>
        <v>0</v>
      </c>
      <c r="AI15" s="59">
        <f t="shared" si="87"/>
        <v>0</v>
      </c>
      <c r="AJ15" s="59">
        <f t="shared" si="87"/>
        <v>0</v>
      </c>
      <c r="AK15" s="59">
        <f t="shared" si="87"/>
        <v>0</v>
      </c>
      <c r="AL15" s="59">
        <f t="shared" si="87"/>
        <v>0</v>
      </c>
      <c r="AM15" s="59">
        <f t="shared" si="87"/>
        <v>0</v>
      </c>
      <c r="AN15" s="59">
        <f t="shared" si="87"/>
        <v>0</v>
      </c>
      <c r="AO15" s="59">
        <f t="shared" si="87"/>
        <v>0</v>
      </c>
      <c r="AP15" s="59">
        <f t="shared" si="87"/>
        <v>0</v>
      </c>
      <c r="AQ15" s="59">
        <f t="shared" si="87"/>
        <v>0</v>
      </c>
      <c r="AR15" s="59">
        <f t="shared" si="87"/>
        <v>0</v>
      </c>
      <c r="AS15" s="59">
        <f t="shared" si="87"/>
        <v>0</v>
      </c>
      <c r="AT15" s="59">
        <f t="shared" si="87"/>
        <v>0</v>
      </c>
      <c r="AU15" s="59">
        <f t="shared" si="87"/>
        <v>0</v>
      </c>
      <c r="AV15" s="59">
        <f t="shared" si="87"/>
        <v>0</v>
      </c>
      <c r="AW15" s="59">
        <f t="shared" si="87"/>
        <v>0</v>
      </c>
      <c r="AX15" s="59">
        <f t="shared" si="87"/>
        <v>0</v>
      </c>
      <c r="AY15" s="59">
        <f t="shared" si="87"/>
        <v>0</v>
      </c>
      <c r="AZ15" s="59">
        <f t="shared" si="87"/>
        <v>0</v>
      </c>
      <c r="BA15" s="59">
        <f t="shared" si="87"/>
        <v>0</v>
      </c>
      <c r="BB15" s="59">
        <f t="shared" si="87"/>
        <v>0</v>
      </c>
      <c r="BC15" s="59">
        <f t="shared" si="87"/>
        <v>0</v>
      </c>
      <c r="BD15" s="59">
        <f t="shared" si="87"/>
        <v>0</v>
      </c>
      <c r="BE15" s="59">
        <f t="shared" si="87"/>
        <v>0</v>
      </c>
      <c r="BF15" s="59">
        <f t="shared" si="87"/>
        <v>0</v>
      </c>
      <c r="BG15" s="60">
        <f>AF15-AS15-BF15</f>
        <v>0</v>
      </c>
      <c r="BH15" s="59">
        <f>SUM(BH13:BH13)</f>
        <v>413207</v>
      </c>
      <c r="BI15" s="59">
        <f>SUM(BI13:BI13)</f>
        <v>163207</v>
      </c>
      <c r="BJ15" s="498">
        <f>SUM(BJ13:BJ13)</f>
        <v>0</v>
      </c>
      <c r="BK15" s="106"/>
      <c r="BL15" s="556"/>
      <c r="BM15" s="556"/>
      <c r="BN15" s="567"/>
      <c r="BO15" s="561"/>
      <c r="BP15" s="323"/>
      <c r="BQ15" s="323"/>
      <c r="BR15" s="556">
        <f t="shared" si="47"/>
        <v>0</v>
      </c>
      <c r="BS15" s="323">
        <f t="shared" si="48"/>
        <v>0</v>
      </c>
      <c r="BT15" s="323">
        <f t="shared" si="48"/>
        <v>0</v>
      </c>
      <c r="BU15" s="323">
        <f t="shared" si="48"/>
        <v>0</v>
      </c>
      <c r="BV15" s="323">
        <f t="shared" si="48"/>
        <v>0</v>
      </c>
      <c r="BW15" s="323">
        <f t="shared" si="48"/>
        <v>0</v>
      </c>
      <c r="BX15" s="323">
        <f t="shared" si="48"/>
        <v>0</v>
      </c>
      <c r="BY15" s="323">
        <f t="shared" si="48"/>
        <v>0</v>
      </c>
      <c r="BZ15" s="323">
        <f t="shared" si="48"/>
        <v>0</v>
      </c>
      <c r="CA15" s="323">
        <f t="shared" si="48"/>
        <v>0</v>
      </c>
      <c r="CB15" s="55">
        <f t="shared" ref="CB15" si="88">SUM(BP15:CA15)</f>
        <v>0</v>
      </c>
      <c r="CC15" s="323"/>
      <c r="CD15" s="323"/>
      <c r="CE15" s="323"/>
      <c r="CF15" s="323"/>
      <c r="CG15" s="323"/>
      <c r="CH15" s="323"/>
      <c r="CI15" s="323"/>
      <c r="CJ15" s="323"/>
      <c r="CK15" s="323"/>
      <c r="CL15" s="323"/>
      <c r="CM15" s="323"/>
      <c r="CN15" s="323"/>
      <c r="CO15" s="55">
        <f t="shared" si="50"/>
        <v>0</v>
      </c>
    </row>
    <row r="16" spans="1:98" s="16" customFormat="1" ht="24.75" customHeight="1" x14ac:dyDescent="0.2">
      <c r="A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AE16" s="28"/>
      <c r="AS16" s="38"/>
      <c r="BF16" s="39">
        <f>SUM(AS15+BF15)</f>
        <v>0</v>
      </c>
      <c r="BG16" s="40">
        <f>AF15-AS15-BF15</f>
        <v>0</v>
      </c>
      <c r="BH16" s="41">
        <f>SUM(BI15+AS15+BF15)</f>
        <v>163207</v>
      </c>
      <c r="BI16" s="42">
        <f>SUM(BG15)</f>
        <v>0</v>
      </c>
      <c r="BJ16" s="28" t="s">
        <v>29</v>
      </c>
      <c r="BK16" s="107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</row>
    <row r="17" spans="1:98" s="16" customFormat="1" ht="24.75" customHeight="1" x14ac:dyDescent="0.2">
      <c r="A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AE17" s="28"/>
      <c r="AS17" s="28"/>
      <c r="AT17" s="233">
        <f>SUM(AG15+AT15)</f>
        <v>0</v>
      </c>
      <c r="AU17" s="233">
        <f t="shared" ref="AU17:BE17" si="89">SUM(AH15+AU15)</f>
        <v>0</v>
      </c>
      <c r="AV17" s="233">
        <f t="shared" si="89"/>
        <v>0</v>
      </c>
      <c r="AW17" s="233">
        <f t="shared" si="89"/>
        <v>0</v>
      </c>
      <c r="AX17" s="233">
        <f t="shared" si="89"/>
        <v>0</v>
      </c>
      <c r="AY17" s="233">
        <f t="shared" si="89"/>
        <v>0</v>
      </c>
      <c r="AZ17" s="233">
        <f t="shared" si="89"/>
        <v>0</v>
      </c>
      <c r="BA17" s="233">
        <f t="shared" si="89"/>
        <v>0</v>
      </c>
      <c r="BB17" s="233">
        <f t="shared" si="89"/>
        <v>0</v>
      </c>
      <c r="BC17" s="233">
        <f t="shared" si="89"/>
        <v>0</v>
      </c>
      <c r="BD17" s="233">
        <f t="shared" si="89"/>
        <v>0</v>
      </c>
      <c r="BE17" s="233">
        <f t="shared" si="89"/>
        <v>0</v>
      </c>
      <c r="BF17" s="233">
        <f>SUM(AT17:BE17)</f>
        <v>0</v>
      </c>
      <c r="BG17" s="28"/>
      <c r="BH17" s="43"/>
      <c r="BI17" s="44">
        <f>SUM(BI15-BI16)</f>
        <v>163207</v>
      </c>
      <c r="BJ17" s="28" t="s">
        <v>28</v>
      </c>
      <c r="BK17" s="107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</row>
    <row r="18" spans="1:98" s="16" customFormat="1" ht="16.5" customHeight="1" x14ac:dyDescent="0.2">
      <c r="A18" s="811" t="s">
        <v>7</v>
      </c>
      <c r="B18" s="812"/>
      <c r="C18" s="83" t="s">
        <v>236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6"/>
      <c r="AF18" s="17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7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7"/>
      <c r="BG18" s="87"/>
      <c r="BH18" s="84"/>
      <c r="BI18" s="88"/>
      <c r="BJ18" s="84"/>
      <c r="BK18" s="103"/>
      <c r="BL18" s="85"/>
      <c r="BM18" s="85"/>
      <c r="BN18" s="85"/>
      <c r="BO18" s="85"/>
      <c r="BP18" s="86"/>
      <c r="BQ18" s="85"/>
      <c r="BR18" s="85"/>
      <c r="BS18" s="85"/>
      <c r="BT18" s="85"/>
      <c r="BU18" s="85"/>
      <c r="BV18" s="87"/>
      <c r="BW18" s="87"/>
      <c r="BX18" s="87"/>
      <c r="BY18" s="84"/>
      <c r="BZ18" s="88"/>
      <c r="CA18" s="87"/>
      <c r="CB18" s="87"/>
      <c r="CC18" s="18"/>
      <c r="CD18" s="18"/>
      <c r="CE18" s="18"/>
      <c r="CF18" s="18"/>
      <c r="CG18" s="18"/>
      <c r="CH18" s="89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</row>
    <row r="19" spans="1:98" s="7" customFormat="1" ht="48.75" customHeight="1" x14ac:dyDescent="0.2">
      <c r="A19" s="813" t="s">
        <v>8</v>
      </c>
      <c r="B19" s="787" t="s">
        <v>9</v>
      </c>
      <c r="C19" s="787" t="s">
        <v>22</v>
      </c>
      <c r="D19" s="806" t="s">
        <v>10</v>
      </c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787" t="s">
        <v>20</v>
      </c>
      <c r="S19" s="807" t="s">
        <v>17</v>
      </c>
      <c r="T19" s="808"/>
      <c r="U19" s="808"/>
      <c r="V19" s="808"/>
      <c r="W19" s="808"/>
      <c r="X19" s="808"/>
      <c r="Y19" s="808"/>
      <c r="Z19" s="808"/>
      <c r="AA19" s="808"/>
      <c r="AB19" s="808"/>
      <c r="AC19" s="808"/>
      <c r="AD19" s="808"/>
      <c r="AE19" s="809"/>
      <c r="AF19" s="810" t="s">
        <v>5</v>
      </c>
      <c r="AG19" s="810"/>
      <c r="AH19" s="810"/>
      <c r="AI19" s="810"/>
      <c r="AJ19" s="810"/>
      <c r="AK19" s="810"/>
      <c r="AL19" s="810"/>
      <c r="AM19" s="810"/>
      <c r="AN19" s="810"/>
      <c r="AO19" s="810"/>
      <c r="AP19" s="810"/>
      <c r="AQ19" s="810"/>
      <c r="AR19" s="810"/>
      <c r="AS19" s="810"/>
      <c r="AT19" s="800" t="s">
        <v>32</v>
      </c>
      <c r="AU19" s="801"/>
      <c r="AV19" s="801"/>
      <c r="AW19" s="801"/>
      <c r="AX19" s="801"/>
      <c r="AY19" s="801"/>
      <c r="AZ19" s="801"/>
      <c r="BA19" s="801"/>
      <c r="BB19" s="801"/>
      <c r="BC19" s="801"/>
      <c r="BD19" s="801"/>
      <c r="BE19" s="801"/>
      <c r="BF19" s="802"/>
      <c r="BG19" s="787" t="s">
        <v>29</v>
      </c>
      <c r="BH19" s="787" t="s">
        <v>57</v>
      </c>
      <c r="BI19" s="790" t="s">
        <v>30</v>
      </c>
      <c r="BJ19" s="84"/>
      <c r="BK19" s="17"/>
      <c r="BL19" s="84"/>
      <c r="BM19" s="84"/>
      <c r="BN19" s="84"/>
      <c r="BO19" s="84"/>
      <c r="BP19" s="774" t="s">
        <v>32</v>
      </c>
      <c r="BQ19" s="775"/>
      <c r="BR19" s="775"/>
      <c r="BS19" s="775"/>
      <c r="BT19" s="775"/>
      <c r="BU19" s="775"/>
      <c r="BV19" s="775"/>
      <c r="BW19" s="775"/>
      <c r="BX19" s="775"/>
      <c r="BY19" s="775"/>
      <c r="BZ19" s="775"/>
      <c r="CA19" s="775"/>
      <c r="CB19" s="775"/>
      <c r="CC19" s="775"/>
      <c r="CD19" s="775"/>
      <c r="CE19" s="775"/>
      <c r="CF19" s="775"/>
      <c r="CG19" s="775"/>
      <c r="CH19" s="775"/>
      <c r="CI19" s="775"/>
      <c r="CJ19" s="775"/>
      <c r="CK19" s="775"/>
      <c r="CL19" s="775"/>
      <c r="CM19" s="775"/>
      <c r="CN19" s="775"/>
      <c r="CO19" s="776"/>
    </row>
    <row r="20" spans="1:98" s="7" customFormat="1" ht="48.75" customHeight="1" x14ac:dyDescent="0.2">
      <c r="A20" s="814"/>
      <c r="B20" s="788"/>
      <c r="C20" s="788"/>
      <c r="D20" s="797" t="s">
        <v>18</v>
      </c>
      <c r="E20" s="795" t="s">
        <v>19</v>
      </c>
      <c r="F20" s="796"/>
      <c r="G20" s="796"/>
      <c r="H20" s="796"/>
      <c r="I20" s="796"/>
      <c r="J20" s="796"/>
      <c r="K20" s="796"/>
      <c r="L20" s="796"/>
      <c r="M20" s="796"/>
      <c r="N20" s="796"/>
      <c r="O20" s="796"/>
      <c r="P20" s="796"/>
      <c r="Q20" s="796"/>
      <c r="R20" s="788"/>
      <c r="S20" s="797" t="s">
        <v>18</v>
      </c>
      <c r="T20" s="795" t="s">
        <v>19</v>
      </c>
      <c r="U20" s="796"/>
      <c r="V20" s="796"/>
      <c r="W20" s="796"/>
      <c r="X20" s="796"/>
      <c r="Y20" s="796"/>
      <c r="Z20" s="796"/>
      <c r="AA20" s="796"/>
      <c r="AB20" s="796"/>
      <c r="AC20" s="796"/>
      <c r="AD20" s="796"/>
      <c r="AE20" s="799"/>
      <c r="AF20" s="797" t="s">
        <v>18</v>
      </c>
      <c r="AG20" s="795" t="s">
        <v>19</v>
      </c>
      <c r="AH20" s="796"/>
      <c r="AI20" s="796"/>
      <c r="AJ20" s="796"/>
      <c r="AK20" s="796"/>
      <c r="AL20" s="796"/>
      <c r="AM20" s="796"/>
      <c r="AN20" s="796"/>
      <c r="AO20" s="796"/>
      <c r="AP20" s="796"/>
      <c r="AQ20" s="796"/>
      <c r="AR20" s="796"/>
      <c r="AS20" s="799"/>
      <c r="AT20" s="803"/>
      <c r="AU20" s="804"/>
      <c r="AV20" s="804"/>
      <c r="AW20" s="804"/>
      <c r="AX20" s="804"/>
      <c r="AY20" s="804"/>
      <c r="AZ20" s="804"/>
      <c r="BA20" s="804"/>
      <c r="BB20" s="804"/>
      <c r="BC20" s="804"/>
      <c r="BD20" s="804"/>
      <c r="BE20" s="804"/>
      <c r="BF20" s="805"/>
      <c r="BG20" s="788"/>
      <c r="BH20" s="788"/>
      <c r="BI20" s="791"/>
      <c r="BJ20" s="84"/>
      <c r="BK20" s="17"/>
      <c r="BL20" s="777">
        <f>SUM(BL23/60)</f>
        <v>0</v>
      </c>
      <c r="BM20" s="777"/>
      <c r="BN20" s="777"/>
      <c r="BO20" s="17"/>
      <c r="BP20" s="778" t="s">
        <v>230</v>
      </c>
      <c r="BQ20" s="779"/>
      <c r="BR20" s="779"/>
      <c r="BS20" s="779"/>
      <c r="BT20" s="779"/>
      <c r="BU20" s="779"/>
      <c r="BV20" s="779"/>
      <c r="BW20" s="779"/>
      <c r="BX20" s="779"/>
      <c r="BY20" s="779"/>
      <c r="BZ20" s="779"/>
      <c r="CA20" s="779"/>
      <c r="CB20" s="780"/>
      <c r="CC20" s="781" t="s">
        <v>231</v>
      </c>
      <c r="CD20" s="782"/>
      <c r="CE20" s="782"/>
      <c r="CF20" s="782"/>
      <c r="CG20" s="782"/>
      <c r="CH20" s="782"/>
      <c r="CI20" s="782"/>
      <c r="CJ20" s="782"/>
      <c r="CK20" s="782"/>
      <c r="CL20" s="782"/>
      <c r="CM20" s="782"/>
      <c r="CN20" s="782"/>
      <c r="CO20" s="783"/>
    </row>
    <row r="21" spans="1:98" s="5" customFormat="1" ht="28.5" customHeight="1" x14ac:dyDescent="0.2">
      <c r="A21" s="815"/>
      <c r="B21" s="789"/>
      <c r="C21" s="789"/>
      <c r="D21" s="798"/>
      <c r="E21" s="20">
        <v>1</v>
      </c>
      <c r="F21" s="20">
        <v>2</v>
      </c>
      <c r="G21" s="20">
        <v>3</v>
      </c>
      <c r="H21" s="20">
        <v>4</v>
      </c>
      <c r="I21" s="20">
        <v>5</v>
      </c>
      <c r="J21" s="20">
        <v>6</v>
      </c>
      <c r="K21" s="20">
        <v>7</v>
      </c>
      <c r="L21" s="20">
        <v>8</v>
      </c>
      <c r="M21" s="20">
        <v>9</v>
      </c>
      <c r="N21" s="20">
        <v>10</v>
      </c>
      <c r="O21" s="20">
        <v>11</v>
      </c>
      <c r="P21" s="20">
        <v>12</v>
      </c>
      <c r="Q21" s="20" t="s">
        <v>21</v>
      </c>
      <c r="R21" s="789"/>
      <c r="S21" s="798"/>
      <c r="T21" s="20">
        <v>1</v>
      </c>
      <c r="U21" s="20">
        <v>2</v>
      </c>
      <c r="V21" s="20">
        <v>3</v>
      </c>
      <c r="W21" s="20">
        <v>4</v>
      </c>
      <c r="X21" s="20">
        <v>5</v>
      </c>
      <c r="Y21" s="20">
        <v>6</v>
      </c>
      <c r="Z21" s="20">
        <v>7</v>
      </c>
      <c r="AA21" s="20">
        <v>8</v>
      </c>
      <c r="AB21" s="20">
        <v>9</v>
      </c>
      <c r="AC21" s="20">
        <v>10</v>
      </c>
      <c r="AD21" s="20">
        <v>11</v>
      </c>
      <c r="AE21" s="20">
        <v>12</v>
      </c>
      <c r="AF21" s="798"/>
      <c r="AG21" s="20">
        <v>1</v>
      </c>
      <c r="AH21" s="20">
        <v>2</v>
      </c>
      <c r="AI21" s="20">
        <v>3</v>
      </c>
      <c r="AJ21" s="20">
        <v>4</v>
      </c>
      <c r="AK21" s="20">
        <v>5</v>
      </c>
      <c r="AL21" s="20">
        <v>6</v>
      </c>
      <c r="AM21" s="20">
        <v>7</v>
      </c>
      <c r="AN21" s="20">
        <v>8</v>
      </c>
      <c r="AO21" s="20">
        <v>9</v>
      </c>
      <c r="AP21" s="20">
        <v>10</v>
      </c>
      <c r="AQ21" s="20">
        <v>11</v>
      </c>
      <c r="AR21" s="20">
        <v>12</v>
      </c>
      <c r="AS21" s="20" t="s">
        <v>13</v>
      </c>
      <c r="AT21" s="111">
        <v>1</v>
      </c>
      <c r="AU21" s="111">
        <v>2</v>
      </c>
      <c r="AV21" s="111">
        <v>3</v>
      </c>
      <c r="AW21" s="111">
        <v>4</v>
      </c>
      <c r="AX21" s="111">
        <v>5</v>
      </c>
      <c r="AY21" s="111">
        <v>6</v>
      </c>
      <c r="AZ21" s="111">
        <v>7</v>
      </c>
      <c r="BA21" s="111">
        <v>8</v>
      </c>
      <c r="BB21" s="111">
        <v>9</v>
      </c>
      <c r="BC21" s="111">
        <v>10</v>
      </c>
      <c r="BD21" s="111">
        <v>11</v>
      </c>
      <c r="BE21" s="111">
        <v>12</v>
      </c>
      <c r="BF21" s="20" t="s">
        <v>13</v>
      </c>
      <c r="BG21" s="789"/>
      <c r="BH21" s="789"/>
      <c r="BI21" s="792"/>
      <c r="BJ21" s="6"/>
      <c r="BK21" s="21"/>
      <c r="BL21" s="784" t="s">
        <v>19</v>
      </c>
      <c r="BM21" s="785"/>
      <c r="BN21" s="786"/>
      <c r="BO21" s="337"/>
      <c r="BP21" s="111">
        <v>1</v>
      </c>
      <c r="BQ21" s="111">
        <v>2</v>
      </c>
      <c r="BR21" s="111">
        <v>3</v>
      </c>
      <c r="BS21" s="111">
        <v>4</v>
      </c>
      <c r="BT21" s="111">
        <v>5</v>
      </c>
      <c r="BU21" s="111">
        <v>6</v>
      </c>
      <c r="BV21" s="111">
        <v>7</v>
      </c>
      <c r="BW21" s="111">
        <v>8</v>
      </c>
      <c r="BX21" s="111">
        <v>9</v>
      </c>
      <c r="BY21" s="111">
        <v>10</v>
      </c>
      <c r="BZ21" s="111">
        <v>11</v>
      </c>
      <c r="CA21" s="111">
        <v>12</v>
      </c>
      <c r="CB21" s="20" t="s">
        <v>13</v>
      </c>
      <c r="CC21" s="111">
        <v>1</v>
      </c>
      <c r="CD21" s="111">
        <v>2</v>
      </c>
      <c r="CE21" s="111">
        <v>3</v>
      </c>
      <c r="CF21" s="111">
        <v>4</v>
      </c>
      <c r="CG21" s="111">
        <v>5</v>
      </c>
      <c r="CH21" s="111">
        <v>6</v>
      </c>
      <c r="CI21" s="111">
        <v>7</v>
      </c>
      <c r="CJ21" s="111">
        <v>8</v>
      </c>
      <c r="CK21" s="111">
        <v>9</v>
      </c>
      <c r="CL21" s="111">
        <v>10</v>
      </c>
      <c r="CM21" s="111">
        <v>11</v>
      </c>
      <c r="CN21" s="111">
        <v>12</v>
      </c>
      <c r="CO21" s="20" t="s">
        <v>13</v>
      </c>
    </row>
    <row r="22" spans="1:98" s="6" customFormat="1" ht="24.75" customHeight="1" x14ac:dyDescent="0.2">
      <c r="A22" s="29" t="s">
        <v>172</v>
      </c>
      <c r="B22" s="128" t="s">
        <v>237</v>
      </c>
      <c r="C22" s="22" t="s">
        <v>144</v>
      </c>
      <c r="D22" s="127">
        <v>1</v>
      </c>
      <c r="E22" s="426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>
        <f>SUM(E22:P22)</f>
        <v>0</v>
      </c>
      <c r="R22" s="62" t="s">
        <v>25</v>
      </c>
      <c r="S22" s="63">
        <v>36000</v>
      </c>
      <c r="T22" s="63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51">
        <f>D22*S22</f>
        <v>36000</v>
      </c>
      <c r="AG22" s="323">
        <f t="shared" ref="AG22" si="90">T22*E22</f>
        <v>0</v>
      </c>
      <c r="AH22" s="52">
        <f t="shared" ref="AH22" si="91">U22*F22</f>
        <v>0</v>
      </c>
      <c r="AI22" s="52">
        <f t="shared" ref="AI22" si="92">V22*G22</f>
        <v>0</v>
      </c>
      <c r="AJ22" s="52">
        <f t="shared" ref="AJ22" si="93">W22*H22</f>
        <v>0</v>
      </c>
      <c r="AK22" s="52">
        <f t="shared" ref="AK22" si="94">X22*I22</f>
        <v>0</v>
      </c>
      <c r="AL22" s="52">
        <f t="shared" ref="AL22" si="95">Y22*J22</f>
        <v>0</v>
      </c>
      <c r="AM22" s="52">
        <f t="shared" ref="AM22" si="96">Z22*K22</f>
        <v>0</v>
      </c>
      <c r="AN22" s="52">
        <f t="shared" ref="AN22" si="97">AA22*L22</f>
        <v>0</v>
      </c>
      <c r="AO22" s="52">
        <f t="shared" ref="AO22" si="98">AB22*M22</f>
        <v>0</v>
      </c>
      <c r="AP22" s="52">
        <f t="shared" ref="AP22" si="99">AC22*N22</f>
        <v>0</v>
      </c>
      <c r="AQ22" s="52">
        <f t="shared" ref="AQ22" si="100">AD22*O22</f>
        <v>0</v>
      </c>
      <c r="AR22" s="52">
        <f t="shared" ref="AR22" si="101">AE22*P22</f>
        <v>0</v>
      </c>
      <c r="AS22" s="53">
        <f>SUM(AG22:AR22)</f>
        <v>0</v>
      </c>
      <c r="AT22" s="323"/>
      <c r="AU22" s="52">
        <f t="shared" ref="AU22" si="102">SUM(AH22*14%)</f>
        <v>0</v>
      </c>
      <c r="AV22" s="52">
        <f t="shared" ref="AV22" si="103">SUM(AI22*14%)</f>
        <v>0</v>
      </c>
      <c r="AW22" s="52">
        <f t="shared" ref="AW22" si="104">SUM(AJ22*14%)</f>
        <v>0</v>
      </c>
      <c r="AX22" s="52">
        <f t="shared" ref="AX22" si="105">SUM(AK22*14%)</f>
        <v>0</v>
      </c>
      <c r="AY22" s="52">
        <f t="shared" ref="AY22" si="106">SUM(AL22*14%)</f>
        <v>0</v>
      </c>
      <c r="AZ22" s="52">
        <f t="shared" ref="AZ22" si="107">SUM(AM22*14%)</f>
        <v>0</v>
      </c>
      <c r="BA22" s="52">
        <f t="shared" ref="BA22" si="108">SUM(AN22*14%)</f>
        <v>0</v>
      </c>
      <c r="BB22" s="52">
        <f t="shared" ref="BB22" si="109">SUM(AO22*14%)</f>
        <v>0</v>
      </c>
      <c r="BC22" s="52">
        <f t="shared" ref="BC22" si="110">SUM(AP22*14%)</f>
        <v>0</v>
      </c>
      <c r="BD22" s="52">
        <f t="shared" ref="BD22" si="111">SUM(AQ22*14%)</f>
        <v>0</v>
      </c>
      <c r="BE22" s="52">
        <f t="shared" ref="BE22" si="112">SUM(AR22*14%)</f>
        <v>0</v>
      </c>
      <c r="BF22" s="54">
        <f t="shared" ref="BF22" si="113">SUM(AT22:BE22)</f>
        <v>0</v>
      </c>
      <c r="BG22" s="55">
        <f>AF22-AS22-BF22</f>
        <v>36000</v>
      </c>
      <c r="BH22" s="56">
        <f>S22*D22</f>
        <v>36000</v>
      </c>
      <c r="BI22" s="57">
        <f>BH22-AS22</f>
        <v>36000</v>
      </c>
      <c r="BJ22" s="112">
        <f>SUM(Q22/D22)</f>
        <v>0</v>
      </c>
      <c r="BK22" s="109"/>
      <c r="BL22" s="556"/>
      <c r="BM22" s="556"/>
      <c r="BN22" s="567"/>
      <c r="BO22" s="561"/>
      <c r="BP22" s="323"/>
      <c r="BQ22" s="323"/>
      <c r="BR22" s="556">
        <f t="shared" ref="BR22" si="114">SUM(AI22*12.5%)</f>
        <v>0</v>
      </c>
      <c r="BS22" s="323">
        <f t="shared" ref="BS22" si="115">SUM(AJ22*12.5%)</f>
        <v>0</v>
      </c>
      <c r="BT22" s="323">
        <f t="shared" ref="BT22" si="116">SUM(AK22*12.5%)</f>
        <v>0</v>
      </c>
      <c r="BU22" s="323">
        <f t="shared" ref="BU22" si="117">SUM(AL22*12.5%)</f>
        <v>0</v>
      </c>
      <c r="BV22" s="323">
        <f t="shared" ref="BV22" si="118">SUM(AM22*12.5%)</f>
        <v>0</v>
      </c>
      <c r="BW22" s="323">
        <f t="shared" ref="BW22" si="119">SUM(AN22*12.5%)</f>
        <v>0</v>
      </c>
      <c r="BX22" s="323">
        <f t="shared" ref="BX22" si="120">SUM(AO22*12.5%)</f>
        <v>0</v>
      </c>
      <c r="BY22" s="323">
        <f t="shared" ref="BY22" si="121">SUM(AP22*12.5%)</f>
        <v>0</v>
      </c>
      <c r="BZ22" s="323">
        <f t="shared" ref="BZ22" si="122">SUM(AQ22*12.5%)</f>
        <v>0</v>
      </c>
      <c r="CA22" s="323">
        <f t="shared" ref="CA22" si="123">SUM(AR22*12.5%)</f>
        <v>0</v>
      </c>
      <c r="CB22" s="55">
        <f t="shared" ref="CB22" si="124">SUM(BP22:CA22)</f>
        <v>0</v>
      </c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55">
        <f t="shared" ref="CO22" si="125">SUM(CC22:CN22)</f>
        <v>0</v>
      </c>
    </row>
    <row r="23" spans="1:98" s="6" customFormat="1" ht="24.75" customHeight="1" thickBot="1" x14ac:dyDescent="0.25">
      <c r="A23" s="29"/>
      <c r="B23" s="128" t="s">
        <v>206</v>
      </c>
      <c r="C23" s="22" t="s">
        <v>144</v>
      </c>
      <c r="D23" s="127">
        <v>10</v>
      </c>
      <c r="E23" s="426">
        <v>10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4">
        <f>SUM(E23:P23)</f>
        <v>10</v>
      </c>
      <c r="R23" s="62" t="s">
        <v>25</v>
      </c>
      <c r="S23" s="63">
        <v>10300</v>
      </c>
      <c r="T23" s="63">
        <v>10300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51">
        <f>D23*S23</f>
        <v>103000</v>
      </c>
      <c r="AG23" s="323">
        <f t="shared" ref="AG23" si="126">T23*E23</f>
        <v>103000</v>
      </c>
      <c r="AH23" s="52">
        <f t="shared" ref="AH23" si="127">U23*F23</f>
        <v>0</v>
      </c>
      <c r="AI23" s="52">
        <f t="shared" ref="AI23" si="128">V23*G23</f>
        <v>0</v>
      </c>
      <c r="AJ23" s="52">
        <f t="shared" ref="AJ23" si="129">W23*H23</f>
        <v>0</v>
      </c>
      <c r="AK23" s="52">
        <f t="shared" ref="AK23" si="130">X23*I23</f>
        <v>0</v>
      </c>
      <c r="AL23" s="52">
        <f t="shared" ref="AL23" si="131">Y23*J23</f>
        <v>0</v>
      </c>
      <c r="AM23" s="52">
        <f t="shared" ref="AM23" si="132">Z23*K23</f>
        <v>0</v>
      </c>
      <c r="AN23" s="52">
        <f t="shared" ref="AN23" si="133">AA23*L23</f>
        <v>0</v>
      </c>
      <c r="AO23" s="52">
        <f t="shared" ref="AO23" si="134">AB23*M23</f>
        <v>0</v>
      </c>
      <c r="AP23" s="52">
        <f t="shared" ref="AP23" si="135">AC23*N23</f>
        <v>0</v>
      </c>
      <c r="AQ23" s="52">
        <f t="shared" ref="AQ23" si="136">AD23*O23</f>
        <v>0</v>
      </c>
      <c r="AR23" s="52">
        <f t="shared" ref="AR23" si="137">AE23*P23</f>
        <v>0</v>
      </c>
      <c r="AS23" s="53">
        <f>SUM(AG23:AR23)</f>
        <v>103000</v>
      </c>
      <c r="AT23" s="323">
        <f>AG23*12%</f>
        <v>12360</v>
      </c>
      <c r="AU23" s="52">
        <f t="shared" ref="AU23" si="138">SUM(AH23*14%)</f>
        <v>0</v>
      </c>
      <c r="AV23" s="52">
        <f t="shared" ref="AV23" si="139">SUM(AI23*14%)</f>
        <v>0</v>
      </c>
      <c r="AW23" s="52">
        <f t="shared" ref="AW23" si="140">SUM(AJ23*14%)</f>
        <v>0</v>
      </c>
      <c r="AX23" s="52">
        <f t="shared" ref="AX23" si="141">SUM(AK23*14%)</f>
        <v>0</v>
      </c>
      <c r="AY23" s="52">
        <f t="shared" ref="AY23" si="142">SUM(AL23*14%)</f>
        <v>0</v>
      </c>
      <c r="AZ23" s="52">
        <f t="shared" ref="AZ23" si="143">SUM(AM23*14%)</f>
        <v>0</v>
      </c>
      <c r="BA23" s="52">
        <f t="shared" ref="BA23" si="144">SUM(AN23*14%)</f>
        <v>0</v>
      </c>
      <c r="BB23" s="52">
        <f t="shared" ref="BB23" si="145">SUM(AO23*14%)</f>
        <v>0</v>
      </c>
      <c r="BC23" s="52">
        <f t="shared" ref="BC23" si="146">SUM(AP23*14%)</f>
        <v>0</v>
      </c>
      <c r="BD23" s="52">
        <f t="shared" ref="BD23" si="147">SUM(AQ23*14%)</f>
        <v>0</v>
      </c>
      <c r="BE23" s="52">
        <f t="shared" ref="BE23" si="148">SUM(AR23*14%)</f>
        <v>0</v>
      </c>
      <c r="BF23" s="54">
        <f t="shared" ref="BF23" si="149">SUM(AT23:BE23)</f>
        <v>12360</v>
      </c>
      <c r="BG23" s="55">
        <f>AF23-AS23</f>
        <v>0</v>
      </c>
      <c r="BH23" s="56">
        <f>S23*D23</f>
        <v>103000</v>
      </c>
      <c r="BI23" s="57">
        <f>BH23-AS23</f>
        <v>0</v>
      </c>
      <c r="BJ23" s="112">
        <f>SUM(Q23/D23)</f>
        <v>1</v>
      </c>
      <c r="BK23" s="109"/>
      <c r="BL23" s="556"/>
      <c r="BM23" s="556"/>
      <c r="BN23" s="567"/>
      <c r="BO23" s="561"/>
      <c r="BP23" s="323"/>
      <c r="BQ23" s="323"/>
      <c r="BR23" s="556">
        <f t="shared" ref="BR23:BR24" si="150">SUM(AI23*12.5%)</f>
        <v>0</v>
      </c>
      <c r="BS23" s="323">
        <f t="shared" ref="BS23:BS24" si="151">SUM(AJ23*12.5%)</f>
        <v>0</v>
      </c>
      <c r="BT23" s="323">
        <f t="shared" ref="BT23:BT24" si="152">SUM(AK23*12.5%)</f>
        <v>0</v>
      </c>
      <c r="BU23" s="323">
        <f t="shared" ref="BU23:BU24" si="153">SUM(AL23*12.5%)</f>
        <v>0</v>
      </c>
      <c r="BV23" s="323">
        <f t="shared" ref="BV23:BV24" si="154">SUM(AM23*12.5%)</f>
        <v>0</v>
      </c>
      <c r="BW23" s="323">
        <f t="shared" ref="BW23:BW24" si="155">SUM(AN23*12.5%)</f>
        <v>0</v>
      </c>
      <c r="BX23" s="323">
        <f t="shared" ref="BX23:BX24" si="156">SUM(AO23*12.5%)</f>
        <v>0</v>
      </c>
      <c r="BY23" s="323">
        <f t="shared" ref="BY23:BY24" si="157">SUM(AP23*12.5%)</f>
        <v>0</v>
      </c>
      <c r="BZ23" s="323">
        <f t="shared" ref="BZ23:BZ24" si="158">SUM(AQ23*12.5%)</f>
        <v>0</v>
      </c>
      <c r="CA23" s="323">
        <f t="shared" ref="CA23:CA24" si="159">SUM(AR23*12.5%)</f>
        <v>0</v>
      </c>
      <c r="CB23" s="55">
        <f t="shared" ref="CB23" si="160">SUM(BP23:CA23)</f>
        <v>0</v>
      </c>
      <c r="CC23" s="323"/>
      <c r="CD23" s="323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55">
        <f t="shared" ref="CO23:CO24" si="161">SUM(CC23:CN23)</f>
        <v>0</v>
      </c>
    </row>
    <row r="24" spans="1:98" s="27" customFormat="1" ht="24.75" customHeight="1" thickBot="1" x14ac:dyDescent="0.25">
      <c r="A24" s="30"/>
      <c r="B24" s="31" t="s">
        <v>4</v>
      </c>
      <c r="C24" s="31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4"/>
      <c r="R24" s="58"/>
      <c r="S24" s="32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59">
        <f>SUM(AF22:AF23)</f>
        <v>139000</v>
      </c>
      <c r="AG24" s="681">
        <f t="shared" ref="AG24:BF24" si="162">SUM(AG23:AG23)</f>
        <v>103000</v>
      </c>
      <c r="AH24" s="59">
        <f t="shared" si="162"/>
        <v>0</v>
      </c>
      <c r="AI24" s="59">
        <f t="shared" si="162"/>
        <v>0</v>
      </c>
      <c r="AJ24" s="59">
        <f t="shared" si="162"/>
        <v>0</v>
      </c>
      <c r="AK24" s="59">
        <f t="shared" si="162"/>
        <v>0</v>
      </c>
      <c r="AL24" s="59">
        <f t="shared" si="162"/>
        <v>0</v>
      </c>
      <c r="AM24" s="59">
        <f t="shared" si="162"/>
        <v>0</v>
      </c>
      <c r="AN24" s="59">
        <f t="shared" si="162"/>
        <v>0</v>
      </c>
      <c r="AO24" s="59">
        <f t="shared" si="162"/>
        <v>0</v>
      </c>
      <c r="AP24" s="59">
        <f t="shared" si="162"/>
        <v>0</v>
      </c>
      <c r="AQ24" s="59">
        <f t="shared" si="162"/>
        <v>0</v>
      </c>
      <c r="AR24" s="59">
        <f t="shared" si="162"/>
        <v>0</v>
      </c>
      <c r="AS24" s="59">
        <f t="shared" si="162"/>
        <v>103000</v>
      </c>
      <c r="AT24" s="59">
        <f t="shared" si="162"/>
        <v>12360</v>
      </c>
      <c r="AU24" s="59">
        <f t="shared" si="162"/>
        <v>0</v>
      </c>
      <c r="AV24" s="59">
        <f t="shared" si="162"/>
        <v>0</v>
      </c>
      <c r="AW24" s="59">
        <f t="shared" si="162"/>
        <v>0</v>
      </c>
      <c r="AX24" s="59">
        <f t="shared" si="162"/>
        <v>0</v>
      </c>
      <c r="AY24" s="59">
        <f t="shared" si="162"/>
        <v>0</v>
      </c>
      <c r="AZ24" s="59">
        <f t="shared" si="162"/>
        <v>0</v>
      </c>
      <c r="BA24" s="59">
        <f t="shared" si="162"/>
        <v>0</v>
      </c>
      <c r="BB24" s="59">
        <f t="shared" si="162"/>
        <v>0</v>
      </c>
      <c r="BC24" s="59">
        <f t="shared" si="162"/>
        <v>0</v>
      </c>
      <c r="BD24" s="59">
        <f t="shared" si="162"/>
        <v>0</v>
      </c>
      <c r="BE24" s="59">
        <f t="shared" si="162"/>
        <v>0</v>
      </c>
      <c r="BF24" s="59">
        <f t="shared" si="162"/>
        <v>12360</v>
      </c>
      <c r="BG24" s="60">
        <f>AF24-AS24</f>
        <v>36000</v>
      </c>
      <c r="BH24" s="59">
        <f>SUM(BH22:BH23)</f>
        <v>139000</v>
      </c>
      <c r="BI24" s="59">
        <f>SUM(BI22:BI23)</f>
        <v>36000</v>
      </c>
      <c r="BJ24" s="498">
        <f>SUM(BJ23:BJ23)</f>
        <v>1</v>
      </c>
      <c r="BK24" s="106"/>
      <c r="BL24" s="556"/>
      <c r="BM24" s="556"/>
      <c r="BN24" s="567"/>
      <c r="BO24" s="561"/>
      <c r="BP24" s="323"/>
      <c r="BQ24" s="323"/>
      <c r="BR24" s="556">
        <f t="shared" si="150"/>
        <v>0</v>
      </c>
      <c r="BS24" s="323">
        <f t="shared" si="151"/>
        <v>0</v>
      </c>
      <c r="BT24" s="323">
        <f t="shared" si="152"/>
        <v>0</v>
      </c>
      <c r="BU24" s="323">
        <f t="shared" si="153"/>
        <v>0</v>
      </c>
      <c r="BV24" s="323">
        <f t="shared" si="154"/>
        <v>0</v>
      </c>
      <c r="BW24" s="323">
        <f t="shared" si="155"/>
        <v>0</v>
      </c>
      <c r="BX24" s="323">
        <f t="shared" si="156"/>
        <v>0</v>
      </c>
      <c r="BY24" s="323">
        <f t="shared" si="157"/>
        <v>0</v>
      </c>
      <c r="BZ24" s="323">
        <f t="shared" si="158"/>
        <v>0</v>
      </c>
      <c r="CA24" s="323">
        <f t="shared" si="159"/>
        <v>0</v>
      </c>
      <c r="CB24" s="55">
        <f t="shared" ref="CB24" si="163">SUM(BP24:CA24)</f>
        <v>0</v>
      </c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3"/>
      <c r="CN24" s="323"/>
      <c r="CO24" s="55">
        <f t="shared" si="161"/>
        <v>0</v>
      </c>
    </row>
    <row r="25" spans="1:98" s="16" customFormat="1" ht="24.75" customHeight="1" x14ac:dyDescent="0.2">
      <c r="A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AE25" s="28"/>
      <c r="AS25" s="38"/>
      <c r="BF25" s="39">
        <f>SUM(AS24+BF24)</f>
        <v>115360</v>
      </c>
      <c r="BG25" s="40">
        <f>AF24-AS24</f>
        <v>36000</v>
      </c>
      <c r="BH25" s="41">
        <f>SUM(BI24+AS24)</f>
        <v>139000</v>
      </c>
      <c r="BI25" s="42">
        <f>SUM(BG24)</f>
        <v>36000</v>
      </c>
      <c r="BJ25" s="28" t="s">
        <v>29</v>
      </c>
      <c r="BK25" s="107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</row>
    <row r="26" spans="1:98" s="16" customFormat="1" ht="24.75" customHeight="1" x14ac:dyDescent="0.2">
      <c r="A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AE26" s="28"/>
      <c r="AS26" s="28"/>
      <c r="AT26" s="233">
        <f>SUM(AG24+AT24)</f>
        <v>115360</v>
      </c>
      <c r="AU26" s="233">
        <f t="shared" ref="AU26" si="164">SUM(AH24+AU24)</f>
        <v>0</v>
      </c>
      <c r="AV26" s="233">
        <f t="shared" ref="AV26" si="165">SUM(AI24+AV24)</f>
        <v>0</v>
      </c>
      <c r="AW26" s="233">
        <f t="shared" ref="AW26" si="166">SUM(AJ24+AW24)</f>
        <v>0</v>
      </c>
      <c r="AX26" s="233">
        <f t="shared" ref="AX26" si="167">SUM(AK24+AX24)</f>
        <v>0</v>
      </c>
      <c r="AY26" s="233">
        <f t="shared" ref="AY26" si="168">SUM(AL24+AY24)</f>
        <v>0</v>
      </c>
      <c r="AZ26" s="233">
        <f t="shared" ref="AZ26" si="169">SUM(AM24+AZ24)</f>
        <v>0</v>
      </c>
      <c r="BA26" s="233">
        <f t="shared" ref="BA26" si="170">SUM(AN24+BA24)</f>
        <v>0</v>
      </c>
      <c r="BB26" s="233">
        <f t="shared" ref="BB26" si="171">SUM(AO24+BB24)</f>
        <v>0</v>
      </c>
      <c r="BC26" s="233">
        <f t="shared" ref="BC26" si="172">SUM(AP24+BC24)</f>
        <v>0</v>
      </c>
      <c r="BD26" s="233">
        <f t="shared" ref="BD26" si="173">SUM(AQ24+BD24)</f>
        <v>0</v>
      </c>
      <c r="BE26" s="233">
        <f t="shared" ref="BE26" si="174">SUM(AR24+BE24)</f>
        <v>0</v>
      </c>
      <c r="BF26" s="233">
        <f>SUM(AT26:BE26)</f>
        <v>115360</v>
      </c>
      <c r="BG26" s="28"/>
      <c r="BH26" s="43"/>
      <c r="BI26" s="44">
        <f>SUM(BI24-BI25)</f>
        <v>0</v>
      </c>
      <c r="BJ26" s="28" t="s">
        <v>28</v>
      </c>
      <c r="BK26" s="107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</row>
    <row r="27" spans="1:98" s="5" customFormat="1" ht="15.75" x14ac:dyDescent="0.2">
      <c r="A27" s="45"/>
      <c r="C27" s="4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37"/>
      <c r="R27" s="7"/>
      <c r="AE27" s="47"/>
      <c r="AF27" s="46"/>
      <c r="AS27" s="48"/>
      <c r="BF27" s="48"/>
      <c r="BG27" s="48"/>
      <c r="BH27" s="116"/>
      <c r="BI27" s="116"/>
      <c r="BK27" s="104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</row>
    <row r="28" spans="1:98" s="5" customFormat="1" ht="15.75" x14ac:dyDescent="0.2">
      <c r="A28" s="45"/>
      <c r="C28" s="45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37"/>
      <c r="R28" s="7"/>
      <c r="AE28" s="47"/>
      <c r="AF28" s="46"/>
      <c r="AG28" s="319" t="e">
        <f>SUM(#REF!+#REF!+#REF!)</f>
        <v>#REF!</v>
      </c>
      <c r="AS28" s="48"/>
      <c r="BF28" s="48"/>
      <c r="BG28" s="48"/>
      <c r="BH28" s="116"/>
      <c r="BI28" s="116"/>
      <c r="BK28" s="104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</row>
    <row r="29" spans="1:98" s="5" customFormat="1" ht="15.75" x14ac:dyDescent="0.2">
      <c r="A29" s="45"/>
      <c r="C29" s="4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37"/>
      <c r="R29" s="7"/>
      <c r="AE29" s="47"/>
      <c r="AF29" s="46"/>
      <c r="AS29" s="48"/>
      <c r="BF29" s="48"/>
      <c r="BG29" s="48"/>
      <c r="BH29" s="116"/>
      <c r="BI29" s="116"/>
      <c r="BK29" s="104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</row>
    <row r="30" spans="1:98" s="5" customFormat="1" ht="15.75" x14ac:dyDescent="0.2">
      <c r="A30" s="45"/>
      <c r="C30" s="45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37"/>
      <c r="R30" s="7"/>
      <c r="AE30" s="47"/>
      <c r="AF30" s="46"/>
      <c r="AS30" s="48"/>
      <c r="BF30" s="48"/>
      <c r="BG30" s="48"/>
      <c r="BH30" s="116"/>
      <c r="BI30" s="116"/>
      <c r="BK30" s="104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</row>
    <row r="31" spans="1:98" s="5" customFormat="1" ht="15.75" x14ac:dyDescent="0.2">
      <c r="A31" s="45"/>
      <c r="C31" s="4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37"/>
      <c r="R31" s="7"/>
      <c r="AE31" s="47"/>
      <c r="AF31" s="46"/>
      <c r="AS31" s="48"/>
      <c r="BF31" s="48"/>
      <c r="BG31" s="48"/>
      <c r="BH31" s="116"/>
      <c r="BI31" s="116"/>
      <c r="BK31" s="104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</row>
    <row r="32" spans="1:98" s="5" customFormat="1" ht="15.75" x14ac:dyDescent="0.2">
      <c r="A32" s="45"/>
      <c r="C32" s="4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37"/>
      <c r="R32" s="7"/>
      <c r="AE32" s="47"/>
      <c r="AF32" s="46"/>
      <c r="AS32" s="48"/>
      <c r="BF32" s="48"/>
      <c r="BG32" s="48"/>
      <c r="BH32" s="116"/>
      <c r="BI32" s="116"/>
      <c r="BK32" s="104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</row>
    <row r="33" spans="1:80" s="5" customFormat="1" ht="15.75" x14ac:dyDescent="0.2">
      <c r="A33" s="45"/>
      <c r="C33" s="4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37"/>
      <c r="R33" s="7"/>
      <c r="AE33" s="47"/>
      <c r="AF33" s="46"/>
      <c r="AS33" s="48"/>
      <c r="BF33" s="48"/>
      <c r="BG33" s="48"/>
      <c r="BH33" s="116"/>
      <c r="BI33" s="116"/>
      <c r="BK33" s="104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</row>
    <row r="34" spans="1:80" s="5" customFormat="1" ht="15.75" x14ac:dyDescent="0.2">
      <c r="A34" s="45"/>
      <c r="C34" s="45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37"/>
      <c r="R34" s="7"/>
      <c r="AE34" s="47"/>
      <c r="AF34" s="46"/>
      <c r="AS34" s="48"/>
      <c r="BF34" s="48"/>
      <c r="BG34" s="48"/>
      <c r="BH34" s="116"/>
      <c r="BI34" s="116"/>
      <c r="BK34" s="104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</row>
    <row r="35" spans="1:80" s="5" customFormat="1" ht="15.75" x14ac:dyDescent="0.2">
      <c r="A35" s="45"/>
      <c r="C35" s="45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37"/>
      <c r="R35" s="7"/>
      <c r="AE35" s="47"/>
      <c r="AF35" s="46"/>
      <c r="AS35" s="48"/>
      <c r="BF35" s="48"/>
      <c r="BG35" s="48"/>
      <c r="BH35" s="116"/>
      <c r="BI35" s="116"/>
      <c r="BK35" s="104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</row>
    <row r="36" spans="1:80" s="5" customFormat="1" ht="15.75" x14ac:dyDescent="0.2">
      <c r="A36" s="45"/>
      <c r="C36" s="45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37"/>
      <c r="R36" s="7"/>
      <c r="AE36" s="47"/>
      <c r="AF36" s="46"/>
      <c r="AS36" s="48"/>
      <c r="BF36" s="48"/>
      <c r="BG36" s="48"/>
      <c r="BH36" s="116"/>
      <c r="BI36" s="116"/>
      <c r="BK36" s="104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</row>
    <row r="37" spans="1:80" s="5" customFormat="1" ht="15.75" x14ac:dyDescent="0.2">
      <c r="A37" s="45"/>
      <c r="C37" s="45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37"/>
      <c r="R37" s="7"/>
      <c r="AE37" s="47"/>
      <c r="AF37" s="46"/>
      <c r="AS37" s="48"/>
      <c r="BF37" s="48"/>
      <c r="BG37" s="48"/>
      <c r="BH37" s="116"/>
      <c r="BI37" s="116"/>
      <c r="BK37" s="104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</row>
    <row r="38" spans="1:80" s="5" customFormat="1" ht="15.75" x14ac:dyDescent="0.2">
      <c r="A38" s="45"/>
      <c r="C38" s="4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37"/>
      <c r="R38" s="7"/>
      <c r="AE38" s="47"/>
      <c r="AF38" s="46"/>
      <c r="AS38" s="48"/>
      <c r="BF38" s="48"/>
      <c r="BG38" s="48"/>
      <c r="BH38" s="116"/>
      <c r="BI38" s="116"/>
      <c r="BK38" s="104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</row>
    <row r="39" spans="1:80" s="5" customFormat="1" ht="15.75" x14ac:dyDescent="0.2">
      <c r="A39" s="45"/>
      <c r="C39" s="45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37"/>
      <c r="R39" s="7"/>
      <c r="AE39" s="47"/>
      <c r="AF39" s="46"/>
      <c r="AS39" s="48"/>
      <c r="BF39" s="48"/>
      <c r="BG39" s="48"/>
      <c r="BH39" s="116"/>
      <c r="BI39" s="116"/>
      <c r="BK39" s="104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</row>
    <row r="40" spans="1:80" s="5" customFormat="1" ht="15.75" x14ac:dyDescent="0.2">
      <c r="A40" s="45"/>
      <c r="C40" s="45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37"/>
      <c r="R40" s="7"/>
      <c r="AE40" s="47"/>
      <c r="AF40" s="46"/>
      <c r="AS40" s="48"/>
      <c r="BF40" s="48"/>
      <c r="BG40" s="48"/>
      <c r="BH40" s="116"/>
      <c r="BI40" s="116"/>
      <c r="BK40" s="104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</row>
    <row r="41" spans="1:80" s="5" customFormat="1" ht="15.75" x14ac:dyDescent="0.2">
      <c r="A41" s="45"/>
      <c r="C41" s="45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7"/>
      <c r="R41" s="7"/>
      <c r="AE41" s="47"/>
      <c r="AF41" s="46"/>
      <c r="AS41" s="48"/>
      <c r="BF41" s="48"/>
      <c r="BG41" s="48"/>
      <c r="BH41" s="116"/>
      <c r="BI41" s="116"/>
      <c r="BK41" s="104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</row>
    <row r="42" spans="1:80" s="5" customFormat="1" ht="15.75" x14ac:dyDescent="0.2">
      <c r="A42" s="45"/>
      <c r="C42" s="45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37"/>
      <c r="R42" s="7"/>
      <c r="AE42" s="47"/>
      <c r="AF42" s="46"/>
      <c r="AS42" s="48"/>
      <c r="BF42" s="48"/>
      <c r="BG42" s="48"/>
      <c r="BH42" s="116"/>
      <c r="BI42" s="116"/>
      <c r="BK42" s="104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</row>
    <row r="43" spans="1:80" s="5" customFormat="1" ht="15.75" x14ac:dyDescent="0.2">
      <c r="A43" s="45"/>
      <c r="C43" s="45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37"/>
      <c r="R43" s="7"/>
      <c r="AE43" s="47"/>
      <c r="AF43" s="46"/>
      <c r="AS43" s="48"/>
      <c r="BF43" s="48"/>
      <c r="BG43" s="48"/>
      <c r="BH43" s="116"/>
      <c r="BI43" s="116"/>
      <c r="BK43" s="104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</row>
    <row r="44" spans="1:80" s="5" customFormat="1" ht="15.75" x14ac:dyDescent="0.2">
      <c r="A44" s="45"/>
      <c r="C44" s="45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37"/>
      <c r="R44" s="7"/>
      <c r="AE44" s="47"/>
      <c r="AF44" s="46"/>
      <c r="AS44" s="48"/>
      <c r="BF44" s="48"/>
      <c r="BG44" s="48"/>
      <c r="BH44" s="116"/>
      <c r="BI44" s="116"/>
      <c r="BK44" s="104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</row>
    <row r="45" spans="1:80" s="5" customFormat="1" ht="15.75" x14ac:dyDescent="0.2">
      <c r="A45" s="45"/>
      <c r="C45" s="45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7"/>
      <c r="R45" s="7"/>
      <c r="AE45" s="47"/>
      <c r="AF45" s="46"/>
      <c r="AS45" s="48"/>
      <c r="BF45" s="48"/>
      <c r="BG45" s="48"/>
      <c r="BH45" s="116"/>
      <c r="BI45" s="116"/>
      <c r="BK45" s="104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</row>
    <row r="46" spans="1:80" s="5" customFormat="1" ht="15.75" x14ac:dyDescent="0.2">
      <c r="A46" s="45"/>
      <c r="C46" s="45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37"/>
      <c r="R46" s="7"/>
      <c r="AE46" s="47"/>
      <c r="AF46" s="46"/>
      <c r="AS46" s="48"/>
      <c r="BF46" s="48"/>
      <c r="BG46" s="48"/>
      <c r="BH46" s="116"/>
      <c r="BI46" s="116"/>
      <c r="BK46" s="104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</row>
    <row r="47" spans="1:80" s="5" customFormat="1" ht="15.75" x14ac:dyDescent="0.2">
      <c r="A47" s="45"/>
      <c r="C47" s="45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37"/>
      <c r="R47" s="7"/>
      <c r="AE47" s="47"/>
      <c r="AF47" s="46"/>
      <c r="AS47" s="48"/>
      <c r="BF47" s="48"/>
      <c r="BG47" s="48"/>
      <c r="BH47" s="116"/>
      <c r="BI47" s="116"/>
      <c r="BK47" s="104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</row>
    <row r="48" spans="1:80" s="5" customFormat="1" ht="15.75" x14ac:dyDescent="0.2">
      <c r="A48" s="45"/>
      <c r="C48" s="45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37"/>
      <c r="R48" s="7"/>
      <c r="AE48" s="47"/>
      <c r="AF48" s="46"/>
      <c r="AS48" s="48"/>
      <c r="BF48" s="48"/>
      <c r="BG48" s="48"/>
      <c r="BH48" s="116"/>
      <c r="BI48" s="116"/>
      <c r="BK48" s="104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</row>
    <row r="49" spans="1:80" s="5" customFormat="1" ht="15.75" x14ac:dyDescent="0.2">
      <c r="A49" s="45"/>
      <c r="C49" s="45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37"/>
      <c r="R49" s="7"/>
      <c r="AE49" s="47"/>
      <c r="AF49" s="46"/>
      <c r="AS49" s="48"/>
      <c r="BF49" s="48"/>
      <c r="BG49" s="48"/>
      <c r="BH49" s="116"/>
      <c r="BI49" s="116"/>
      <c r="BK49" s="104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</row>
    <row r="50" spans="1:80" s="5" customFormat="1" ht="15.75" x14ac:dyDescent="0.2">
      <c r="A50" s="45"/>
      <c r="C50" s="45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37"/>
      <c r="R50" s="7"/>
      <c r="AE50" s="47"/>
      <c r="AF50" s="46"/>
      <c r="AS50" s="48"/>
      <c r="BF50" s="48"/>
      <c r="BG50" s="48"/>
      <c r="BH50" s="116"/>
      <c r="BI50" s="116"/>
      <c r="BK50" s="104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s="5" customFormat="1" ht="15.75" x14ac:dyDescent="0.2">
      <c r="A51" s="45"/>
      <c r="C51" s="45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37"/>
      <c r="R51" s="7"/>
      <c r="AE51" s="47"/>
      <c r="AF51" s="46"/>
      <c r="AS51" s="48"/>
      <c r="BF51" s="48"/>
      <c r="BG51" s="48"/>
      <c r="BH51" s="116"/>
      <c r="BI51" s="116"/>
      <c r="BK51" s="104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s="5" customFormat="1" ht="15.75" x14ac:dyDescent="0.2">
      <c r="A52" s="45"/>
      <c r="C52" s="45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37"/>
      <c r="R52" s="7"/>
      <c r="AE52" s="47"/>
      <c r="AF52" s="46"/>
      <c r="AS52" s="48"/>
      <c r="BF52" s="48"/>
      <c r="BG52" s="48"/>
      <c r="BH52" s="116"/>
      <c r="BI52" s="116"/>
      <c r="BK52" s="104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</row>
    <row r="53" spans="1:80" s="5" customFormat="1" ht="15.75" x14ac:dyDescent="0.2">
      <c r="A53" s="45"/>
      <c r="C53" s="45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37"/>
      <c r="R53" s="7"/>
      <c r="AE53" s="47"/>
      <c r="AF53" s="46"/>
      <c r="AS53" s="48"/>
      <c r="BF53" s="48"/>
      <c r="BG53" s="48"/>
      <c r="BH53" s="116"/>
      <c r="BI53" s="116"/>
      <c r="BK53" s="104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</row>
    <row r="54" spans="1:80" s="5" customFormat="1" ht="15.75" x14ac:dyDescent="0.2">
      <c r="A54" s="45"/>
      <c r="C54" s="45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37"/>
      <c r="R54" s="7"/>
      <c r="AE54" s="47"/>
      <c r="AF54" s="46"/>
      <c r="AS54" s="48"/>
      <c r="BF54" s="48"/>
      <c r="BG54" s="48"/>
      <c r="BH54" s="116"/>
      <c r="BI54" s="116"/>
      <c r="BK54" s="104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s="5" customFormat="1" ht="15.75" x14ac:dyDescent="0.2">
      <c r="A55" s="45"/>
      <c r="C55" s="45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37"/>
      <c r="R55" s="7"/>
      <c r="AE55" s="47"/>
      <c r="AF55" s="46"/>
      <c r="AS55" s="48"/>
      <c r="BF55" s="48"/>
      <c r="BG55" s="48"/>
      <c r="BH55" s="116"/>
      <c r="BI55" s="116"/>
      <c r="BK55" s="104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</row>
    <row r="56" spans="1:80" s="5" customFormat="1" ht="15.75" x14ac:dyDescent="0.2">
      <c r="A56" s="45"/>
      <c r="C56" s="45"/>
      <c r="E56" s="313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37"/>
      <c r="R56" s="7"/>
      <c r="T56" s="314"/>
      <c r="AE56" s="47"/>
      <c r="AF56" s="46"/>
      <c r="AS56" s="48"/>
      <c r="BF56" s="48"/>
      <c r="BG56" s="48"/>
      <c r="BH56" s="116"/>
      <c r="BI56" s="116"/>
      <c r="BK56" s="104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</row>
    <row r="57" spans="1:80" s="5" customFormat="1" ht="15.75" x14ac:dyDescent="0.2">
      <c r="A57" s="45"/>
      <c r="C57" s="45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37"/>
      <c r="R57" s="7"/>
      <c r="AE57" s="47"/>
      <c r="AF57" s="46"/>
      <c r="AS57" s="48"/>
      <c r="BF57" s="48"/>
      <c r="BG57" s="48"/>
      <c r="BH57" s="116"/>
      <c r="BI57" s="116"/>
      <c r="BK57" s="104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</row>
    <row r="58" spans="1:80" s="5" customFormat="1" ht="15.75" x14ac:dyDescent="0.2">
      <c r="A58" s="45"/>
      <c r="C58" s="45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37"/>
      <c r="R58" s="7"/>
      <c r="AE58" s="47"/>
      <c r="AF58" s="46"/>
      <c r="AS58" s="48"/>
      <c r="BF58" s="48"/>
      <c r="BG58" s="48"/>
      <c r="BH58" s="116"/>
      <c r="BI58" s="116"/>
      <c r="BK58" s="104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s="5" customFormat="1" ht="15.75" x14ac:dyDescent="0.2">
      <c r="A59" s="45"/>
      <c r="C59" s="45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37"/>
      <c r="R59" s="7"/>
      <c r="AE59" s="47"/>
      <c r="AF59" s="46"/>
      <c r="AS59" s="48"/>
      <c r="BF59" s="48"/>
      <c r="BG59" s="48"/>
      <c r="BH59" s="116"/>
      <c r="BI59" s="116"/>
      <c r="BK59" s="104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s="5" customFormat="1" ht="15.75" x14ac:dyDescent="0.2">
      <c r="A60" s="45"/>
      <c r="C60" s="45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37"/>
      <c r="R60" s="7"/>
      <c r="AE60" s="47"/>
      <c r="AF60" s="46"/>
      <c r="AS60" s="48"/>
      <c r="BF60" s="48"/>
      <c r="BG60" s="48"/>
      <c r="BH60" s="116"/>
      <c r="BI60" s="116"/>
      <c r="BK60" s="104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</row>
    <row r="61" spans="1:80" s="5" customFormat="1" ht="15.75" x14ac:dyDescent="0.2">
      <c r="A61" s="45"/>
      <c r="C61" s="45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37"/>
      <c r="R61" s="7"/>
      <c r="AE61" s="47"/>
      <c r="AF61" s="46"/>
      <c r="AS61" s="48"/>
      <c r="BF61" s="48"/>
      <c r="BG61" s="48"/>
      <c r="BH61" s="116"/>
      <c r="BI61" s="116"/>
      <c r="BK61" s="104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</row>
    <row r="62" spans="1:80" s="5" customFormat="1" ht="15.75" x14ac:dyDescent="0.2">
      <c r="A62" s="45"/>
      <c r="C62" s="45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37"/>
      <c r="R62" s="7"/>
      <c r="AE62" s="47"/>
      <c r="AF62" s="46"/>
      <c r="AS62" s="48"/>
      <c r="BF62" s="48"/>
      <c r="BG62" s="48"/>
      <c r="BH62" s="116"/>
      <c r="BI62" s="116"/>
      <c r="BK62" s="104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</row>
    <row r="63" spans="1:80" s="5" customFormat="1" ht="15.75" x14ac:dyDescent="0.2">
      <c r="A63" s="45"/>
      <c r="C63" s="45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7"/>
      <c r="R63" s="7"/>
      <c r="AE63" s="47"/>
      <c r="AF63" s="46"/>
      <c r="AS63" s="48"/>
      <c r="BF63" s="48"/>
      <c r="BG63" s="48"/>
      <c r="BH63" s="116"/>
      <c r="BI63" s="116"/>
      <c r="BK63" s="104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</row>
    <row r="64" spans="1:80" s="5" customFormat="1" ht="15.75" x14ac:dyDescent="0.2">
      <c r="A64" s="45"/>
      <c r="C64" s="45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37"/>
      <c r="R64" s="7"/>
      <c r="AE64" s="47"/>
      <c r="AF64" s="46"/>
      <c r="AS64" s="48"/>
      <c r="BF64" s="48"/>
      <c r="BG64" s="48"/>
      <c r="BH64" s="116"/>
      <c r="BI64" s="116"/>
      <c r="BK64" s="104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</row>
    <row r="65" spans="1:80" s="5" customFormat="1" ht="15.75" x14ac:dyDescent="0.2">
      <c r="A65" s="45"/>
      <c r="C65" s="45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37"/>
      <c r="R65" s="7"/>
      <c r="AE65" s="47"/>
      <c r="AF65" s="46"/>
      <c r="AS65" s="48"/>
      <c r="BF65" s="48"/>
      <c r="BG65" s="48"/>
      <c r="BH65" s="116"/>
      <c r="BI65" s="116"/>
      <c r="BK65" s="104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</row>
    <row r="66" spans="1:80" s="5" customFormat="1" ht="15.75" x14ac:dyDescent="0.2">
      <c r="A66" s="45"/>
      <c r="C66" s="45"/>
      <c r="E66" s="313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37"/>
      <c r="R66" s="7"/>
      <c r="T66" s="314"/>
      <c r="AE66" s="47"/>
      <c r="AF66" s="46"/>
      <c r="AS66" s="48"/>
      <c r="BF66" s="48"/>
      <c r="BG66" s="48"/>
      <c r="BH66" s="116"/>
      <c r="BI66" s="116"/>
      <c r="BK66" s="104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</row>
    <row r="67" spans="1:80" s="5" customFormat="1" ht="15.75" x14ac:dyDescent="0.2">
      <c r="A67" s="45"/>
      <c r="C67" s="45"/>
      <c r="E67" s="313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37"/>
      <c r="R67" s="7"/>
      <c r="T67" s="314"/>
      <c r="AE67" s="47"/>
      <c r="AF67" s="46"/>
      <c r="AS67" s="48"/>
      <c r="BF67" s="48"/>
      <c r="BG67" s="48"/>
      <c r="BH67" s="116"/>
      <c r="BI67" s="116"/>
      <c r="BK67" s="104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</row>
    <row r="68" spans="1:80" s="5" customFormat="1" ht="15.75" x14ac:dyDescent="0.2">
      <c r="A68" s="45"/>
      <c r="C68" s="45"/>
      <c r="E68" s="313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37"/>
      <c r="R68" s="7"/>
      <c r="T68" s="314"/>
      <c r="AE68" s="47"/>
      <c r="AF68" s="46"/>
      <c r="AS68" s="48"/>
      <c r="BF68" s="48"/>
      <c r="BG68" s="48"/>
      <c r="BH68" s="116"/>
      <c r="BI68" s="116"/>
      <c r="BK68" s="104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</row>
    <row r="69" spans="1:80" s="5" customFormat="1" ht="15.75" x14ac:dyDescent="0.2">
      <c r="A69" s="45"/>
      <c r="C69" s="45"/>
      <c r="E69" s="313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37"/>
      <c r="R69" s="7"/>
      <c r="T69" s="314"/>
      <c r="AE69" s="47"/>
      <c r="AF69" s="46"/>
      <c r="AS69" s="48"/>
      <c r="BF69" s="48"/>
      <c r="BG69" s="48"/>
      <c r="BH69" s="116"/>
      <c r="BI69" s="116"/>
      <c r="BK69" s="104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</row>
    <row r="70" spans="1:80" s="5" customFormat="1" ht="15.75" x14ac:dyDescent="0.2">
      <c r="A70" s="45"/>
      <c r="C70" s="45"/>
      <c r="E70" s="313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37"/>
      <c r="R70" s="7"/>
      <c r="T70" s="314"/>
      <c r="AE70" s="47"/>
      <c r="AF70" s="46"/>
      <c r="AS70" s="48"/>
      <c r="BF70" s="48"/>
      <c r="BG70" s="48"/>
      <c r="BH70" s="116"/>
      <c r="BI70" s="116"/>
      <c r="BK70" s="104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</row>
    <row r="71" spans="1:80" s="5" customFormat="1" ht="15.75" x14ac:dyDescent="0.2">
      <c r="A71" s="45"/>
      <c r="C71" s="45"/>
      <c r="E71" s="313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37"/>
      <c r="R71" s="7"/>
      <c r="T71" s="314"/>
      <c r="AE71" s="47"/>
      <c r="AF71" s="46"/>
      <c r="AS71" s="48"/>
      <c r="BF71" s="48"/>
      <c r="BG71" s="48"/>
      <c r="BH71" s="116"/>
      <c r="BI71" s="116"/>
      <c r="BK71" s="104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</row>
    <row r="72" spans="1:80" s="5" customFormat="1" ht="15.75" x14ac:dyDescent="0.2">
      <c r="A72" s="45"/>
      <c r="C72" s="45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37"/>
      <c r="R72" s="7"/>
      <c r="AE72" s="47"/>
      <c r="AF72" s="46"/>
      <c r="AS72" s="48"/>
      <c r="BF72" s="48"/>
      <c r="BG72" s="48"/>
      <c r="BH72" s="116"/>
      <c r="BI72" s="116"/>
      <c r="BK72" s="104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</row>
    <row r="73" spans="1:80" s="5" customFormat="1" ht="15.75" x14ac:dyDescent="0.2">
      <c r="A73" s="45"/>
      <c r="C73" s="45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37"/>
      <c r="R73" s="7"/>
      <c r="AE73" s="47"/>
      <c r="AF73" s="46"/>
      <c r="AS73" s="48"/>
      <c r="BF73" s="48"/>
      <c r="BG73" s="48"/>
      <c r="BH73" s="116"/>
      <c r="BI73" s="116"/>
      <c r="BK73" s="104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</row>
    <row r="74" spans="1:80" s="5" customFormat="1" ht="15.75" x14ac:dyDescent="0.2">
      <c r="A74" s="45"/>
      <c r="C74" s="45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37"/>
      <c r="R74" s="7"/>
      <c r="AE74" s="47"/>
      <c r="AF74" s="46"/>
      <c r="AS74" s="48"/>
      <c r="BF74" s="48"/>
      <c r="BG74" s="48"/>
      <c r="BH74" s="116"/>
      <c r="BI74" s="116"/>
      <c r="BK74" s="104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</row>
    <row r="75" spans="1:80" s="5" customFormat="1" ht="15.75" x14ac:dyDescent="0.2">
      <c r="A75" s="45"/>
      <c r="C75" s="45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37"/>
      <c r="R75" s="7"/>
      <c r="AE75" s="47"/>
      <c r="AF75" s="46"/>
      <c r="AS75" s="48"/>
      <c r="BF75" s="48"/>
      <c r="BG75" s="48"/>
      <c r="BH75" s="116"/>
      <c r="BI75" s="116"/>
      <c r="BK75" s="104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</row>
    <row r="76" spans="1:80" s="5" customFormat="1" ht="15.75" x14ac:dyDescent="0.2">
      <c r="A76" s="45"/>
      <c r="C76" s="45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37"/>
      <c r="R76" s="7"/>
      <c r="AE76" s="47"/>
      <c r="AF76" s="46"/>
      <c r="AS76" s="48"/>
      <c r="BF76" s="48"/>
      <c r="BG76" s="48"/>
      <c r="BH76" s="116"/>
      <c r="BI76" s="116"/>
      <c r="BK76" s="104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</row>
    <row r="77" spans="1:80" s="5" customFormat="1" ht="15.75" x14ac:dyDescent="0.2">
      <c r="A77" s="45"/>
      <c r="C77" s="45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37"/>
      <c r="R77" s="7"/>
      <c r="AE77" s="47"/>
      <c r="AF77" s="46"/>
      <c r="AS77" s="48"/>
      <c r="BF77" s="48"/>
      <c r="BG77" s="48"/>
      <c r="BH77" s="116"/>
      <c r="BI77" s="116"/>
      <c r="BK77" s="104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</row>
    <row r="78" spans="1:80" s="5" customFormat="1" ht="15.75" x14ac:dyDescent="0.2">
      <c r="A78" s="45"/>
      <c r="C78" s="45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37"/>
      <c r="R78" s="7"/>
      <c r="AE78" s="47"/>
      <c r="AF78" s="46"/>
      <c r="AS78" s="48"/>
      <c r="BF78" s="48"/>
      <c r="BG78" s="48"/>
      <c r="BH78" s="116"/>
      <c r="BI78" s="116"/>
      <c r="BK78" s="104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</row>
    <row r="79" spans="1:80" s="5" customFormat="1" ht="15.75" x14ac:dyDescent="0.2">
      <c r="A79" s="45"/>
      <c r="C79" s="45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37"/>
      <c r="R79" s="7"/>
      <c r="AE79" s="47"/>
      <c r="AF79" s="46"/>
      <c r="AS79" s="48"/>
      <c r="BF79" s="48"/>
      <c r="BG79" s="48"/>
      <c r="BH79" s="116"/>
      <c r="BI79" s="116"/>
      <c r="BK79" s="104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</row>
    <row r="80" spans="1:80" s="5" customFormat="1" ht="15.75" x14ac:dyDescent="0.2">
      <c r="A80" s="45"/>
      <c r="C80" s="45"/>
      <c r="E80" s="313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37"/>
      <c r="R80" s="7"/>
      <c r="T80" s="314"/>
      <c r="AE80" s="47"/>
      <c r="AF80" s="46"/>
      <c r="AS80" s="48"/>
      <c r="BF80" s="48"/>
      <c r="BG80" s="48"/>
      <c r="BH80" s="116"/>
      <c r="BI80" s="116"/>
      <c r="BK80" s="104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</row>
    <row r="81" spans="1:80" s="5" customFormat="1" ht="15.75" x14ac:dyDescent="0.2">
      <c r="A81" s="45"/>
      <c r="C81" s="45"/>
      <c r="E81" s="313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37"/>
      <c r="R81" s="7"/>
      <c r="T81" s="314"/>
      <c r="AE81" s="47"/>
      <c r="AF81" s="46"/>
      <c r="AS81" s="48"/>
      <c r="BF81" s="48"/>
      <c r="BG81" s="48"/>
      <c r="BH81" s="116"/>
      <c r="BI81" s="116"/>
      <c r="BK81" s="104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</row>
    <row r="82" spans="1:80" s="5" customFormat="1" ht="15.75" x14ac:dyDescent="0.2">
      <c r="A82" s="45"/>
      <c r="C82" s="45"/>
      <c r="E82" s="313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37"/>
      <c r="R82" s="7"/>
      <c r="T82" s="314"/>
      <c r="AE82" s="47"/>
      <c r="AF82" s="46"/>
      <c r="AS82" s="48"/>
      <c r="BF82" s="48"/>
      <c r="BG82" s="48"/>
      <c r="BH82" s="116"/>
      <c r="BI82" s="116"/>
      <c r="BK82" s="104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</row>
    <row r="83" spans="1:80" s="5" customFormat="1" ht="15.75" x14ac:dyDescent="0.2">
      <c r="A83" s="45"/>
      <c r="C83" s="45"/>
      <c r="E83" s="313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37"/>
      <c r="R83" s="7"/>
      <c r="T83" s="314"/>
      <c r="AE83" s="47"/>
      <c r="AF83" s="46"/>
      <c r="AS83" s="48"/>
      <c r="BF83" s="48"/>
      <c r="BG83" s="48"/>
      <c r="BH83" s="116"/>
      <c r="BI83" s="116"/>
      <c r="BK83" s="104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</row>
    <row r="84" spans="1:80" s="5" customFormat="1" ht="15.75" x14ac:dyDescent="0.2">
      <c r="A84" s="45"/>
      <c r="C84" s="45"/>
      <c r="E84" s="313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37"/>
      <c r="R84" s="7"/>
      <c r="T84" s="314"/>
      <c r="AE84" s="47"/>
      <c r="AF84" s="46"/>
      <c r="AS84" s="48"/>
      <c r="BF84" s="48"/>
      <c r="BG84" s="48"/>
      <c r="BH84" s="116"/>
      <c r="BI84" s="116"/>
      <c r="BK84" s="104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</row>
    <row r="85" spans="1:80" s="5" customFormat="1" ht="15.75" x14ac:dyDescent="0.2">
      <c r="A85" s="45"/>
      <c r="C85" s="45"/>
      <c r="E85" s="313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37"/>
      <c r="R85" s="7"/>
      <c r="T85" s="314"/>
      <c r="AE85" s="47"/>
      <c r="AF85" s="46"/>
      <c r="AS85" s="48"/>
      <c r="BF85" s="48"/>
      <c r="BG85" s="48"/>
      <c r="BH85" s="116"/>
      <c r="BI85" s="116"/>
      <c r="BK85" s="104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</row>
    <row r="86" spans="1:80" s="5" customFormat="1" ht="15.75" x14ac:dyDescent="0.2">
      <c r="A86" s="45"/>
      <c r="C86" s="45"/>
      <c r="E86" s="313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37"/>
      <c r="R86" s="7"/>
      <c r="T86" s="314"/>
      <c r="AE86" s="47"/>
      <c r="AF86" s="46"/>
      <c r="AS86" s="48"/>
      <c r="BF86" s="48"/>
      <c r="BG86" s="48"/>
      <c r="BH86" s="116"/>
      <c r="BI86" s="116"/>
      <c r="BK86" s="104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</row>
    <row r="87" spans="1:80" s="5" customFormat="1" ht="15.75" x14ac:dyDescent="0.2">
      <c r="A87" s="45"/>
      <c r="C87" s="45"/>
      <c r="E87" s="31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37"/>
      <c r="R87" s="7"/>
      <c r="T87" s="314"/>
      <c r="AE87" s="47"/>
      <c r="AF87" s="46"/>
      <c r="AS87" s="48"/>
      <c r="BF87" s="48"/>
      <c r="BG87" s="48"/>
      <c r="BH87" s="116"/>
      <c r="BI87" s="116"/>
      <c r="BK87" s="104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</row>
    <row r="88" spans="1:80" s="5" customFormat="1" ht="15.75" x14ac:dyDescent="0.2">
      <c r="A88" s="45"/>
      <c r="C88" s="45"/>
      <c r="E88" s="31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37"/>
      <c r="R88" s="7"/>
      <c r="T88" s="314"/>
      <c r="AE88" s="47"/>
      <c r="AF88" s="46"/>
      <c r="AS88" s="48"/>
      <c r="BF88" s="48"/>
      <c r="BG88" s="48"/>
      <c r="BH88" s="116"/>
      <c r="BI88" s="116"/>
      <c r="BK88" s="104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</row>
    <row r="89" spans="1:80" s="5" customFormat="1" ht="15.75" x14ac:dyDescent="0.2">
      <c r="A89" s="45"/>
      <c r="C89" s="45"/>
      <c r="E89" s="313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37"/>
      <c r="R89" s="7"/>
      <c r="T89" s="314"/>
      <c r="AE89" s="47"/>
      <c r="AF89" s="46"/>
      <c r="AS89" s="48"/>
      <c r="BF89" s="48"/>
      <c r="BG89" s="48"/>
      <c r="BH89" s="116"/>
      <c r="BI89" s="116"/>
      <c r="BK89" s="104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</row>
    <row r="90" spans="1:80" s="5" customFormat="1" ht="15.75" x14ac:dyDescent="0.2">
      <c r="A90" s="45"/>
      <c r="C90" s="45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37"/>
      <c r="R90" s="7"/>
      <c r="AE90" s="47"/>
      <c r="AF90" s="46"/>
      <c r="AS90" s="48"/>
      <c r="BF90" s="48"/>
      <c r="BG90" s="48"/>
      <c r="BH90" s="116"/>
      <c r="BI90" s="116"/>
      <c r="BK90" s="104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</row>
    <row r="91" spans="1:80" s="5" customFormat="1" ht="15.75" x14ac:dyDescent="0.2">
      <c r="A91" s="45"/>
      <c r="C91" s="45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37"/>
      <c r="R91" s="7"/>
      <c r="AE91" s="47"/>
      <c r="AF91" s="46"/>
      <c r="AS91" s="48"/>
      <c r="BF91" s="48"/>
      <c r="BG91" s="48"/>
      <c r="BH91" s="116"/>
      <c r="BI91" s="116"/>
      <c r="BK91" s="104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</row>
    <row r="92" spans="1:80" s="5" customFormat="1" ht="15.75" x14ac:dyDescent="0.2">
      <c r="A92" s="45"/>
      <c r="C92" s="45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37"/>
      <c r="R92" s="7"/>
      <c r="AE92" s="47"/>
      <c r="AF92" s="46"/>
      <c r="AS92" s="48"/>
      <c r="BF92" s="48"/>
      <c r="BG92" s="48"/>
      <c r="BH92" s="116"/>
      <c r="BI92" s="116"/>
      <c r="BK92" s="104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</row>
    <row r="93" spans="1:80" s="5" customFormat="1" ht="15.75" x14ac:dyDescent="0.2">
      <c r="A93" s="45"/>
      <c r="C93" s="45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37"/>
      <c r="R93" s="7"/>
      <c r="AE93" s="47"/>
      <c r="AF93" s="46"/>
      <c r="AS93" s="48"/>
      <c r="BF93" s="48"/>
      <c r="BG93" s="48"/>
      <c r="BH93" s="116"/>
      <c r="BI93" s="116"/>
      <c r="BK93" s="104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</row>
    <row r="94" spans="1:80" s="5" customFormat="1" ht="15.75" x14ac:dyDescent="0.2">
      <c r="A94" s="45"/>
      <c r="C94" s="45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37"/>
      <c r="R94" s="7"/>
      <c r="AE94" s="47"/>
      <c r="AF94" s="46"/>
      <c r="AS94" s="48"/>
      <c r="BF94" s="48"/>
      <c r="BG94" s="48"/>
      <c r="BH94" s="116"/>
      <c r="BI94" s="116"/>
      <c r="BK94" s="104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</row>
    <row r="95" spans="1:80" s="5" customFormat="1" ht="15.75" x14ac:dyDescent="0.2">
      <c r="A95" s="45"/>
      <c r="C95" s="45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37"/>
      <c r="R95" s="7"/>
      <c r="AE95" s="47"/>
      <c r="AF95" s="46"/>
      <c r="AS95" s="48"/>
      <c r="BF95" s="48"/>
      <c r="BG95" s="48"/>
      <c r="BH95" s="116"/>
      <c r="BI95" s="116"/>
      <c r="BK95" s="104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</row>
    <row r="96" spans="1:80" s="5" customFormat="1" ht="15.75" x14ac:dyDescent="0.2">
      <c r="A96" s="45"/>
      <c r="C96" s="45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37"/>
      <c r="R96" s="7"/>
      <c r="AE96" s="47"/>
      <c r="AF96" s="46"/>
      <c r="AS96" s="48"/>
      <c r="BF96" s="48"/>
      <c r="BG96" s="48"/>
      <c r="BH96" s="116"/>
      <c r="BI96" s="116"/>
      <c r="BK96" s="104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</row>
    <row r="97" spans="1:80" s="5" customFormat="1" ht="15.75" x14ac:dyDescent="0.2">
      <c r="A97" s="45"/>
      <c r="C97" s="45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37"/>
      <c r="R97" s="7"/>
      <c r="AE97" s="47"/>
      <c r="AF97" s="46"/>
      <c r="AS97" s="48"/>
      <c r="BF97" s="48"/>
      <c r="BG97" s="48"/>
      <c r="BH97" s="116"/>
      <c r="BI97" s="116"/>
      <c r="BK97" s="104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</row>
    <row r="98" spans="1:80" s="5" customFormat="1" ht="15.75" x14ac:dyDescent="0.2">
      <c r="A98" s="45"/>
      <c r="C98" s="45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37"/>
      <c r="R98" s="7"/>
      <c r="AE98" s="47"/>
      <c r="AF98" s="46"/>
      <c r="AS98" s="48"/>
      <c r="BF98" s="48"/>
      <c r="BG98" s="48"/>
      <c r="BH98" s="116"/>
      <c r="BI98" s="116"/>
      <c r="BK98" s="104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</row>
    <row r="99" spans="1:80" s="5" customFormat="1" ht="15.75" x14ac:dyDescent="0.2">
      <c r="A99" s="45"/>
      <c r="C99" s="45"/>
      <c r="E99" s="313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37"/>
      <c r="R99" s="7"/>
      <c r="T99" s="314"/>
      <c r="AE99" s="47"/>
      <c r="AF99" s="46"/>
      <c r="AS99" s="48"/>
      <c r="BF99" s="48"/>
      <c r="BG99" s="48"/>
      <c r="BH99" s="116"/>
      <c r="BI99" s="116"/>
      <c r="BK99" s="104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</row>
    <row r="100" spans="1:80" s="5" customFormat="1" ht="15.75" x14ac:dyDescent="0.2">
      <c r="A100" s="45"/>
      <c r="C100" s="45"/>
      <c r="E100" s="313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37"/>
      <c r="R100" s="7"/>
      <c r="T100" s="314">
        <v>53000</v>
      </c>
      <c r="AE100" s="47"/>
      <c r="AF100" s="46"/>
      <c r="AS100" s="48"/>
      <c r="BF100" s="48"/>
      <c r="BG100" s="48"/>
      <c r="BH100" s="116"/>
      <c r="BI100" s="116"/>
      <c r="BK100" s="104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</row>
    <row r="101" spans="1:80" s="5" customFormat="1" ht="15.75" x14ac:dyDescent="0.2">
      <c r="A101" s="45"/>
      <c r="C101" s="45"/>
      <c r="E101" s="313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37"/>
      <c r="R101" s="7"/>
      <c r="T101" s="314">
        <v>85000</v>
      </c>
      <c r="AE101" s="47"/>
      <c r="AF101" s="46"/>
      <c r="AS101" s="48"/>
      <c r="BF101" s="48"/>
      <c r="BG101" s="48"/>
      <c r="BH101" s="116"/>
      <c r="BI101" s="116"/>
      <c r="BK101" s="104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</row>
    <row r="102" spans="1:80" s="5" customFormat="1" ht="15.75" x14ac:dyDescent="0.2">
      <c r="A102" s="45"/>
      <c r="C102" s="45"/>
      <c r="E102" s="313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37"/>
      <c r="R102" s="7"/>
      <c r="T102" s="314">
        <v>75000</v>
      </c>
      <c r="AE102" s="47"/>
      <c r="AF102" s="46"/>
      <c r="AS102" s="48"/>
      <c r="BF102" s="48"/>
      <c r="BG102" s="48"/>
      <c r="BH102" s="116"/>
      <c r="BI102" s="116"/>
      <c r="BK102" s="104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</row>
    <row r="103" spans="1:80" s="5" customFormat="1" ht="15.75" x14ac:dyDescent="0.2">
      <c r="A103" s="45"/>
      <c r="C103" s="45"/>
      <c r="E103" s="313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37"/>
      <c r="R103" s="7"/>
      <c r="T103" s="314"/>
      <c r="AE103" s="47"/>
      <c r="AF103" s="46"/>
      <c r="AS103" s="48"/>
      <c r="BF103" s="48"/>
      <c r="BG103" s="48"/>
      <c r="BH103" s="116"/>
      <c r="BI103" s="116"/>
      <c r="BK103" s="104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</row>
    <row r="104" spans="1:80" s="5" customFormat="1" ht="15.75" x14ac:dyDescent="0.2">
      <c r="A104" s="45"/>
      <c r="C104" s="45"/>
      <c r="E104" s="313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37"/>
      <c r="R104" s="7"/>
      <c r="T104" s="314"/>
      <c r="AE104" s="47"/>
      <c r="AF104" s="46"/>
      <c r="AS104" s="48"/>
      <c r="BF104" s="48"/>
      <c r="BG104" s="48"/>
      <c r="BH104" s="116"/>
      <c r="BI104" s="116"/>
      <c r="BK104" s="104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</row>
    <row r="105" spans="1:80" s="5" customFormat="1" ht="15.75" x14ac:dyDescent="0.2">
      <c r="A105" s="45"/>
      <c r="C105" s="45"/>
      <c r="E105" s="313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37"/>
      <c r="R105" s="7"/>
      <c r="T105" s="314"/>
      <c r="AE105" s="47"/>
      <c r="AF105" s="46"/>
      <c r="AS105" s="48"/>
      <c r="BF105" s="48"/>
      <c r="BG105" s="48"/>
      <c r="BH105" s="116"/>
      <c r="BI105" s="116"/>
      <c r="BK105" s="104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</row>
    <row r="106" spans="1:80" s="5" customFormat="1" ht="15.75" x14ac:dyDescent="0.2">
      <c r="A106" s="45"/>
      <c r="C106" s="45"/>
      <c r="E106" s="313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37"/>
      <c r="R106" s="7"/>
      <c r="T106" s="314"/>
      <c r="AE106" s="47"/>
      <c r="AF106" s="46"/>
      <c r="AS106" s="48"/>
      <c r="BF106" s="48"/>
      <c r="BG106" s="48"/>
      <c r="BH106" s="116"/>
      <c r="BI106" s="116"/>
      <c r="BK106" s="104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</row>
    <row r="107" spans="1:80" s="5" customFormat="1" ht="15.75" x14ac:dyDescent="0.2">
      <c r="A107" s="45"/>
      <c r="C107" s="45"/>
      <c r="E107" s="313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37"/>
      <c r="R107" s="7"/>
      <c r="T107" s="314"/>
      <c r="AE107" s="47"/>
      <c r="AF107" s="46"/>
      <c r="AS107" s="48"/>
      <c r="BF107" s="48"/>
      <c r="BG107" s="48"/>
      <c r="BH107" s="116"/>
      <c r="BI107" s="116"/>
      <c r="BK107" s="104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</row>
    <row r="108" spans="1:80" s="5" customFormat="1" ht="15.75" x14ac:dyDescent="0.2">
      <c r="A108" s="45"/>
      <c r="C108" s="45"/>
      <c r="E108" s="31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37"/>
      <c r="R108" s="7"/>
      <c r="T108" s="314"/>
      <c r="AE108" s="47"/>
      <c r="AF108" s="46"/>
      <c r="AS108" s="48"/>
      <c r="BF108" s="48"/>
      <c r="BG108" s="48"/>
      <c r="BH108" s="116"/>
      <c r="BI108" s="116"/>
      <c r="BK108" s="104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</row>
    <row r="109" spans="1:80" s="5" customFormat="1" ht="15.75" x14ac:dyDescent="0.2">
      <c r="A109" s="45"/>
      <c r="C109" s="45"/>
      <c r="E109" s="313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37"/>
      <c r="R109" s="7"/>
      <c r="T109" s="314"/>
      <c r="AE109" s="47"/>
      <c r="AF109" s="46"/>
      <c r="AS109" s="48"/>
      <c r="BF109" s="48"/>
      <c r="BG109" s="48"/>
      <c r="BH109" s="116"/>
      <c r="BI109" s="116"/>
      <c r="BK109" s="104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</row>
    <row r="110" spans="1:80" s="5" customFormat="1" ht="15.75" x14ac:dyDescent="0.2">
      <c r="A110" s="45"/>
      <c r="C110" s="45"/>
      <c r="E110" s="31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37"/>
      <c r="R110" s="7"/>
      <c r="T110" s="314"/>
      <c r="AE110" s="47"/>
      <c r="AF110" s="46"/>
      <c r="AS110" s="48"/>
      <c r="BF110" s="48"/>
      <c r="BG110" s="48"/>
      <c r="BH110" s="116"/>
      <c r="BI110" s="116"/>
      <c r="BK110" s="104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</row>
    <row r="111" spans="1:80" s="5" customFormat="1" ht="15.75" x14ac:dyDescent="0.2">
      <c r="A111" s="45"/>
      <c r="C111" s="45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37"/>
      <c r="R111" s="7"/>
      <c r="AE111" s="47"/>
      <c r="AF111" s="46"/>
      <c r="AS111" s="48"/>
      <c r="BF111" s="48"/>
      <c r="BG111" s="48"/>
      <c r="BH111" s="116"/>
      <c r="BI111" s="116"/>
      <c r="BK111" s="104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</row>
    <row r="112" spans="1:80" s="5" customFormat="1" ht="15.75" x14ac:dyDescent="0.2">
      <c r="A112" s="45"/>
      <c r="C112" s="45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37"/>
      <c r="R112" s="7"/>
      <c r="AE112" s="47"/>
      <c r="AF112" s="46"/>
      <c r="AS112" s="48"/>
      <c r="BF112" s="48"/>
      <c r="BG112" s="48"/>
      <c r="BH112" s="116"/>
      <c r="BI112" s="116"/>
      <c r="BK112" s="104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</row>
    <row r="113" spans="1:80" s="5" customFormat="1" ht="15.75" x14ac:dyDescent="0.2">
      <c r="A113" s="45"/>
      <c r="C113" s="45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37"/>
      <c r="R113" s="7"/>
      <c r="AE113" s="47"/>
      <c r="AF113" s="46"/>
      <c r="AS113" s="48"/>
      <c r="BF113" s="48"/>
      <c r="BG113" s="48"/>
      <c r="BH113" s="116"/>
      <c r="BI113" s="116"/>
      <c r="BK113" s="104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</row>
    <row r="114" spans="1:80" s="5" customFormat="1" ht="15.75" x14ac:dyDescent="0.2">
      <c r="A114" s="45"/>
      <c r="C114" s="45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37"/>
      <c r="R114" s="7"/>
      <c r="AE114" s="47"/>
      <c r="AF114" s="46"/>
      <c r="AG114" s="162"/>
      <c r="AS114" s="48"/>
      <c r="BF114" s="48"/>
      <c r="BG114" s="48"/>
      <c r="BH114" s="116"/>
      <c r="BI114" s="116"/>
      <c r="BK114" s="104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</row>
    <row r="115" spans="1:80" s="5" customFormat="1" ht="15.75" x14ac:dyDescent="0.2">
      <c r="A115" s="45"/>
      <c r="C115" s="45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37"/>
      <c r="R115" s="7"/>
      <c r="AE115" s="47"/>
      <c r="AF115" s="46"/>
      <c r="AS115" s="48"/>
      <c r="BF115" s="48"/>
      <c r="BG115" s="48"/>
      <c r="BH115" s="116"/>
      <c r="BI115" s="116"/>
      <c r="BK115" s="104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</row>
    <row r="116" spans="1:80" s="5" customFormat="1" ht="15.75" x14ac:dyDescent="0.2">
      <c r="A116" s="45"/>
      <c r="C116" s="45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37"/>
      <c r="R116" s="7"/>
      <c r="AE116" s="47"/>
      <c r="AF116" s="46"/>
      <c r="AS116" s="48"/>
      <c r="BF116" s="48"/>
      <c r="BG116" s="48"/>
      <c r="BH116" s="116"/>
      <c r="BI116" s="116"/>
      <c r="BK116" s="104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</row>
    <row r="117" spans="1:80" s="5" customFormat="1" ht="15.75" x14ac:dyDescent="0.2">
      <c r="A117" s="45"/>
      <c r="C117" s="45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37"/>
      <c r="R117" s="7"/>
      <c r="AE117" s="47"/>
      <c r="AF117" s="46"/>
      <c r="AS117" s="48"/>
      <c r="BF117" s="48"/>
      <c r="BG117" s="48"/>
      <c r="BH117" s="116"/>
      <c r="BI117" s="116"/>
      <c r="BK117" s="104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</row>
    <row r="118" spans="1:80" s="5" customFormat="1" ht="15.75" x14ac:dyDescent="0.2">
      <c r="A118" s="45"/>
      <c r="C118" s="45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37"/>
      <c r="R118" s="7"/>
      <c r="AE118" s="47"/>
      <c r="AF118" s="46"/>
      <c r="AS118" s="48"/>
      <c r="BF118" s="48"/>
      <c r="BG118" s="48"/>
      <c r="BH118" s="116"/>
      <c r="BI118" s="116"/>
      <c r="BK118" s="104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</row>
    <row r="119" spans="1:80" s="5" customFormat="1" ht="15.75" x14ac:dyDescent="0.2">
      <c r="A119" s="45"/>
      <c r="C119" s="45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37"/>
      <c r="R119" s="7"/>
      <c r="AE119" s="47"/>
      <c r="AF119" s="46"/>
      <c r="AS119" s="48"/>
      <c r="BF119" s="48"/>
      <c r="BG119" s="48"/>
      <c r="BH119" s="116"/>
      <c r="BI119" s="116"/>
      <c r="BK119" s="104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</row>
    <row r="120" spans="1:80" s="5" customFormat="1" ht="15.75" x14ac:dyDescent="0.2">
      <c r="A120" s="45"/>
      <c r="C120" s="45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37"/>
      <c r="R120" s="7"/>
      <c r="AE120" s="47"/>
      <c r="AF120" s="46"/>
      <c r="AS120" s="48"/>
      <c r="BF120" s="48"/>
      <c r="BG120" s="48"/>
      <c r="BH120" s="116"/>
      <c r="BI120" s="116"/>
      <c r="BK120" s="104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</row>
    <row r="121" spans="1:80" s="5" customFormat="1" ht="15.75" x14ac:dyDescent="0.2">
      <c r="A121" s="45"/>
      <c r="C121" s="45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37"/>
      <c r="R121" s="7"/>
      <c r="AE121" s="47"/>
      <c r="AF121" s="46"/>
      <c r="AS121" s="48"/>
      <c r="BF121" s="48"/>
      <c r="BG121" s="48"/>
      <c r="BH121" s="116"/>
      <c r="BI121" s="116"/>
      <c r="BK121" s="104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</row>
    <row r="122" spans="1:80" s="5" customFormat="1" ht="15.75" x14ac:dyDescent="0.2">
      <c r="A122" s="45"/>
      <c r="C122" s="45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37"/>
      <c r="R122" s="7"/>
      <c r="AE122" s="47"/>
      <c r="AF122" s="46"/>
      <c r="AS122" s="48"/>
      <c r="BF122" s="48"/>
      <c r="BG122" s="48"/>
      <c r="BH122" s="116"/>
      <c r="BI122" s="116"/>
      <c r="BK122" s="104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</row>
    <row r="123" spans="1:80" s="5" customFormat="1" ht="15.75" x14ac:dyDescent="0.2">
      <c r="A123" s="45"/>
      <c r="C123" s="45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37"/>
      <c r="R123" s="7"/>
      <c r="AE123" s="47"/>
      <c r="AF123" s="46"/>
      <c r="AS123" s="48"/>
      <c r="BF123" s="48"/>
      <c r="BG123" s="48"/>
      <c r="BH123" s="116"/>
      <c r="BI123" s="116"/>
      <c r="BK123" s="104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</row>
    <row r="124" spans="1:80" s="5" customFormat="1" ht="15.75" x14ac:dyDescent="0.2">
      <c r="A124" s="45"/>
      <c r="C124" s="45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37"/>
      <c r="R124" s="7"/>
      <c r="AE124" s="47"/>
      <c r="AF124" s="46"/>
      <c r="AS124" s="48"/>
      <c r="BF124" s="48"/>
      <c r="BG124" s="48"/>
      <c r="BH124" s="116"/>
      <c r="BI124" s="116"/>
      <c r="BK124" s="104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</row>
    <row r="125" spans="1:80" s="5" customFormat="1" ht="15.75" x14ac:dyDescent="0.2">
      <c r="A125" s="45"/>
      <c r="C125" s="45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37"/>
      <c r="R125" s="7"/>
      <c r="AE125" s="47"/>
      <c r="AF125" s="46"/>
      <c r="AS125" s="48"/>
      <c r="BF125" s="48"/>
      <c r="BG125" s="48"/>
      <c r="BH125" s="116"/>
      <c r="BI125" s="116"/>
      <c r="BK125" s="104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</row>
    <row r="126" spans="1:80" s="5" customFormat="1" ht="15.75" x14ac:dyDescent="0.2">
      <c r="A126" s="45"/>
      <c r="C126" s="45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37"/>
      <c r="R126" s="7"/>
      <c r="AE126" s="47"/>
      <c r="AF126" s="46"/>
      <c r="AS126" s="48"/>
      <c r="BF126" s="48"/>
      <c r="BG126" s="48"/>
      <c r="BH126" s="116"/>
      <c r="BI126" s="116"/>
      <c r="BK126" s="104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</row>
    <row r="127" spans="1:80" s="5" customFormat="1" ht="15.75" x14ac:dyDescent="0.2">
      <c r="A127" s="45"/>
      <c r="C127" s="45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37"/>
      <c r="R127" s="7"/>
      <c r="AE127" s="47"/>
      <c r="AF127" s="46"/>
      <c r="AS127" s="48"/>
      <c r="BF127" s="48"/>
      <c r="BG127" s="48"/>
      <c r="BH127" s="116"/>
      <c r="BI127" s="116"/>
      <c r="BK127" s="104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</row>
    <row r="128" spans="1:80" s="5" customFormat="1" ht="15.75" x14ac:dyDescent="0.2">
      <c r="A128" s="45"/>
      <c r="C128" s="45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37"/>
      <c r="R128" s="7"/>
      <c r="AE128" s="47"/>
      <c r="AF128" s="46"/>
      <c r="AS128" s="48"/>
      <c r="BF128" s="48"/>
      <c r="BG128" s="48"/>
      <c r="BH128" s="116"/>
      <c r="BI128" s="116"/>
      <c r="BK128" s="104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</row>
    <row r="129" spans="1:80" s="5" customFormat="1" ht="15.75" x14ac:dyDescent="0.2">
      <c r="A129" s="45"/>
      <c r="C129" s="45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37"/>
      <c r="R129" s="7"/>
      <c r="AE129" s="47"/>
      <c r="AF129" s="46"/>
      <c r="AS129" s="48"/>
      <c r="BF129" s="48"/>
      <c r="BG129" s="48"/>
      <c r="BH129" s="116"/>
      <c r="BI129" s="116"/>
      <c r="BK129" s="104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</row>
    <row r="130" spans="1:80" s="5" customFormat="1" ht="15.75" x14ac:dyDescent="0.2">
      <c r="A130" s="45"/>
      <c r="C130" s="45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37"/>
      <c r="R130" s="7"/>
      <c r="AE130" s="47"/>
      <c r="AF130" s="46"/>
      <c r="AS130" s="48"/>
      <c r="BF130" s="48"/>
      <c r="BG130" s="48"/>
      <c r="BH130" s="116"/>
      <c r="BI130" s="116"/>
      <c r="BK130" s="104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</row>
    <row r="131" spans="1:80" s="5" customFormat="1" ht="15.75" x14ac:dyDescent="0.2">
      <c r="A131" s="45"/>
      <c r="C131" s="45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37"/>
      <c r="R131" s="7"/>
      <c r="AE131" s="47"/>
      <c r="AF131" s="46"/>
      <c r="AS131" s="48"/>
      <c r="BF131" s="48"/>
      <c r="BG131" s="48"/>
      <c r="BH131" s="116"/>
      <c r="BI131" s="116"/>
      <c r="BK131" s="104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</row>
    <row r="132" spans="1:80" s="5" customFormat="1" ht="15.75" x14ac:dyDescent="0.2">
      <c r="A132" s="45"/>
      <c r="C132" s="45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37"/>
      <c r="R132" s="7"/>
      <c r="AE132" s="47"/>
      <c r="AF132" s="46"/>
      <c r="AS132" s="48"/>
      <c r="BF132" s="48"/>
      <c r="BG132" s="48"/>
      <c r="BH132" s="116"/>
      <c r="BI132" s="116"/>
      <c r="BK132" s="104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</row>
    <row r="133" spans="1:80" s="5" customFormat="1" ht="15.75" x14ac:dyDescent="0.2">
      <c r="A133" s="45"/>
      <c r="C133" s="45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37"/>
      <c r="R133" s="7"/>
      <c r="AE133" s="47"/>
      <c r="AF133" s="46"/>
      <c r="AS133" s="48"/>
      <c r="BF133" s="48"/>
      <c r="BG133" s="48"/>
      <c r="BH133" s="116"/>
      <c r="BI133" s="116"/>
      <c r="BK133" s="104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</row>
    <row r="134" spans="1:80" s="5" customFormat="1" ht="15.75" x14ac:dyDescent="0.2">
      <c r="A134" s="45"/>
      <c r="C134" s="45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37"/>
      <c r="R134" s="7"/>
      <c r="AE134" s="47"/>
      <c r="AF134" s="46"/>
      <c r="AS134" s="48"/>
      <c r="BF134" s="48"/>
      <c r="BG134" s="48"/>
      <c r="BH134" s="116"/>
      <c r="BI134" s="116"/>
      <c r="BK134" s="104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</row>
    <row r="135" spans="1:80" s="5" customFormat="1" ht="15.75" x14ac:dyDescent="0.2">
      <c r="A135" s="45"/>
      <c r="C135" s="45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37"/>
      <c r="R135" s="7"/>
      <c r="AE135" s="47"/>
      <c r="AF135" s="46"/>
      <c r="AS135" s="48"/>
      <c r="BF135" s="48"/>
      <c r="BG135" s="48"/>
      <c r="BH135" s="116"/>
      <c r="BI135" s="116"/>
      <c r="BK135" s="104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</row>
    <row r="136" spans="1:80" s="5" customFormat="1" ht="15.75" x14ac:dyDescent="0.2">
      <c r="A136" s="45"/>
      <c r="C136" s="45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37"/>
      <c r="R136" s="7"/>
      <c r="AE136" s="47"/>
      <c r="AF136" s="46"/>
      <c r="AS136" s="48"/>
      <c r="BF136" s="48"/>
      <c r="BG136" s="48"/>
      <c r="BH136" s="116"/>
      <c r="BI136" s="116"/>
      <c r="BK136" s="104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</row>
    <row r="137" spans="1:80" s="5" customFormat="1" ht="15.75" x14ac:dyDescent="0.2">
      <c r="A137" s="45"/>
      <c r="C137" s="45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37"/>
      <c r="R137" s="7"/>
      <c r="AE137" s="47"/>
      <c r="AF137" s="46"/>
      <c r="AS137" s="48"/>
      <c r="BF137" s="48"/>
      <c r="BG137" s="48"/>
      <c r="BH137" s="116"/>
      <c r="BI137" s="116"/>
      <c r="BK137" s="104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</row>
    <row r="138" spans="1:80" s="5" customFormat="1" ht="15.75" x14ac:dyDescent="0.2">
      <c r="A138" s="45"/>
      <c r="C138" s="45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37"/>
      <c r="R138" s="7"/>
      <c r="AE138" s="47"/>
      <c r="AF138" s="46"/>
      <c r="AS138" s="48"/>
      <c r="BF138" s="48"/>
      <c r="BG138" s="48"/>
      <c r="BH138" s="116"/>
      <c r="BI138" s="116"/>
      <c r="BK138" s="104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</row>
    <row r="139" spans="1:80" s="5" customFormat="1" ht="15.75" x14ac:dyDescent="0.2">
      <c r="A139" s="45"/>
      <c r="C139" s="45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37"/>
      <c r="R139" s="7"/>
      <c r="AE139" s="47"/>
      <c r="AF139" s="46"/>
      <c r="AS139" s="48"/>
      <c r="BF139" s="48"/>
      <c r="BG139" s="48"/>
      <c r="BH139" s="116"/>
      <c r="BI139" s="116"/>
      <c r="BK139" s="104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</row>
    <row r="140" spans="1:80" s="5" customFormat="1" ht="15.75" x14ac:dyDescent="0.2">
      <c r="A140" s="45"/>
      <c r="C140" s="45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37"/>
      <c r="R140" s="7"/>
      <c r="AE140" s="47"/>
      <c r="AF140" s="46"/>
      <c r="AS140" s="48"/>
      <c r="BF140" s="48"/>
      <c r="BG140" s="48"/>
      <c r="BH140" s="116"/>
      <c r="BI140" s="116"/>
      <c r="BK140" s="104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</row>
    <row r="141" spans="1:80" s="5" customFormat="1" ht="15.75" x14ac:dyDescent="0.2">
      <c r="A141" s="45"/>
      <c r="C141" s="45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37"/>
      <c r="R141" s="7"/>
      <c r="AE141" s="47"/>
      <c r="AF141" s="46"/>
      <c r="AS141" s="48"/>
      <c r="BF141" s="48"/>
      <c r="BG141" s="48"/>
      <c r="BH141" s="116"/>
      <c r="BI141" s="116"/>
      <c r="BK141" s="104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</row>
    <row r="142" spans="1:80" s="5" customFormat="1" ht="15.75" x14ac:dyDescent="0.2">
      <c r="A142" s="45"/>
      <c r="C142" s="45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37"/>
      <c r="R142" s="7"/>
      <c r="AE142" s="47"/>
      <c r="AF142" s="46"/>
      <c r="AS142" s="48"/>
      <c r="BF142" s="48"/>
      <c r="BG142" s="48"/>
      <c r="BH142" s="116"/>
      <c r="BI142" s="116"/>
      <c r="BK142" s="104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</row>
  </sheetData>
  <mergeCells count="69">
    <mergeCell ref="BH10:BH12"/>
    <mergeCell ref="BI10:BI12"/>
    <mergeCell ref="D11:D12"/>
    <mergeCell ref="E11:Q11"/>
    <mergeCell ref="S11:S12"/>
    <mergeCell ref="T11:AE11"/>
    <mergeCell ref="AF11:AF12"/>
    <mergeCell ref="AG11:AS11"/>
    <mergeCell ref="AT10:BF11"/>
    <mergeCell ref="D10:Q10"/>
    <mergeCell ref="R10:R12"/>
    <mergeCell ref="S10:AE10"/>
    <mergeCell ref="AF10:AS10"/>
    <mergeCell ref="A9:B9"/>
    <mergeCell ref="A10:A12"/>
    <mergeCell ref="B10:B12"/>
    <mergeCell ref="C10:C12"/>
    <mergeCell ref="BG2:BG4"/>
    <mergeCell ref="BG10:BG12"/>
    <mergeCell ref="BH2:BH4"/>
    <mergeCell ref="BI2:BI4"/>
    <mergeCell ref="D3:D4"/>
    <mergeCell ref="E3:Q3"/>
    <mergeCell ref="S3:S4"/>
    <mergeCell ref="T3:AE3"/>
    <mergeCell ref="AF3:AF4"/>
    <mergeCell ref="AG3:AS3"/>
    <mergeCell ref="D2:Q2"/>
    <mergeCell ref="R2:R4"/>
    <mergeCell ref="S2:AE2"/>
    <mergeCell ref="AF2:AS2"/>
    <mergeCell ref="A1:B1"/>
    <mergeCell ref="AT2:BF3"/>
    <mergeCell ref="A2:A4"/>
    <mergeCell ref="B2:B4"/>
    <mergeCell ref="C2:C4"/>
    <mergeCell ref="BP2:CO2"/>
    <mergeCell ref="BL3:BN3"/>
    <mergeCell ref="BP3:CB3"/>
    <mergeCell ref="CC3:CO3"/>
    <mergeCell ref="BL4:BN4"/>
    <mergeCell ref="BP10:CO10"/>
    <mergeCell ref="BL11:BN11"/>
    <mergeCell ref="BP11:CB11"/>
    <mergeCell ref="CC11:CO11"/>
    <mergeCell ref="BL12:BN12"/>
    <mergeCell ref="AT19:BF20"/>
    <mergeCell ref="BG19:BG21"/>
    <mergeCell ref="A18:B18"/>
    <mergeCell ref="A19:A21"/>
    <mergeCell ref="B19:B21"/>
    <mergeCell ref="C19:C21"/>
    <mergeCell ref="D19:Q19"/>
    <mergeCell ref="BH19:BH21"/>
    <mergeCell ref="BI19:BI21"/>
    <mergeCell ref="BP19:CO19"/>
    <mergeCell ref="D20:D21"/>
    <mergeCell ref="E20:Q20"/>
    <mergeCell ref="S20:S21"/>
    <mergeCell ref="T20:AE20"/>
    <mergeCell ref="AF20:AF21"/>
    <mergeCell ref="AG20:AS20"/>
    <mergeCell ref="BL20:BN20"/>
    <mergeCell ref="BP20:CB20"/>
    <mergeCell ref="CC20:CO20"/>
    <mergeCell ref="BL21:BN21"/>
    <mergeCell ref="R19:R21"/>
    <mergeCell ref="S19:AE19"/>
    <mergeCell ref="AF19:AS19"/>
  </mergeCells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DN293"/>
  <sheetViews>
    <sheetView topLeftCell="A49" zoomScale="75" zoomScaleNormal="75" workbookViewId="0">
      <selection activeCell="BG51" sqref="BG51"/>
    </sheetView>
  </sheetViews>
  <sheetFormatPr defaultRowHeight="15" x14ac:dyDescent="0.2"/>
  <cols>
    <col min="1" max="1" width="7.5" style="9" customWidth="1"/>
    <col min="2" max="2" width="56.5" style="8" customWidth="1"/>
    <col min="3" max="3" width="8.83203125" style="9" customWidth="1"/>
    <col min="4" max="4" width="10.83203125" style="149" customWidth="1"/>
    <col min="5" max="21" width="11.6640625" style="4" customWidth="1"/>
    <col min="22" max="22" width="11.6640625" style="14" customWidth="1"/>
    <col min="23" max="23" width="14.33203125" style="102" customWidth="1"/>
    <col min="24" max="24" width="17.83203125" style="301" bestFit="1" customWidth="1"/>
    <col min="25" max="40" width="16" customWidth="1"/>
    <col min="41" max="41" width="16" style="2" customWidth="1"/>
    <col min="42" max="42" width="18.83203125" style="10" customWidth="1"/>
    <col min="43" max="43" width="18.6640625" customWidth="1"/>
    <col min="44" max="44" width="17.83203125" customWidth="1"/>
    <col min="45" max="59" width="16" customWidth="1"/>
    <col min="60" max="60" width="19.33203125" style="12" customWidth="1"/>
    <col min="61" max="62" width="16" customWidth="1"/>
    <col min="63" max="63" width="19.5" customWidth="1"/>
    <col min="64" max="77" width="16" customWidth="1"/>
    <col min="78" max="78" width="20.1640625" style="12" customWidth="1"/>
    <col min="79" max="79" width="17.5" style="12" customWidth="1"/>
    <col min="80" max="81" width="22.1640625" style="13" customWidth="1"/>
    <col min="82" max="82" width="16.33203125" bestFit="1" customWidth="1"/>
    <col min="83" max="83" width="18.33203125" style="108" customWidth="1"/>
    <col min="84" max="84" width="15.83203125" style="3" customWidth="1"/>
    <col min="85" max="87" width="14.1640625" style="3" customWidth="1"/>
    <col min="88" max="88" width="16.6640625" style="3" bestFit="1" customWidth="1"/>
    <col min="89" max="100" width="9.33203125" style="3"/>
    <col min="101" max="101" width="28.5" bestFit="1" customWidth="1"/>
  </cols>
  <sheetData>
    <row r="2" spans="1:118" s="16" customFormat="1" ht="24.75" customHeight="1" x14ac:dyDescent="0.2">
      <c r="A2" s="811" t="s">
        <v>7</v>
      </c>
      <c r="B2" s="812"/>
      <c r="C2" s="83" t="s">
        <v>87</v>
      </c>
      <c r="D2" s="85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6"/>
      <c r="AP2" s="17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7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7"/>
      <c r="CA2" s="87"/>
      <c r="CB2" s="84"/>
      <c r="CC2" s="88"/>
      <c r="CD2" s="17"/>
      <c r="CE2" s="103"/>
      <c r="CF2" s="85"/>
      <c r="CG2" s="85"/>
      <c r="CH2" s="85"/>
      <c r="CI2" s="85"/>
      <c r="CJ2" s="86"/>
      <c r="CK2" s="85"/>
      <c r="CL2" s="85"/>
      <c r="CM2" s="85"/>
      <c r="CN2" s="85"/>
      <c r="CO2" s="85"/>
      <c r="CP2" s="87"/>
      <c r="CQ2" s="87"/>
      <c r="CR2" s="87"/>
      <c r="CS2" s="84"/>
      <c r="CT2" s="88"/>
      <c r="CU2" s="87"/>
      <c r="CV2" s="87"/>
      <c r="CW2" s="18"/>
      <c r="CX2" s="18"/>
      <c r="CY2" s="18"/>
      <c r="CZ2" s="18"/>
      <c r="DA2" s="18"/>
      <c r="DB2" s="89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</row>
    <row r="3" spans="1:118" s="7" customFormat="1" ht="48.75" customHeight="1" x14ac:dyDescent="0.2">
      <c r="A3" s="813" t="s">
        <v>8</v>
      </c>
      <c r="B3" s="787" t="s">
        <v>9</v>
      </c>
      <c r="C3" s="787" t="s">
        <v>22</v>
      </c>
      <c r="D3" s="806" t="s">
        <v>10</v>
      </c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6"/>
      <c r="U3" s="806"/>
      <c r="V3" s="806"/>
      <c r="W3" s="787" t="s">
        <v>20</v>
      </c>
      <c r="X3" s="807" t="s">
        <v>17</v>
      </c>
      <c r="Y3" s="808"/>
      <c r="Z3" s="808"/>
      <c r="AA3" s="808"/>
      <c r="AB3" s="808"/>
      <c r="AC3" s="808"/>
      <c r="AD3" s="808"/>
      <c r="AE3" s="808"/>
      <c r="AF3" s="808"/>
      <c r="AG3" s="808"/>
      <c r="AH3" s="808"/>
      <c r="AI3" s="808"/>
      <c r="AJ3" s="808"/>
      <c r="AK3" s="808"/>
      <c r="AL3" s="808"/>
      <c r="AM3" s="808"/>
      <c r="AN3" s="808"/>
      <c r="AO3" s="809"/>
      <c r="AP3" s="810" t="s">
        <v>5</v>
      </c>
      <c r="AQ3" s="810"/>
      <c r="AR3" s="810"/>
      <c r="AS3" s="810"/>
      <c r="AT3" s="810"/>
      <c r="AU3" s="810"/>
      <c r="AV3" s="810"/>
      <c r="AW3" s="810"/>
      <c r="AX3" s="810"/>
      <c r="AY3" s="810"/>
      <c r="AZ3" s="810"/>
      <c r="BA3" s="810"/>
      <c r="BB3" s="810"/>
      <c r="BC3" s="810"/>
      <c r="BD3" s="810"/>
      <c r="BE3" s="810"/>
      <c r="BF3" s="810"/>
      <c r="BG3" s="810"/>
      <c r="BH3" s="810"/>
      <c r="BI3" s="800" t="s">
        <v>32</v>
      </c>
      <c r="BJ3" s="801"/>
      <c r="BK3" s="801"/>
      <c r="BL3" s="801"/>
      <c r="BM3" s="801"/>
      <c r="BN3" s="801"/>
      <c r="BO3" s="801"/>
      <c r="BP3" s="801"/>
      <c r="BQ3" s="801"/>
      <c r="BR3" s="801"/>
      <c r="BS3" s="801"/>
      <c r="BT3" s="801"/>
      <c r="BU3" s="801"/>
      <c r="BV3" s="801"/>
      <c r="BW3" s="801"/>
      <c r="BX3" s="801"/>
      <c r="BY3" s="801"/>
      <c r="BZ3" s="802"/>
      <c r="CA3" s="787" t="s">
        <v>29</v>
      </c>
      <c r="CB3" s="787" t="s">
        <v>57</v>
      </c>
      <c r="CC3" s="790" t="s">
        <v>30</v>
      </c>
      <c r="CD3" s="84"/>
      <c r="CE3" s="17"/>
      <c r="CF3" s="84"/>
      <c r="CG3" s="84"/>
      <c r="CH3" s="84"/>
      <c r="CI3" s="84"/>
      <c r="CJ3" s="774" t="s">
        <v>32</v>
      </c>
      <c r="CK3" s="775"/>
      <c r="CL3" s="775"/>
      <c r="CM3" s="775"/>
      <c r="CN3" s="775"/>
      <c r="CO3" s="775"/>
      <c r="CP3" s="775"/>
      <c r="CQ3" s="775"/>
      <c r="CR3" s="775"/>
      <c r="CS3" s="775"/>
      <c r="CT3" s="775"/>
      <c r="CU3" s="775"/>
      <c r="CV3" s="775"/>
      <c r="CW3" s="775"/>
      <c r="CX3" s="775"/>
      <c r="CY3" s="775"/>
      <c r="CZ3" s="775"/>
      <c r="DA3" s="775"/>
      <c r="DB3" s="775"/>
      <c r="DC3" s="775"/>
      <c r="DD3" s="775"/>
      <c r="DE3" s="775"/>
      <c r="DF3" s="775"/>
      <c r="DG3" s="775"/>
      <c r="DH3" s="775"/>
      <c r="DI3" s="776"/>
    </row>
    <row r="4" spans="1:118" s="7" customFormat="1" ht="48.75" customHeight="1" x14ac:dyDescent="0.2">
      <c r="A4" s="814"/>
      <c r="B4" s="788"/>
      <c r="C4" s="788"/>
      <c r="D4" s="864" t="s">
        <v>18</v>
      </c>
      <c r="E4" s="795" t="s">
        <v>19</v>
      </c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88"/>
      <c r="X4" s="797" t="s">
        <v>18</v>
      </c>
      <c r="Y4" s="795" t="s">
        <v>19</v>
      </c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9"/>
      <c r="AP4" s="797" t="s">
        <v>18</v>
      </c>
      <c r="AQ4" s="795" t="s">
        <v>19</v>
      </c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9"/>
      <c r="BI4" s="803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05"/>
      <c r="CA4" s="788"/>
      <c r="CB4" s="788"/>
      <c r="CC4" s="791"/>
      <c r="CD4" s="84"/>
      <c r="CE4" s="17"/>
      <c r="CF4" s="777">
        <f>SUM(CF6/60)</f>
        <v>5287.333333333333</v>
      </c>
      <c r="CG4" s="777"/>
      <c r="CH4" s="777"/>
      <c r="CI4" s="17"/>
      <c r="CJ4" s="778" t="s">
        <v>230</v>
      </c>
      <c r="CK4" s="779"/>
      <c r="CL4" s="779"/>
      <c r="CM4" s="779"/>
      <c r="CN4" s="779"/>
      <c r="CO4" s="779"/>
      <c r="CP4" s="779"/>
      <c r="CQ4" s="779"/>
      <c r="CR4" s="779"/>
      <c r="CS4" s="779"/>
      <c r="CT4" s="779"/>
      <c r="CU4" s="779"/>
      <c r="CV4" s="780"/>
      <c r="CW4" s="781" t="s">
        <v>231</v>
      </c>
      <c r="CX4" s="782"/>
      <c r="CY4" s="782"/>
      <c r="CZ4" s="782"/>
      <c r="DA4" s="782"/>
      <c r="DB4" s="782"/>
      <c r="DC4" s="782"/>
      <c r="DD4" s="782"/>
      <c r="DE4" s="782"/>
      <c r="DF4" s="782"/>
      <c r="DG4" s="782"/>
      <c r="DH4" s="782"/>
      <c r="DI4" s="783"/>
    </row>
    <row r="5" spans="1:118" s="5" customFormat="1" ht="28.5" customHeight="1" x14ac:dyDescent="0.2">
      <c r="A5" s="815"/>
      <c r="B5" s="789"/>
      <c r="C5" s="789"/>
      <c r="D5" s="865"/>
      <c r="E5" s="20">
        <v>1</v>
      </c>
      <c r="F5" s="20">
        <v>2</v>
      </c>
      <c r="G5" s="20">
        <v>3</v>
      </c>
      <c r="H5" s="20">
        <v>4</v>
      </c>
      <c r="I5" s="20">
        <v>5</v>
      </c>
      <c r="J5" s="20">
        <v>6</v>
      </c>
      <c r="K5" s="20">
        <v>7</v>
      </c>
      <c r="L5" s="20">
        <v>8</v>
      </c>
      <c r="M5" s="20">
        <v>9</v>
      </c>
      <c r="N5" s="20">
        <v>10</v>
      </c>
      <c r="O5" s="20">
        <v>11</v>
      </c>
      <c r="P5" s="20">
        <v>12</v>
      </c>
      <c r="Q5" s="20">
        <v>13</v>
      </c>
      <c r="R5" s="20">
        <v>14</v>
      </c>
      <c r="S5" s="20">
        <v>15</v>
      </c>
      <c r="T5" s="20">
        <v>16</v>
      </c>
      <c r="U5" s="20">
        <v>17</v>
      </c>
      <c r="V5" s="20" t="s">
        <v>21</v>
      </c>
      <c r="W5" s="789"/>
      <c r="X5" s="798"/>
      <c r="Y5" s="312">
        <v>1</v>
      </c>
      <c r="Z5" s="20">
        <v>2</v>
      </c>
      <c r="AA5" s="20">
        <v>3</v>
      </c>
      <c r="AB5" s="20">
        <v>4</v>
      </c>
      <c r="AC5" s="20">
        <v>5</v>
      </c>
      <c r="AD5" s="20">
        <v>6</v>
      </c>
      <c r="AE5" s="20">
        <v>7</v>
      </c>
      <c r="AF5" s="20">
        <v>8</v>
      </c>
      <c r="AG5" s="20">
        <v>9</v>
      </c>
      <c r="AH5" s="20">
        <v>10</v>
      </c>
      <c r="AI5" s="20">
        <v>11</v>
      </c>
      <c r="AJ5" s="20">
        <v>12</v>
      </c>
      <c r="AK5" s="20">
        <v>13</v>
      </c>
      <c r="AL5" s="20">
        <v>14</v>
      </c>
      <c r="AM5" s="20">
        <v>15</v>
      </c>
      <c r="AN5" s="20">
        <v>16</v>
      </c>
      <c r="AO5" s="20">
        <v>17</v>
      </c>
      <c r="AP5" s="798"/>
      <c r="AQ5" s="20">
        <v>1</v>
      </c>
      <c r="AR5" s="20">
        <v>2</v>
      </c>
      <c r="AS5" s="20">
        <v>3</v>
      </c>
      <c r="AT5" s="20">
        <v>4</v>
      </c>
      <c r="AU5" s="20">
        <v>5</v>
      </c>
      <c r="AV5" s="20">
        <v>6</v>
      </c>
      <c r="AW5" s="20">
        <v>7</v>
      </c>
      <c r="AX5" s="20">
        <v>8</v>
      </c>
      <c r="AY5" s="20">
        <v>9</v>
      </c>
      <c r="AZ5" s="20">
        <v>10</v>
      </c>
      <c r="BA5" s="20">
        <v>11</v>
      </c>
      <c r="BB5" s="20">
        <v>12</v>
      </c>
      <c r="BC5" s="20">
        <v>13</v>
      </c>
      <c r="BD5" s="20">
        <v>14</v>
      </c>
      <c r="BE5" s="20">
        <v>15</v>
      </c>
      <c r="BF5" s="20">
        <v>16</v>
      </c>
      <c r="BG5" s="20">
        <v>17</v>
      </c>
      <c r="BH5" s="20" t="s">
        <v>13</v>
      </c>
      <c r="BI5" s="111">
        <v>1</v>
      </c>
      <c r="BJ5" s="111">
        <v>2</v>
      </c>
      <c r="BK5" s="111">
        <v>3</v>
      </c>
      <c r="BL5" s="111">
        <v>4</v>
      </c>
      <c r="BM5" s="111">
        <v>5</v>
      </c>
      <c r="BN5" s="111">
        <v>6</v>
      </c>
      <c r="BO5" s="111">
        <v>7</v>
      </c>
      <c r="BP5" s="111">
        <v>8</v>
      </c>
      <c r="BQ5" s="111">
        <v>9</v>
      </c>
      <c r="BR5" s="111">
        <v>10</v>
      </c>
      <c r="BS5" s="111">
        <v>11</v>
      </c>
      <c r="BT5" s="111">
        <v>12</v>
      </c>
      <c r="BU5" s="111">
        <v>13</v>
      </c>
      <c r="BV5" s="111">
        <v>14</v>
      </c>
      <c r="BW5" s="111">
        <v>15</v>
      </c>
      <c r="BX5" s="111">
        <v>16</v>
      </c>
      <c r="BY5" s="111">
        <v>17</v>
      </c>
      <c r="BZ5" s="20" t="s">
        <v>13</v>
      </c>
      <c r="CA5" s="789"/>
      <c r="CB5" s="789"/>
      <c r="CC5" s="792"/>
      <c r="CD5" s="6"/>
      <c r="CE5" s="21"/>
      <c r="CF5" s="784" t="s">
        <v>19</v>
      </c>
      <c r="CG5" s="785"/>
      <c r="CH5" s="786"/>
      <c r="CI5" s="337"/>
      <c r="CJ5" s="111">
        <v>1</v>
      </c>
      <c r="CK5" s="111">
        <v>2</v>
      </c>
      <c r="CL5" s="111">
        <v>3</v>
      </c>
      <c r="CM5" s="111">
        <v>4</v>
      </c>
      <c r="CN5" s="111">
        <v>5</v>
      </c>
      <c r="CO5" s="111">
        <v>6</v>
      </c>
      <c r="CP5" s="111">
        <v>7</v>
      </c>
      <c r="CQ5" s="111">
        <v>8</v>
      </c>
      <c r="CR5" s="111">
        <v>9</v>
      </c>
      <c r="CS5" s="111">
        <v>10</v>
      </c>
      <c r="CT5" s="111">
        <v>11</v>
      </c>
      <c r="CU5" s="111">
        <v>12</v>
      </c>
      <c r="CV5" s="20" t="s">
        <v>13</v>
      </c>
      <c r="CW5" s="111">
        <v>1</v>
      </c>
      <c r="CX5" s="111">
        <v>2</v>
      </c>
      <c r="CY5" s="111">
        <v>3</v>
      </c>
      <c r="CZ5" s="111">
        <v>4</v>
      </c>
      <c r="DA5" s="111">
        <v>5</v>
      </c>
      <c r="DB5" s="111">
        <v>6</v>
      </c>
      <c r="DC5" s="111">
        <v>7</v>
      </c>
      <c r="DD5" s="111">
        <v>8</v>
      </c>
      <c r="DE5" s="111">
        <v>9</v>
      </c>
      <c r="DF5" s="111">
        <v>10</v>
      </c>
      <c r="DG5" s="111">
        <v>11</v>
      </c>
      <c r="DH5" s="111">
        <v>12</v>
      </c>
      <c r="DI5" s="20" t="s">
        <v>13</v>
      </c>
    </row>
    <row r="6" spans="1:118" s="70" customFormat="1" ht="24.75" customHeight="1" x14ac:dyDescent="0.2">
      <c r="A6" s="64">
        <v>1</v>
      </c>
      <c r="B6" s="90" t="s">
        <v>127</v>
      </c>
      <c r="C6" s="65" t="s">
        <v>75</v>
      </c>
      <c r="D6" s="61">
        <v>70</v>
      </c>
      <c r="E6" s="428"/>
      <c r="F6" s="67"/>
      <c r="G6" s="618"/>
      <c r="H6" s="429"/>
      <c r="I6" s="429">
        <v>35</v>
      </c>
      <c r="J6" s="653">
        <v>35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>
        <f t="shared" ref="V6:V12" si="0">SUM(E6:U6)</f>
        <v>70</v>
      </c>
      <c r="W6" s="117" t="s">
        <v>26</v>
      </c>
      <c r="X6" s="664">
        <v>10300</v>
      </c>
      <c r="Y6" s="115"/>
      <c r="Z6" s="665"/>
      <c r="AA6" s="665"/>
      <c r="AB6" s="666"/>
      <c r="AC6" s="667">
        <v>10300</v>
      </c>
      <c r="AD6" s="668">
        <v>10300</v>
      </c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51">
        <f t="shared" ref="AP6:AP10" si="1">SUM(V6*X6)</f>
        <v>721000</v>
      </c>
      <c r="AQ6" s="52">
        <f t="shared" ref="AQ6:AW12" si="2">Y6*E6</f>
        <v>0</v>
      </c>
      <c r="AR6" s="52">
        <f t="shared" si="2"/>
        <v>0</v>
      </c>
      <c r="AS6" s="52">
        <f t="shared" si="2"/>
        <v>0</v>
      </c>
      <c r="AT6" s="52">
        <f t="shared" si="2"/>
        <v>0</v>
      </c>
      <c r="AU6" s="570">
        <f t="shared" si="2"/>
        <v>360500</v>
      </c>
      <c r="AV6" s="556">
        <f t="shared" si="2"/>
        <v>360500</v>
      </c>
      <c r="AW6" s="52">
        <f t="shared" si="2"/>
        <v>0</v>
      </c>
      <c r="AX6" s="52"/>
      <c r="AY6" s="52"/>
      <c r="AZ6" s="52"/>
      <c r="BA6" s="52"/>
      <c r="BB6" s="52"/>
      <c r="BC6" s="52"/>
      <c r="BD6" s="52">
        <f t="shared" ref="BD6:BD12" si="3">AF6*L6</f>
        <v>0</v>
      </c>
      <c r="BE6" s="52">
        <f t="shared" ref="BE6:BF12" si="4">AL6*M6</f>
        <v>0</v>
      </c>
      <c r="BF6" s="52">
        <f t="shared" si="4"/>
        <v>0</v>
      </c>
      <c r="BG6" s="52">
        <f t="shared" ref="BG6:BG12" si="5">AN6*U6</f>
        <v>0</v>
      </c>
      <c r="BH6" s="53">
        <f t="shared" ref="BH6:BH12" si="6">SUM(AQ6:BG6)</f>
        <v>721000</v>
      </c>
      <c r="BI6" s="52">
        <f>SUM(AQ6*14%)</f>
        <v>0</v>
      </c>
      <c r="BJ6" s="52"/>
      <c r="BK6" s="52"/>
      <c r="BL6" s="52">
        <f>SUM(AT6*14%)</f>
        <v>0</v>
      </c>
      <c r="BM6" s="52">
        <f>AU6*12%</f>
        <v>43260</v>
      </c>
      <c r="BN6" s="52">
        <f t="shared" ref="BN6:BN12" si="7">SUM(AV6*14%)</f>
        <v>50470.000000000007</v>
      </c>
      <c r="BO6" s="52"/>
      <c r="BP6" s="52"/>
      <c r="BQ6" s="52"/>
      <c r="BR6" s="52"/>
      <c r="BS6" s="52"/>
      <c r="BT6" s="52"/>
      <c r="BU6" s="52"/>
      <c r="BV6" s="52">
        <f t="shared" ref="BV6:BV12" si="8">SUM(AW6*14%)</f>
        <v>0</v>
      </c>
      <c r="BW6" s="52">
        <f t="shared" ref="BW6:BY12" si="9">SUM(BD6*14%)</f>
        <v>0</v>
      </c>
      <c r="BX6" s="52">
        <f t="shared" si="9"/>
        <v>0</v>
      </c>
      <c r="BY6" s="52">
        <f t="shared" si="9"/>
        <v>0</v>
      </c>
      <c r="BZ6" s="54">
        <f t="shared" ref="BZ6:BZ12" si="10">SUM(BI6:BY6)</f>
        <v>93730</v>
      </c>
      <c r="CA6" s="72">
        <f>AP6-BH6</f>
        <v>0</v>
      </c>
      <c r="CB6" s="73">
        <f>X6*D6</f>
        <v>721000</v>
      </c>
      <c r="CC6" s="74">
        <f t="shared" ref="CC6:CC12" si="11">CB6-BH6</f>
        <v>0</v>
      </c>
      <c r="CD6" s="99">
        <f>SUM(V6/D6)</f>
        <v>1</v>
      </c>
      <c r="CE6" s="105"/>
      <c r="CF6" s="556">
        <f>AU6-BM6</f>
        <v>317240</v>
      </c>
      <c r="CG6" s="556">
        <f>35*9000</f>
        <v>315000</v>
      </c>
      <c r="CH6" s="567">
        <f>CF6-CG6</f>
        <v>2240</v>
      </c>
      <c r="CI6" s="561"/>
      <c r="CJ6" s="323"/>
      <c r="CK6" s="323"/>
      <c r="CL6" s="570"/>
      <c r="CM6" s="323"/>
      <c r="CN6" s="323"/>
      <c r="CO6" s="323">
        <f t="shared" ref="CO6:CP13" si="12">SUM(AV6*12.5%)</f>
        <v>45062.5</v>
      </c>
      <c r="CP6" s="323">
        <f t="shared" si="12"/>
        <v>0</v>
      </c>
      <c r="CQ6" s="323">
        <f t="shared" ref="CQ6:CT13" si="13">SUM(BD6*12.5%)</f>
        <v>0</v>
      </c>
      <c r="CR6" s="323">
        <f t="shared" si="13"/>
        <v>0</v>
      </c>
      <c r="CS6" s="323">
        <f t="shared" si="13"/>
        <v>0</v>
      </c>
      <c r="CT6" s="323">
        <f t="shared" si="13"/>
        <v>0</v>
      </c>
      <c r="CU6" s="323" t="e">
        <f>SUM(#REF!*12.5%)</f>
        <v>#REF!</v>
      </c>
      <c r="CV6" s="55" t="e">
        <f t="shared" ref="CV6" si="14">SUM(CJ6:CU6)</f>
        <v>#REF!</v>
      </c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55">
        <f t="shared" ref="DI6:DI7" si="15">SUM(CW6:DH6)</f>
        <v>0</v>
      </c>
    </row>
    <row r="7" spans="1:118" s="70" customFormat="1" ht="24.75" customHeight="1" x14ac:dyDescent="0.2">
      <c r="A7" s="64">
        <v>2</v>
      </c>
      <c r="B7" s="90" t="s">
        <v>128</v>
      </c>
      <c r="C7" s="65" t="s">
        <v>75</v>
      </c>
      <c r="D7" s="61">
        <v>70</v>
      </c>
      <c r="E7" s="428"/>
      <c r="F7" s="67"/>
      <c r="G7" s="618"/>
      <c r="H7" s="429"/>
      <c r="I7" s="429">
        <v>35</v>
      </c>
      <c r="J7" s="653">
        <v>35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8">
        <f t="shared" si="0"/>
        <v>70</v>
      </c>
      <c r="W7" s="117" t="s">
        <v>26</v>
      </c>
      <c r="X7" s="664">
        <v>28500</v>
      </c>
      <c r="Y7" s="115"/>
      <c r="Z7" s="669"/>
      <c r="AA7" s="669"/>
      <c r="AB7" s="670"/>
      <c r="AC7" s="667">
        <v>28000</v>
      </c>
      <c r="AD7" s="671">
        <v>28000</v>
      </c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51">
        <f t="shared" si="1"/>
        <v>1995000</v>
      </c>
      <c r="AQ7" s="52">
        <f t="shared" si="2"/>
        <v>0</v>
      </c>
      <c r="AR7" s="52">
        <f t="shared" si="2"/>
        <v>0</v>
      </c>
      <c r="AS7" s="52">
        <f t="shared" si="2"/>
        <v>0</v>
      </c>
      <c r="AT7" s="52">
        <f t="shared" si="2"/>
        <v>0</v>
      </c>
      <c r="AU7" s="570">
        <f t="shared" si="2"/>
        <v>980000</v>
      </c>
      <c r="AV7" s="556">
        <f t="shared" si="2"/>
        <v>980000</v>
      </c>
      <c r="AW7" s="52">
        <f t="shared" si="2"/>
        <v>0</v>
      </c>
      <c r="AX7" s="52"/>
      <c r="AY7" s="52"/>
      <c r="AZ7" s="52"/>
      <c r="BA7" s="52"/>
      <c r="BB7" s="52"/>
      <c r="BC7" s="52"/>
      <c r="BD7" s="52">
        <f t="shared" si="3"/>
        <v>0</v>
      </c>
      <c r="BE7" s="52">
        <f t="shared" si="4"/>
        <v>0</v>
      </c>
      <c r="BF7" s="52">
        <f t="shared" si="4"/>
        <v>0</v>
      </c>
      <c r="BG7" s="52">
        <f t="shared" si="5"/>
        <v>0</v>
      </c>
      <c r="BH7" s="53">
        <f t="shared" si="6"/>
        <v>1960000</v>
      </c>
      <c r="BI7" s="52"/>
      <c r="BJ7" s="52">
        <f>SUM(AR7*14%)</f>
        <v>0</v>
      </c>
      <c r="BK7" s="52">
        <f>SUM(AS7*14%)</f>
        <v>0</v>
      </c>
      <c r="BL7" s="52">
        <f>SUM(AT7*14%)</f>
        <v>0</v>
      </c>
      <c r="BM7" s="52">
        <f>AU7*12%</f>
        <v>117600</v>
      </c>
      <c r="BN7" s="52">
        <f t="shared" si="7"/>
        <v>137200</v>
      </c>
      <c r="BO7" s="52"/>
      <c r="BP7" s="52"/>
      <c r="BQ7" s="52"/>
      <c r="BR7" s="52"/>
      <c r="BS7" s="52"/>
      <c r="BT7" s="52"/>
      <c r="BU7" s="52"/>
      <c r="BV7" s="52">
        <f t="shared" si="8"/>
        <v>0</v>
      </c>
      <c r="BW7" s="52">
        <f t="shared" si="9"/>
        <v>0</v>
      </c>
      <c r="BX7" s="52">
        <f t="shared" si="9"/>
        <v>0</v>
      </c>
      <c r="BY7" s="52">
        <f t="shared" si="9"/>
        <v>0</v>
      </c>
      <c r="BZ7" s="54">
        <f t="shared" si="10"/>
        <v>254800</v>
      </c>
      <c r="CA7" s="72">
        <f>AP7-BH7</f>
        <v>35000</v>
      </c>
      <c r="CB7" s="73">
        <f>X7*D7</f>
        <v>1995000</v>
      </c>
      <c r="CC7" s="74">
        <f t="shared" si="11"/>
        <v>35000</v>
      </c>
      <c r="CD7" s="99">
        <f>SUM(V7/D7)</f>
        <v>1</v>
      </c>
      <c r="CE7" s="105"/>
      <c r="CF7" s="556">
        <f>AU7-BM7</f>
        <v>862400</v>
      </c>
      <c r="CG7" s="556">
        <f>35*24000</f>
        <v>840000</v>
      </c>
      <c r="CH7" s="567">
        <f>CF7-CG7</f>
        <v>22400</v>
      </c>
      <c r="CI7" s="561"/>
      <c r="CJ7" s="323"/>
      <c r="CK7" s="323"/>
      <c r="CL7" s="570"/>
      <c r="CM7" s="323"/>
      <c r="CN7" s="323"/>
      <c r="CO7" s="323">
        <f t="shared" si="12"/>
        <v>122500</v>
      </c>
      <c r="CP7" s="323">
        <f t="shared" si="12"/>
        <v>0</v>
      </c>
      <c r="CQ7" s="323">
        <f t="shared" si="13"/>
        <v>0</v>
      </c>
      <c r="CR7" s="323">
        <f t="shared" si="13"/>
        <v>0</v>
      </c>
      <c r="CS7" s="323">
        <f t="shared" si="13"/>
        <v>0</v>
      </c>
      <c r="CT7" s="323">
        <f t="shared" si="13"/>
        <v>0</v>
      </c>
      <c r="CU7" s="323" t="e">
        <f>SUM(#REF!*12.5%)</f>
        <v>#REF!</v>
      </c>
      <c r="CV7" s="55" t="e">
        <f t="shared" ref="CV7" si="16">SUM(CJ7:CU7)</f>
        <v>#REF!</v>
      </c>
      <c r="CW7" s="323"/>
      <c r="CX7" s="323"/>
      <c r="CY7" s="323"/>
      <c r="CZ7" s="323"/>
      <c r="DA7" s="323"/>
      <c r="DB7" s="323"/>
      <c r="DC7" s="323"/>
      <c r="DD7" s="323"/>
      <c r="DE7" s="323"/>
      <c r="DF7" s="323"/>
      <c r="DG7" s="323"/>
      <c r="DH7" s="323"/>
      <c r="DI7" s="55">
        <f t="shared" si="15"/>
        <v>0</v>
      </c>
    </row>
    <row r="8" spans="1:118" s="70" customFormat="1" ht="24.75" customHeight="1" x14ac:dyDescent="0.2">
      <c r="A8" s="64">
        <v>3</v>
      </c>
      <c r="B8" s="90" t="s">
        <v>129</v>
      </c>
      <c r="C8" s="65" t="s">
        <v>75</v>
      </c>
      <c r="D8" s="61">
        <v>2</v>
      </c>
      <c r="E8" s="428"/>
      <c r="F8" s="67"/>
      <c r="G8" s="618"/>
      <c r="H8" s="429"/>
      <c r="I8" s="429"/>
      <c r="J8" s="653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8">
        <f t="shared" si="0"/>
        <v>0</v>
      </c>
      <c r="W8" s="117" t="s">
        <v>0</v>
      </c>
      <c r="X8" s="664">
        <v>18000</v>
      </c>
      <c r="Y8" s="115"/>
      <c r="Z8" s="669"/>
      <c r="AA8" s="669"/>
      <c r="AB8" s="670"/>
      <c r="AC8" s="670"/>
      <c r="AD8" s="6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51">
        <f t="shared" si="1"/>
        <v>0</v>
      </c>
      <c r="AQ8" s="52">
        <f t="shared" si="2"/>
        <v>0</v>
      </c>
      <c r="AR8" s="52">
        <f t="shared" si="2"/>
        <v>0</v>
      </c>
      <c r="AS8" s="52">
        <f t="shared" si="2"/>
        <v>0</v>
      </c>
      <c r="AT8" s="52">
        <f t="shared" si="2"/>
        <v>0</v>
      </c>
      <c r="AU8" s="570">
        <f t="shared" si="2"/>
        <v>0</v>
      </c>
      <c r="AV8" s="556">
        <f t="shared" si="2"/>
        <v>0</v>
      </c>
      <c r="AW8" s="52">
        <f t="shared" si="2"/>
        <v>0</v>
      </c>
      <c r="AX8" s="52"/>
      <c r="AY8" s="52"/>
      <c r="AZ8" s="52"/>
      <c r="BA8" s="52"/>
      <c r="BB8" s="52"/>
      <c r="BC8" s="52"/>
      <c r="BD8" s="52">
        <f t="shared" si="3"/>
        <v>0</v>
      </c>
      <c r="BE8" s="52">
        <f t="shared" si="4"/>
        <v>0</v>
      </c>
      <c r="BF8" s="52">
        <f t="shared" si="4"/>
        <v>0</v>
      </c>
      <c r="BG8" s="52">
        <f t="shared" si="5"/>
        <v>0</v>
      </c>
      <c r="BH8" s="53">
        <f t="shared" si="6"/>
        <v>0</v>
      </c>
      <c r="BI8" s="52">
        <f>SUM(AQ8*14%)</f>
        <v>0</v>
      </c>
      <c r="BJ8" s="52"/>
      <c r="BK8" s="52"/>
      <c r="BL8" s="52">
        <f>SUM(AT8*14%)</f>
        <v>0</v>
      </c>
      <c r="BM8" s="52">
        <f>SUM(AU8*14%)</f>
        <v>0</v>
      </c>
      <c r="BN8" s="52">
        <f t="shared" si="7"/>
        <v>0</v>
      </c>
      <c r="BO8" s="52"/>
      <c r="BP8" s="52"/>
      <c r="BQ8" s="52"/>
      <c r="BR8" s="52"/>
      <c r="BS8" s="52"/>
      <c r="BT8" s="52"/>
      <c r="BU8" s="52"/>
      <c r="BV8" s="52">
        <f t="shared" si="8"/>
        <v>0</v>
      </c>
      <c r="BW8" s="52">
        <f t="shared" si="9"/>
        <v>0</v>
      </c>
      <c r="BX8" s="52">
        <f t="shared" si="9"/>
        <v>0</v>
      </c>
      <c r="BY8" s="52">
        <f t="shared" si="9"/>
        <v>0</v>
      </c>
      <c r="BZ8" s="54">
        <f t="shared" si="10"/>
        <v>0</v>
      </c>
      <c r="CA8" s="72">
        <f>AP8-BH8-BZ8</f>
        <v>0</v>
      </c>
      <c r="CB8" s="73">
        <f>X8*D8</f>
        <v>36000</v>
      </c>
      <c r="CC8" s="74">
        <f t="shared" si="11"/>
        <v>36000</v>
      </c>
      <c r="CD8" s="99">
        <f>SUM(V8/D8)</f>
        <v>0</v>
      </c>
      <c r="CE8" s="105"/>
      <c r="CF8" s="556"/>
      <c r="CG8" s="556"/>
      <c r="CH8" s="567"/>
      <c r="CI8" s="561"/>
      <c r="CJ8" s="323"/>
      <c r="CK8" s="323"/>
      <c r="CL8" s="570"/>
      <c r="CM8" s="323"/>
      <c r="CN8" s="323"/>
      <c r="CO8" s="323">
        <f t="shared" si="12"/>
        <v>0</v>
      </c>
      <c r="CP8" s="323">
        <f t="shared" si="12"/>
        <v>0</v>
      </c>
      <c r="CQ8" s="323">
        <f t="shared" si="13"/>
        <v>0</v>
      </c>
      <c r="CR8" s="323">
        <f t="shared" si="13"/>
        <v>0</v>
      </c>
      <c r="CS8" s="323">
        <f t="shared" si="13"/>
        <v>0</v>
      </c>
      <c r="CT8" s="323">
        <f t="shared" si="13"/>
        <v>0</v>
      </c>
      <c r="CU8" s="323" t="e">
        <f>SUM(#REF!*12.5%)</f>
        <v>#REF!</v>
      </c>
      <c r="CV8" s="55" t="e">
        <f t="shared" ref="CV8:CV13" si="17">SUM(CJ8:CU8)</f>
        <v>#REF!</v>
      </c>
      <c r="CW8" s="323"/>
      <c r="CX8" s="323"/>
      <c r="CY8" s="323"/>
      <c r="CZ8" s="323"/>
      <c r="DA8" s="323"/>
      <c r="DB8" s="323"/>
      <c r="DC8" s="323"/>
      <c r="DD8" s="323"/>
      <c r="DE8" s="323"/>
      <c r="DF8" s="323"/>
      <c r="DG8" s="323"/>
      <c r="DH8" s="323"/>
      <c r="DI8" s="55">
        <f t="shared" ref="DI8:DI13" si="18">SUM(CW8:DH8)</f>
        <v>0</v>
      </c>
    </row>
    <row r="9" spans="1:118" s="70" customFormat="1" ht="24.75" customHeight="1" x14ac:dyDescent="0.2">
      <c r="A9" s="64">
        <v>4</v>
      </c>
      <c r="B9" s="90" t="s">
        <v>92</v>
      </c>
      <c r="C9" s="65" t="s">
        <v>75</v>
      </c>
      <c r="D9" s="61">
        <v>1</v>
      </c>
      <c r="E9" s="428"/>
      <c r="F9" s="67"/>
      <c r="G9" s="618"/>
      <c r="H9" s="429"/>
      <c r="I9" s="429"/>
      <c r="J9" s="653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8">
        <f t="shared" si="0"/>
        <v>0</v>
      </c>
      <c r="W9" s="117" t="s">
        <v>15</v>
      </c>
      <c r="X9" s="664">
        <v>20380</v>
      </c>
      <c r="Y9" s="115"/>
      <c r="Z9" s="669"/>
      <c r="AA9" s="669"/>
      <c r="AB9" s="670"/>
      <c r="AC9" s="670"/>
      <c r="AD9" s="6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51">
        <f t="shared" si="1"/>
        <v>0</v>
      </c>
      <c r="AQ9" s="52">
        <f t="shared" si="2"/>
        <v>0</v>
      </c>
      <c r="AR9" s="52">
        <f t="shared" si="2"/>
        <v>0</v>
      </c>
      <c r="AS9" s="52">
        <f t="shared" si="2"/>
        <v>0</v>
      </c>
      <c r="AT9" s="52">
        <f t="shared" si="2"/>
        <v>0</v>
      </c>
      <c r="AU9" s="570">
        <f t="shared" si="2"/>
        <v>0</v>
      </c>
      <c r="AV9" s="556">
        <f t="shared" si="2"/>
        <v>0</v>
      </c>
      <c r="AW9" s="52">
        <f t="shared" si="2"/>
        <v>0</v>
      </c>
      <c r="AX9" s="52"/>
      <c r="AY9" s="52"/>
      <c r="AZ9" s="52"/>
      <c r="BA9" s="52"/>
      <c r="BB9" s="52"/>
      <c r="BC9" s="52"/>
      <c r="BD9" s="52">
        <f t="shared" si="3"/>
        <v>0</v>
      </c>
      <c r="BE9" s="52">
        <f t="shared" si="4"/>
        <v>0</v>
      </c>
      <c r="BF9" s="52">
        <f t="shared" si="4"/>
        <v>0</v>
      </c>
      <c r="BG9" s="52">
        <f t="shared" si="5"/>
        <v>0</v>
      </c>
      <c r="BH9" s="53">
        <f t="shared" si="6"/>
        <v>0</v>
      </c>
      <c r="BI9" s="52"/>
      <c r="BJ9" s="52">
        <f>SUM(AR9*14%)</f>
        <v>0</v>
      </c>
      <c r="BK9" s="52">
        <f>SUM(AS9*14%)</f>
        <v>0</v>
      </c>
      <c r="BL9" s="52">
        <f>SUM(AT9*14%)</f>
        <v>0</v>
      </c>
      <c r="BM9" s="52">
        <f>SUM(AU9*14%)</f>
        <v>0</v>
      </c>
      <c r="BN9" s="52">
        <f t="shared" si="7"/>
        <v>0</v>
      </c>
      <c r="BO9" s="52"/>
      <c r="BP9" s="52"/>
      <c r="BQ9" s="52"/>
      <c r="BR9" s="52"/>
      <c r="BS9" s="52"/>
      <c r="BT9" s="52"/>
      <c r="BU9" s="52"/>
      <c r="BV9" s="52">
        <f t="shared" si="8"/>
        <v>0</v>
      </c>
      <c r="BW9" s="52">
        <f t="shared" si="9"/>
        <v>0</v>
      </c>
      <c r="BX9" s="52">
        <f t="shared" si="9"/>
        <v>0</v>
      </c>
      <c r="BY9" s="52">
        <f t="shared" si="9"/>
        <v>0</v>
      </c>
      <c r="BZ9" s="54">
        <f t="shared" si="10"/>
        <v>0</v>
      </c>
      <c r="CA9" s="72">
        <f>AP9-BH9-BZ9</f>
        <v>0</v>
      </c>
      <c r="CB9" s="73">
        <f>X9*D9</f>
        <v>20380</v>
      </c>
      <c r="CC9" s="74">
        <f t="shared" si="11"/>
        <v>20380</v>
      </c>
      <c r="CD9" s="99">
        <f>SUM(V9/D9)</f>
        <v>0</v>
      </c>
      <c r="CE9" s="105"/>
      <c r="CF9" s="556"/>
      <c r="CG9" s="556"/>
      <c r="CH9" s="567"/>
      <c r="CI9" s="561"/>
      <c r="CJ9" s="323"/>
      <c r="CK9" s="323"/>
      <c r="CL9" s="570"/>
      <c r="CM9" s="323"/>
      <c r="CN9" s="323"/>
      <c r="CO9" s="323">
        <f t="shared" si="12"/>
        <v>0</v>
      </c>
      <c r="CP9" s="323">
        <f t="shared" si="12"/>
        <v>0</v>
      </c>
      <c r="CQ9" s="323">
        <f t="shared" si="13"/>
        <v>0</v>
      </c>
      <c r="CR9" s="323">
        <f t="shared" si="13"/>
        <v>0</v>
      </c>
      <c r="CS9" s="323">
        <f t="shared" si="13"/>
        <v>0</v>
      </c>
      <c r="CT9" s="323">
        <f t="shared" si="13"/>
        <v>0</v>
      </c>
      <c r="CU9" s="323" t="e">
        <f>SUM(#REF!*12.5%)</f>
        <v>#REF!</v>
      </c>
      <c r="CV9" s="55" t="e">
        <f t="shared" si="17"/>
        <v>#REF!</v>
      </c>
      <c r="CW9" s="323"/>
      <c r="CX9" s="323"/>
      <c r="CY9" s="323"/>
      <c r="CZ9" s="323"/>
      <c r="DA9" s="323"/>
      <c r="DB9" s="323"/>
      <c r="DC9" s="323"/>
      <c r="DD9" s="323"/>
      <c r="DE9" s="323"/>
      <c r="DF9" s="323"/>
      <c r="DG9" s="323"/>
      <c r="DH9" s="323"/>
      <c r="DI9" s="55">
        <f t="shared" si="18"/>
        <v>0</v>
      </c>
    </row>
    <row r="10" spans="1:118" s="508" customFormat="1" ht="24.75" customHeight="1" x14ac:dyDescent="0.2">
      <c r="A10" s="499">
        <v>5</v>
      </c>
      <c r="B10" s="500" t="s">
        <v>225</v>
      </c>
      <c r="C10" s="501" t="s">
        <v>75</v>
      </c>
      <c r="D10" s="502">
        <v>0</v>
      </c>
      <c r="E10" s="503"/>
      <c r="F10" s="68"/>
      <c r="G10" s="623"/>
      <c r="H10" s="633"/>
      <c r="I10" s="633"/>
      <c r="J10" s="655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>
        <f t="shared" si="0"/>
        <v>0</v>
      </c>
      <c r="W10" s="504" t="s">
        <v>35</v>
      </c>
      <c r="X10" s="672">
        <v>100000</v>
      </c>
      <c r="Y10" s="505"/>
      <c r="Z10" s="673"/>
      <c r="AA10" s="673"/>
      <c r="AB10" s="674"/>
      <c r="AC10" s="674"/>
      <c r="AD10" s="675"/>
      <c r="AE10" s="506"/>
      <c r="AF10" s="506"/>
      <c r="AG10" s="506"/>
      <c r="AH10" s="506"/>
      <c r="AI10" s="506"/>
      <c r="AJ10" s="506"/>
      <c r="AK10" s="506"/>
      <c r="AL10" s="506"/>
      <c r="AM10" s="506"/>
      <c r="AN10" s="506"/>
      <c r="AO10" s="506"/>
      <c r="AP10" s="507">
        <f t="shared" si="1"/>
        <v>0</v>
      </c>
      <c r="AQ10" s="53">
        <f t="shared" si="2"/>
        <v>0</v>
      </c>
      <c r="AR10" s="53">
        <f t="shared" si="2"/>
        <v>0</v>
      </c>
      <c r="AS10" s="53">
        <f t="shared" si="2"/>
        <v>0</v>
      </c>
      <c r="AT10" s="53">
        <f t="shared" si="2"/>
        <v>0</v>
      </c>
      <c r="AU10" s="656">
        <f t="shared" si="2"/>
        <v>0</v>
      </c>
      <c r="AV10" s="632">
        <f t="shared" si="2"/>
        <v>0</v>
      </c>
      <c r="AW10" s="53">
        <f t="shared" si="2"/>
        <v>0</v>
      </c>
      <c r="AX10" s="53"/>
      <c r="AY10" s="53"/>
      <c r="AZ10" s="53"/>
      <c r="BA10" s="53"/>
      <c r="BB10" s="53"/>
      <c r="BC10" s="53"/>
      <c r="BD10" s="53">
        <f t="shared" si="3"/>
        <v>0</v>
      </c>
      <c r="BE10" s="53">
        <f t="shared" si="4"/>
        <v>0</v>
      </c>
      <c r="BF10" s="53">
        <f t="shared" si="4"/>
        <v>0</v>
      </c>
      <c r="BG10" s="53">
        <f t="shared" si="5"/>
        <v>0</v>
      </c>
      <c r="BH10" s="53">
        <f t="shared" si="6"/>
        <v>0</v>
      </c>
      <c r="BI10" s="53">
        <v>0</v>
      </c>
      <c r="BJ10" s="53"/>
      <c r="BK10" s="53"/>
      <c r="BL10" s="53">
        <f>SUM(AT10*14%)</f>
        <v>0</v>
      </c>
      <c r="BM10" s="53">
        <f>SUM(AU10*14%)</f>
        <v>0</v>
      </c>
      <c r="BN10" s="53">
        <f t="shared" si="7"/>
        <v>0</v>
      </c>
      <c r="BO10" s="53"/>
      <c r="BP10" s="53"/>
      <c r="BQ10" s="53"/>
      <c r="BR10" s="53"/>
      <c r="BS10" s="53"/>
      <c r="BT10" s="53"/>
      <c r="BU10" s="53"/>
      <c r="BV10" s="53">
        <f t="shared" si="8"/>
        <v>0</v>
      </c>
      <c r="BW10" s="53">
        <f t="shared" si="9"/>
        <v>0</v>
      </c>
      <c r="BX10" s="53">
        <f t="shared" si="9"/>
        <v>0</v>
      </c>
      <c r="BY10" s="53">
        <f t="shared" si="9"/>
        <v>0</v>
      </c>
      <c r="BZ10" s="54">
        <f t="shared" si="10"/>
        <v>0</v>
      </c>
      <c r="CA10" s="72">
        <f>AP10-BH10-BZ10</f>
        <v>0</v>
      </c>
      <c r="CB10" s="179">
        <f>2100000-CB11-CB12</f>
        <v>0</v>
      </c>
      <c r="CC10" s="74">
        <f t="shared" si="11"/>
        <v>0</v>
      </c>
      <c r="CD10" s="99"/>
      <c r="CE10" s="509">
        <v>2100000</v>
      </c>
      <c r="CF10" s="556"/>
      <c r="CG10" s="556"/>
      <c r="CH10" s="567"/>
      <c r="CI10" s="561"/>
      <c r="CJ10" s="323"/>
      <c r="CK10" s="323"/>
      <c r="CL10" s="570"/>
      <c r="CM10" s="323"/>
      <c r="CN10" s="323"/>
      <c r="CO10" s="323">
        <f t="shared" si="12"/>
        <v>0</v>
      </c>
      <c r="CP10" s="323">
        <f t="shared" si="12"/>
        <v>0</v>
      </c>
      <c r="CQ10" s="323">
        <f t="shared" si="13"/>
        <v>0</v>
      </c>
      <c r="CR10" s="323">
        <f t="shared" si="13"/>
        <v>0</v>
      </c>
      <c r="CS10" s="323">
        <f t="shared" si="13"/>
        <v>0</v>
      </c>
      <c r="CT10" s="323">
        <f t="shared" si="13"/>
        <v>0</v>
      </c>
      <c r="CU10" s="323" t="e">
        <f>SUM(#REF!*12.5%)</f>
        <v>#REF!</v>
      </c>
      <c r="CV10" s="55" t="e">
        <f t="shared" si="17"/>
        <v>#REF!</v>
      </c>
      <c r="CW10" s="323"/>
      <c r="CX10" s="323"/>
      <c r="CY10" s="323"/>
      <c r="CZ10" s="323"/>
      <c r="DA10" s="323"/>
      <c r="DB10" s="323"/>
      <c r="DC10" s="323"/>
      <c r="DD10" s="323"/>
      <c r="DE10" s="323"/>
      <c r="DF10" s="323"/>
      <c r="DG10" s="323"/>
      <c r="DH10" s="323"/>
      <c r="DI10" s="55">
        <f t="shared" si="18"/>
        <v>0</v>
      </c>
    </row>
    <row r="11" spans="1:118" s="554" customFormat="1" ht="24.75" customHeight="1" x14ac:dyDescent="0.2">
      <c r="A11" s="546"/>
      <c r="B11" s="282" t="s">
        <v>226</v>
      </c>
      <c r="C11" s="22" t="s">
        <v>75</v>
      </c>
      <c r="D11" s="547">
        <v>19</v>
      </c>
      <c r="E11" s="661">
        <v>4</v>
      </c>
      <c r="F11" s="23">
        <v>4</v>
      </c>
      <c r="G11" s="574">
        <v>7</v>
      </c>
      <c r="H11" s="23">
        <v>3</v>
      </c>
      <c r="I11" s="23">
        <v>1</v>
      </c>
      <c r="J11" s="655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>
        <f t="shared" si="0"/>
        <v>19</v>
      </c>
      <c r="W11" s="119" t="s">
        <v>35</v>
      </c>
      <c r="X11" s="676">
        <v>100000</v>
      </c>
      <c r="Y11" s="662">
        <v>100000</v>
      </c>
      <c r="Z11" s="677">
        <v>100000</v>
      </c>
      <c r="AA11" s="677">
        <v>100000</v>
      </c>
      <c r="AB11" s="677">
        <v>100000</v>
      </c>
      <c r="AC11" s="677">
        <v>100000</v>
      </c>
      <c r="AD11" s="678"/>
      <c r="AE11" s="555"/>
      <c r="AF11" s="555"/>
      <c r="AG11" s="555"/>
      <c r="AH11" s="555"/>
      <c r="AI11" s="555"/>
      <c r="AJ11" s="555"/>
      <c r="AK11" s="555"/>
      <c r="AL11" s="555"/>
      <c r="AM11" s="555"/>
      <c r="AN11" s="555"/>
      <c r="AO11" s="555"/>
      <c r="AP11" s="663">
        <f t="shared" ref="AP11" si="19">SUM(V11*X11)</f>
        <v>1900000</v>
      </c>
      <c r="AQ11" s="323">
        <f t="shared" si="2"/>
        <v>400000</v>
      </c>
      <c r="AR11" s="323">
        <f t="shared" si="2"/>
        <v>400000</v>
      </c>
      <c r="AS11" s="323">
        <f t="shared" si="2"/>
        <v>700000</v>
      </c>
      <c r="AT11" s="323">
        <f t="shared" si="2"/>
        <v>300000</v>
      </c>
      <c r="AU11" s="323">
        <f t="shared" si="2"/>
        <v>100000</v>
      </c>
      <c r="AV11" s="556">
        <f t="shared" si="2"/>
        <v>0</v>
      </c>
      <c r="AW11" s="323">
        <f t="shared" si="2"/>
        <v>0</v>
      </c>
      <c r="AX11" s="323"/>
      <c r="AY11" s="323"/>
      <c r="AZ11" s="323"/>
      <c r="BA11" s="323"/>
      <c r="BB11" s="323"/>
      <c r="BC11" s="323"/>
      <c r="BD11" s="323">
        <f t="shared" si="3"/>
        <v>0</v>
      </c>
      <c r="BE11" s="323">
        <f t="shared" si="4"/>
        <v>0</v>
      </c>
      <c r="BF11" s="323">
        <f t="shared" si="4"/>
        <v>0</v>
      </c>
      <c r="BG11" s="323">
        <f t="shared" si="5"/>
        <v>0</v>
      </c>
      <c r="BH11" s="324">
        <f t="shared" si="6"/>
        <v>1900000</v>
      </c>
      <c r="BI11" s="323">
        <v>0</v>
      </c>
      <c r="BJ11" s="323"/>
      <c r="BK11" s="323"/>
      <c r="BL11" s="323"/>
      <c r="BM11" s="323"/>
      <c r="BN11" s="323">
        <f t="shared" si="7"/>
        <v>0</v>
      </c>
      <c r="BO11" s="323"/>
      <c r="BP11" s="323"/>
      <c r="BQ11" s="323"/>
      <c r="BR11" s="323"/>
      <c r="BS11" s="323"/>
      <c r="BT11" s="323"/>
      <c r="BU11" s="323"/>
      <c r="BV11" s="323">
        <f t="shared" si="8"/>
        <v>0</v>
      </c>
      <c r="BW11" s="323">
        <f t="shared" si="9"/>
        <v>0</v>
      </c>
      <c r="BX11" s="323">
        <f t="shared" si="9"/>
        <v>0</v>
      </c>
      <c r="BY11" s="323">
        <f t="shared" si="9"/>
        <v>0</v>
      </c>
      <c r="BZ11" s="55">
        <f t="shared" si="10"/>
        <v>0</v>
      </c>
      <c r="CA11" s="550">
        <f>AP11-BH11-BZ11</f>
        <v>0</v>
      </c>
      <c r="CB11" s="551">
        <f>X11*D11</f>
        <v>1900000</v>
      </c>
      <c r="CC11" s="74">
        <f t="shared" si="11"/>
        <v>0</v>
      </c>
      <c r="CD11" s="553">
        <f>SUM(V11/D11)</f>
        <v>1</v>
      </c>
      <c r="CE11" s="109"/>
      <c r="CF11" s="323"/>
      <c r="CG11" s="323"/>
      <c r="CH11" s="582"/>
      <c r="CI11" s="561"/>
      <c r="CJ11" s="323"/>
      <c r="CK11" s="323"/>
      <c r="CL11" s="323"/>
      <c r="CM11" s="323"/>
      <c r="CN11" s="323"/>
      <c r="CO11" s="323">
        <f t="shared" si="12"/>
        <v>0</v>
      </c>
      <c r="CP11" s="323">
        <f t="shared" si="12"/>
        <v>0</v>
      </c>
      <c r="CQ11" s="323">
        <f t="shared" si="13"/>
        <v>0</v>
      </c>
      <c r="CR11" s="323">
        <f t="shared" si="13"/>
        <v>0</v>
      </c>
      <c r="CS11" s="323">
        <f t="shared" si="13"/>
        <v>0</v>
      </c>
      <c r="CT11" s="323">
        <f t="shared" si="13"/>
        <v>0</v>
      </c>
      <c r="CU11" s="323" t="e">
        <f>SUM(#REF!*12.5%)</f>
        <v>#REF!</v>
      </c>
      <c r="CV11" s="55" t="e">
        <f t="shared" si="17"/>
        <v>#REF!</v>
      </c>
      <c r="CW11" s="323"/>
      <c r="CX11" s="323"/>
      <c r="CY11" s="323"/>
      <c r="CZ11" s="323"/>
      <c r="DA11" s="323"/>
      <c r="DB11" s="323"/>
      <c r="DC11" s="323"/>
      <c r="DD11" s="323"/>
      <c r="DE11" s="323"/>
      <c r="DF11" s="323"/>
      <c r="DG11" s="323"/>
      <c r="DH11" s="323"/>
      <c r="DI11" s="55">
        <f t="shared" si="18"/>
        <v>0</v>
      </c>
    </row>
    <row r="12" spans="1:118" s="554" customFormat="1" ht="24.75" customHeight="1" thickBot="1" x14ac:dyDescent="0.25">
      <c r="A12" s="546"/>
      <c r="B12" s="282" t="s">
        <v>227</v>
      </c>
      <c r="C12" s="22" t="s">
        <v>75</v>
      </c>
      <c r="D12" s="547">
        <v>4</v>
      </c>
      <c r="E12" s="661"/>
      <c r="F12" s="23">
        <v>1</v>
      </c>
      <c r="G12" s="574"/>
      <c r="H12" s="23">
        <v>2</v>
      </c>
      <c r="I12" s="23">
        <v>1</v>
      </c>
      <c r="J12" s="655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4">
        <f t="shared" si="0"/>
        <v>4</v>
      </c>
      <c r="W12" s="119" t="s">
        <v>35</v>
      </c>
      <c r="X12" s="676">
        <v>50000</v>
      </c>
      <c r="Y12" s="662"/>
      <c r="Z12" s="677">
        <v>50000</v>
      </c>
      <c r="AA12" s="677"/>
      <c r="AB12" s="677">
        <v>50000</v>
      </c>
      <c r="AC12" s="677">
        <v>50000</v>
      </c>
      <c r="AD12" s="678"/>
      <c r="AE12" s="555"/>
      <c r="AF12" s="555"/>
      <c r="AG12" s="555"/>
      <c r="AH12" s="555"/>
      <c r="AI12" s="555"/>
      <c r="AJ12" s="555"/>
      <c r="AK12" s="555"/>
      <c r="AL12" s="555"/>
      <c r="AM12" s="555"/>
      <c r="AN12" s="555"/>
      <c r="AO12" s="555"/>
      <c r="AP12" s="663">
        <f t="shared" ref="AP12" si="20">SUM(V12*X12)</f>
        <v>200000</v>
      </c>
      <c r="AQ12" s="323">
        <f t="shared" si="2"/>
        <v>0</v>
      </c>
      <c r="AR12" s="323">
        <f t="shared" si="2"/>
        <v>50000</v>
      </c>
      <c r="AS12" s="323">
        <f t="shared" si="2"/>
        <v>0</v>
      </c>
      <c r="AT12" s="323">
        <f t="shared" si="2"/>
        <v>100000</v>
      </c>
      <c r="AU12" s="323">
        <f t="shared" si="2"/>
        <v>50000</v>
      </c>
      <c r="AV12" s="556">
        <f t="shared" si="2"/>
        <v>0</v>
      </c>
      <c r="AW12" s="323">
        <f t="shared" si="2"/>
        <v>0</v>
      </c>
      <c r="AX12" s="323"/>
      <c r="AY12" s="323"/>
      <c r="AZ12" s="323"/>
      <c r="BA12" s="323"/>
      <c r="BB12" s="323"/>
      <c r="BC12" s="323"/>
      <c r="BD12" s="323">
        <f t="shared" si="3"/>
        <v>0</v>
      </c>
      <c r="BE12" s="323">
        <f t="shared" si="4"/>
        <v>0</v>
      </c>
      <c r="BF12" s="323">
        <f t="shared" si="4"/>
        <v>0</v>
      </c>
      <c r="BG12" s="323">
        <f t="shared" si="5"/>
        <v>0</v>
      </c>
      <c r="BH12" s="324">
        <f t="shared" si="6"/>
        <v>200000</v>
      </c>
      <c r="BI12" s="323">
        <v>0</v>
      </c>
      <c r="BJ12" s="323"/>
      <c r="BK12" s="323"/>
      <c r="BL12" s="323"/>
      <c r="BM12" s="323"/>
      <c r="BN12" s="323">
        <f t="shared" si="7"/>
        <v>0</v>
      </c>
      <c r="BO12" s="323"/>
      <c r="BP12" s="323"/>
      <c r="BQ12" s="323"/>
      <c r="BR12" s="323"/>
      <c r="BS12" s="323"/>
      <c r="BT12" s="323"/>
      <c r="BU12" s="323"/>
      <c r="BV12" s="323">
        <f t="shared" si="8"/>
        <v>0</v>
      </c>
      <c r="BW12" s="323">
        <f t="shared" si="9"/>
        <v>0</v>
      </c>
      <c r="BX12" s="323">
        <f t="shared" si="9"/>
        <v>0</v>
      </c>
      <c r="BY12" s="323">
        <f t="shared" si="9"/>
        <v>0</v>
      </c>
      <c r="BZ12" s="55">
        <f t="shared" si="10"/>
        <v>0</v>
      </c>
      <c r="CA12" s="550">
        <f>AP12-BH12-BZ12</f>
        <v>0</v>
      </c>
      <c r="CB12" s="551">
        <f>X12*D12</f>
        <v>200000</v>
      </c>
      <c r="CC12" s="74">
        <f t="shared" si="11"/>
        <v>0</v>
      </c>
      <c r="CD12" s="553">
        <f>SUM(V12/D12)</f>
        <v>1</v>
      </c>
      <c r="CE12" s="109"/>
      <c r="CF12" s="323"/>
      <c r="CG12" s="323"/>
      <c r="CH12" s="582"/>
      <c r="CI12" s="561"/>
      <c r="CJ12" s="323"/>
      <c r="CK12" s="323"/>
      <c r="CL12" s="323"/>
      <c r="CM12" s="323"/>
      <c r="CN12" s="323"/>
      <c r="CO12" s="323">
        <f t="shared" si="12"/>
        <v>0</v>
      </c>
      <c r="CP12" s="323">
        <f t="shared" si="12"/>
        <v>0</v>
      </c>
      <c r="CQ12" s="323">
        <f t="shared" si="13"/>
        <v>0</v>
      </c>
      <c r="CR12" s="323">
        <f t="shared" si="13"/>
        <v>0</v>
      </c>
      <c r="CS12" s="323">
        <f t="shared" si="13"/>
        <v>0</v>
      </c>
      <c r="CT12" s="323">
        <f t="shared" si="13"/>
        <v>0</v>
      </c>
      <c r="CU12" s="323" t="e">
        <f>SUM(#REF!*12.5%)</f>
        <v>#REF!</v>
      </c>
      <c r="CV12" s="55" t="e">
        <f t="shared" si="17"/>
        <v>#REF!</v>
      </c>
      <c r="CW12" s="323"/>
      <c r="CX12" s="323"/>
      <c r="CY12" s="323"/>
      <c r="CZ12" s="323"/>
      <c r="DA12" s="323"/>
      <c r="DB12" s="323"/>
      <c r="DC12" s="323"/>
      <c r="DD12" s="323"/>
      <c r="DE12" s="323"/>
      <c r="DF12" s="323"/>
      <c r="DG12" s="323"/>
      <c r="DH12" s="323"/>
      <c r="DI12" s="55">
        <f t="shared" si="18"/>
        <v>0</v>
      </c>
    </row>
    <row r="13" spans="1:118" s="27" customFormat="1" ht="24.75" customHeight="1" thickBot="1" x14ac:dyDescent="0.25">
      <c r="A13" s="30"/>
      <c r="B13" s="31" t="s">
        <v>4</v>
      </c>
      <c r="C13" s="31"/>
      <c r="D13" s="1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4"/>
      <c r="W13" s="58"/>
      <c r="X13" s="76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8">
        <f t="shared" ref="AP13:CC13" si="21">SUM(AP6:AP12)</f>
        <v>4816000</v>
      </c>
      <c r="AQ13" s="735">
        <f t="shared" si="21"/>
        <v>400000</v>
      </c>
      <c r="AR13" s="735">
        <f t="shared" si="21"/>
        <v>450000</v>
      </c>
      <c r="AS13" s="735">
        <f t="shared" si="21"/>
        <v>700000</v>
      </c>
      <c r="AT13" s="735">
        <f t="shared" si="21"/>
        <v>400000</v>
      </c>
      <c r="AU13" s="736">
        <f t="shared" si="21"/>
        <v>1490500</v>
      </c>
      <c r="AV13" s="735">
        <f t="shared" si="21"/>
        <v>1340500</v>
      </c>
      <c r="AW13" s="78">
        <f t="shared" si="21"/>
        <v>0</v>
      </c>
      <c r="AX13" s="78"/>
      <c r="AY13" s="78"/>
      <c r="AZ13" s="78"/>
      <c r="BA13" s="78"/>
      <c r="BB13" s="78"/>
      <c r="BC13" s="78"/>
      <c r="BD13" s="78">
        <f t="shared" si="21"/>
        <v>0</v>
      </c>
      <c r="BE13" s="78">
        <f t="shared" si="21"/>
        <v>0</v>
      </c>
      <c r="BF13" s="78">
        <f t="shared" si="21"/>
        <v>0</v>
      </c>
      <c r="BG13" s="78">
        <f t="shared" si="21"/>
        <v>0</v>
      </c>
      <c r="BH13" s="78">
        <f t="shared" si="21"/>
        <v>4781000</v>
      </c>
      <c r="BI13" s="78">
        <f t="shared" si="21"/>
        <v>0</v>
      </c>
      <c r="BJ13" s="78">
        <f t="shared" si="21"/>
        <v>0</v>
      </c>
      <c r="BK13" s="78">
        <f t="shared" si="21"/>
        <v>0</v>
      </c>
      <c r="BL13" s="78">
        <f t="shared" si="21"/>
        <v>0</v>
      </c>
      <c r="BM13" s="78">
        <f t="shared" si="21"/>
        <v>160860</v>
      </c>
      <c r="BN13" s="78">
        <f t="shared" si="21"/>
        <v>187670</v>
      </c>
      <c r="BO13" s="78"/>
      <c r="BP13" s="78"/>
      <c r="BQ13" s="78"/>
      <c r="BR13" s="78"/>
      <c r="BS13" s="78"/>
      <c r="BT13" s="78"/>
      <c r="BU13" s="78"/>
      <c r="BV13" s="78">
        <f t="shared" si="21"/>
        <v>0</v>
      </c>
      <c r="BW13" s="78">
        <f t="shared" si="21"/>
        <v>0</v>
      </c>
      <c r="BX13" s="78">
        <f t="shared" si="21"/>
        <v>0</v>
      </c>
      <c r="BY13" s="78">
        <f t="shared" si="21"/>
        <v>0</v>
      </c>
      <c r="BZ13" s="78">
        <f t="shared" si="21"/>
        <v>348530</v>
      </c>
      <c r="CA13" s="78">
        <f t="shared" si="21"/>
        <v>35000</v>
      </c>
      <c r="CB13" s="78">
        <f t="shared" si="21"/>
        <v>4872380</v>
      </c>
      <c r="CC13" s="78">
        <f t="shared" si="21"/>
        <v>91380</v>
      </c>
      <c r="CD13" s="100">
        <v>1</v>
      </c>
      <c r="CE13" s="106"/>
      <c r="CF13" s="556"/>
      <c r="CG13" s="556"/>
      <c r="CH13" s="567">
        <f>SUM(CH6:CH12)</f>
        <v>24640</v>
      </c>
      <c r="CI13" s="561"/>
      <c r="CJ13" s="323"/>
      <c r="CK13" s="323"/>
      <c r="CL13" s="570"/>
      <c r="CM13" s="323"/>
      <c r="CN13" s="323"/>
      <c r="CO13" s="323">
        <f t="shared" si="12"/>
        <v>167562.5</v>
      </c>
      <c r="CP13" s="323">
        <f t="shared" si="12"/>
        <v>0</v>
      </c>
      <c r="CQ13" s="323">
        <f t="shared" si="13"/>
        <v>0</v>
      </c>
      <c r="CR13" s="323">
        <f t="shared" si="13"/>
        <v>0</v>
      </c>
      <c r="CS13" s="323">
        <f t="shared" si="13"/>
        <v>0</v>
      </c>
      <c r="CT13" s="323">
        <f t="shared" si="13"/>
        <v>0</v>
      </c>
      <c r="CU13" s="323" t="e">
        <f>SUM(#REF!*12.5%)</f>
        <v>#REF!</v>
      </c>
      <c r="CV13" s="55" t="e">
        <f t="shared" si="17"/>
        <v>#REF!</v>
      </c>
      <c r="CW13" s="323"/>
      <c r="CX13" s="323"/>
      <c r="CY13" s="323"/>
      <c r="CZ13" s="323"/>
      <c r="DA13" s="323"/>
      <c r="DB13" s="323"/>
      <c r="DC13" s="323"/>
      <c r="DD13" s="323"/>
      <c r="DE13" s="323"/>
      <c r="DF13" s="323"/>
      <c r="DG13" s="323"/>
      <c r="DH13" s="323"/>
      <c r="DI13" s="55">
        <f t="shared" si="18"/>
        <v>0</v>
      </c>
    </row>
    <row r="14" spans="1:118" s="16" customFormat="1" ht="24.75" customHeight="1" x14ac:dyDescent="0.2">
      <c r="A14" s="37"/>
      <c r="D14" s="133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AO14" s="28"/>
      <c r="BH14" s="38"/>
      <c r="BZ14" s="39">
        <f>SUM(BH13+BZ13)</f>
        <v>5129530</v>
      </c>
      <c r="CA14" s="40">
        <f>AP13-BH13</f>
        <v>35000</v>
      </c>
      <c r="CB14" s="41">
        <f>SUM(CC13+BH13)</f>
        <v>4872380</v>
      </c>
      <c r="CC14" s="42">
        <f>SUM(CA13)</f>
        <v>35000</v>
      </c>
      <c r="CD14" s="28" t="s">
        <v>29</v>
      </c>
      <c r="CE14" s="107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</row>
    <row r="15" spans="1:118" s="16" customFormat="1" ht="24.75" customHeight="1" x14ac:dyDescent="0.2">
      <c r="A15" s="37"/>
      <c r="D15" s="133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AO15" s="28"/>
      <c r="BH15" s="28"/>
      <c r="BI15" s="82">
        <f>SUM(BI13+AQ13)</f>
        <v>400000</v>
      </c>
      <c r="BJ15" s="512">
        <f>SUM(BJ13+AR13)</f>
        <v>450000</v>
      </c>
      <c r="BK15" s="82">
        <f>SUM(BK13+AS13)</f>
        <v>700000</v>
      </c>
      <c r="BL15" s="82">
        <f>SUM(BL13+AT13)</f>
        <v>400000</v>
      </c>
      <c r="BM15" s="82"/>
      <c r="BN15" s="82">
        <f>SUM(BN13+AV13)</f>
        <v>1528170</v>
      </c>
      <c r="BO15" s="82"/>
      <c r="BP15" s="82"/>
      <c r="BQ15" s="82"/>
      <c r="BR15" s="82"/>
      <c r="BS15" s="82"/>
      <c r="BT15" s="82"/>
      <c r="BU15" s="82"/>
      <c r="BV15" s="82">
        <f>SUM(BV13+AW13)</f>
        <v>0</v>
      </c>
      <c r="BW15" s="82">
        <f>SUM(BW13+BD13)</f>
        <v>0</v>
      </c>
      <c r="BX15" s="82">
        <f>SUM(BX13+BE13)</f>
        <v>0</v>
      </c>
      <c r="BY15" s="82">
        <f>SUM(BY13+BF13)</f>
        <v>0</v>
      </c>
      <c r="BZ15" s="82">
        <f>SUM(BZ13+BH13)</f>
        <v>5129530</v>
      </c>
      <c r="CA15" s="28"/>
      <c r="CB15" s="43"/>
      <c r="CC15" s="44">
        <f>SUM(CC13-CC14)</f>
        <v>56380</v>
      </c>
      <c r="CD15" s="28" t="s">
        <v>28</v>
      </c>
      <c r="CE15" s="107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</row>
    <row r="16" spans="1:118" s="16" customFormat="1" ht="24.75" customHeight="1" x14ac:dyDescent="0.2">
      <c r="A16" s="811" t="s">
        <v>7</v>
      </c>
      <c r="B16" s="812"/>
      <c r="C16" s="83" t="s">
        <v>100</v>
      </c>
      <c r="D16" s="85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6"/>
      <c r="AP16" s="17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7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7"/>
      <c r="CA16" s="87"/>
      <c r="CB16" s="84"/>
      <c r="CC16" s="88"/>
      <c r="CD16" s="17"/>
      <c r="CE16" s="103"/>
      <c r="CF16" s="85"/>
      <c r="CG16" s="85"/>
      <c r="CH16" s="85"/>
      <c r="CI16" s="85"/>
      <c r="CJ16" s="86"/>
      <c r="CK16" s="85"/>
      <c r="CL16" s="85"/>
      <c r="CM16" s="85"/>
      <c r="CN16" s="85"/>
      <c r="CO16" s="85"/>
      <c r="CP16" s="87"/>
      <c r="CQ16" s="87"/>
      <c r="CR16" s="87"/>
      <c r="CS16" s="84"/>
      <c r="CT16" s="88"/>
      <c r="CU16" s="87"/>
      <c r="CV16" s="87"/>
      <c r="CW16" s="18"/>
      <c r="CX16" s="18"/>
      <c r="CY16" s="18"/>
      <c r="CZ16" s="18"/>
      <c r="DA16" s="18"/>
      <c r="DB16" s="89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</row>
    <row r="17" spans="1:113" s="7" customFormat="1" ht="48.75" customHeight="1" x14ac:dyDescent="0.2">
      <c r="A17" s="813" t="s">
        <v>8</v>
      </c>
      <c r="B17" s="787" t="s">
        <v>9</v>
      </c>
      <c r="C17" s="787" t="s">
        <v>22</v>
      </c>
      <c r="D17" s="806" t="s">
        <v>10</v>
      </c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06"/>
      <c r="S17" s="806"/>
      <c r="T17" s="806"/>
      <c r="U17" s="806"/>
      <c r="V17" s="806"/>
      <c r="W17" s="787" t="s">
        <v>20</v>
      </c>
      <c r="X17" s="807" t="s">
        <v>17</v>
      </c>
      <c r="Y17" s="808"/>
      <c r="Z17" s="808"/>
      <c r="AA17" s="808"/>
      <c r="AB17" s="808"/>
      <c r="AC17" s="808"/>
      <c r="AD17" s="808"/>
      <c r="AE17" s="808"/>
      <c r="AF17" s="808"/>
      <c r="AG17" s="808"/>
      <c r="AH17" s="808"/>
      <c r="AI17" s="808"/>
      <c r="AJ17" s="808"/>
      <c r="AK17" s="808"/>
      <c r="AL17" s="808"/>
      <c r="AM17" s="808"/>
      <c r="AN17" s="808"/>
      <c r="AO17" s="809"/>
      <c r="AP17" s="810" t="s">
        <v>5</v>
      </c>
      <c r="AQ17" s="810"/>
      <c r="AR17" s="810"/>
      <c r="AS17" s="810"/>
      <c r="AT17" s="810"/>
      <c r="AU17" s="810"/>
      <c r="AV17" s="810"/>
      <c r="AW17" s="810"/>
      <c r="AX17" s="810"/>
      <c r="AY17" s="810"/>
      <c r="AZ17" s="810"/>
      <c r="BA17" s="810"/>
      <c r="BB17" s="810"/>
      <c r="BC17" s="810"/>
      <c r="BD17" s="810"/>
      <c r="BE17" s="810"/>
      <c r="BF17" s="810"/>
      <c r="BG17" s="810"/>
      <c r="BH17" s="810"/>
      <c r="BI17" s="800" t="s">
        <v>32</v>
      </c>
      <c r="BJ17" s="801"/>
      <c r="BK17" s="801"/>
      <c r="BL17" s="801"/>
      <c r="BM17" s="801"/>
      <c r="BN17" s="801"/>
      <c r="BO17" s="801"/>
      <c r="BP17" s="801"/>
      <c r="BQ17" s="801"/>
      <c r="BR17" s="801"/>
      <c r="BS17" s="801"/>
      <c r="BT17" s="801"/>
      <c r="BU17" s="801"/>
      <c r="BV17" s="801"/>
      <c r="BW17" s="801"/>
      <c r="BX17" s="801"/>
      <c r="BY17" s="801"/>
      <c r="BZ17" s="802"/>
      <c r="CA17" s="787" t="s">
        <v>29</v>
      </c>
      <c r="CB17" s="787" t="s">
        <v>57</v>
      </c>
      <c r="CC17" s="790" t="s">
        <v>30</v>
      </c>
      <c r="CD17" s="84"/>
      <c r="CE17" s="17"/>
      <c r="CF17" s="84"/>
      <c r="CG17" s="84"/>
      <c r="CH17" s="84"/>
      <c r="CI17" s="84"/>
      <c r="CJ17" s="774" t="s">
        <v>32</v>
      </c>
      <c r="CK17" s="775"/>
      <c r="CL17" s="775"/>
      <c r="CM17" s="775"/>
      <c r="CN17" s="775"/>
      <c r="CO17" s="775"/>
      <c r="CP17" s="775"/>
      <c r="CQ17" s="775"/>
      <c r="CR17" s="775"/>
      <c r="CS17" s="775"/>
      <c r="CT17" s="775"/>
      <c r="CU17" s="775"/>
      <c r="CV17" s="775"/>
      <c r="CW17" s="775"/>
      <c r="CX17" s="775"/>
      <c r="CY17" s="775"/>
      <c r="CZ17" s="775"/>
      <c r="DA17" s="775"/>
      <c r="DB17" s="775"/>
      <c r="DC17" s="775"/>
      <c r="DD17" s="775"/>
      <c r="DE17" s="775"/>
      <c r="DF17" s="775"/>
      <c r="DG17" s="775"/>
      <c r="DH17" s="775"/>
      <c r="DI17" s="776"/>
    </row>
    <row r="18" spans="1:113" s="7" customFormat="1" ht="48.75" customHeight="1" x14ac:dyDescent="0.2">
      <c r="A18" s="814"/>
      <c r="B18" s="788"/>
      <c r="C18" s="788"/>
      <c r="D18" s="864" t="s">
        <v>18</v>
      </c>
      <c r="E18" s="795" t="s">
        <v>19</v>
      </c>
      <c r="F18" s="796"/>
      <c r="G18" s="796"/>
      <c r="H18" s="796"/>
      <c r="I18" s="796"/>
      <c r="J18" s="796"/>
      <c r="K18" s="796"/>
      <c r="L18" s="796"/>
      <c r="M18" s="796"/>
      <c r="N18" s="796"/>
      <c r="O18" s="796"/>
      <c r="P18" s="796"/>
      <c r="Q18" s="796"/>
      <c r="R18" s="796"/>
      <c r="S18" s="796"/>
      <c r="T18" s="796"/>
      <c r="U18" s="796"/>
      <c r="V18" s="796"/>
      <c r="W18" s="788"/>
      <c r="X18" s="797" t="s">
        <v>18</v>
      </c>
      <c r="Y18" s="795" t="s">
        <v>19</v>
      </c>
      <c r="Z18" s="796"/>
      <c r="AA18" s="796"/>
      <c r="AB18" s="796"/>
      <c r="AC18" s="796"/>
      <c r="AD18" s="796"/>
      <c r="AE18" s="796"/>
      <c r="AF18" s="796"/>
      <c r="AG18" s="796"/>
      <c r="AH18" s="796"/>
      <c r="AI18" s="796"/>
      <c r="AJ18" s="796"/>
      <c r="AK18" s="796"/>
      <c r="AL18" s="796"/>
      <c r="AM18" s="796"/>
      <c r="AN18" s="796"/>
      <c r="AO18" s="799"/>
      <c r="AP18" s="797" t="s">
        <v>18</v>
      </c>
      <c r="AQ18" s="795" t="s">
        <v>19</v>
      </c>
      <c r="AR18" s="796"/>
      <c r="AS18" s="796"/>
      <c r="AT18" s="796"/>
      <c r="AU18" s="796"/>
      <c r="AV18" s="796"/>
      <c r="AW18" s="796"/>
      <c r="AX18" s="796"/>
      <c r="AY18" s="796"/>
      <c r="AZ18" s="796"/>
      <c r="BA18" s="796"/>
      <c r="BB18" s="796"/>
      <c r="BC18" s="796"/>
      <c r="BD18" s="796"/>
      <c r="BE18" s="796"/>
      <c r="BF18" s="796"/>
      <c r="BG18" s="796"/>
      <c r="BH18" s="799"/>
      <c r="BI18" s="803"/>
      <c r="BJ18" s="804"/>
      <c r="BK18" s="804"/>
      <c r="BL18" s="804"/>
      <c r="BM18" s="804"/>
      <c r="BN18" s="804"/>
      <c r="BO18" s="804"/>
      <c r="BP18" s="804"/>
      <c r="BQ18" s="804"/>
      <c r="BR18" s="804"/>
      <c r="BS18" s="804"/>
      <c r="BT18" s="804"/>
      <c r="BU18" s="804"/>
      <c r="BV18" s="804"/>
      <c r="BW18" s="804"/>
      <c r="BX18" s="804"/>
      <c r="BY18" s="804"/>
      <c r="BZ18" s="805"/>
      <c r="CA18" s="788"/>
      <c r="CB18" s="788"/>
      <c r="CC18" s="791"/>
      <c r="CD18" s="84"/>
      <c r="CE18" s="17"/>
      <c r="CF18" s="777">
        <f>SUM(CF20/60)</f>
        <v>0</v>
      </c>
      <c r="CG18" s="777"/>
      <c r="CH18" s="777"/>
      <c r="CI18" s="17"/>
      <c r="CJ18" s="778" t="s">
        <v>230</v>
      </c>
      <c r="CK18" s="779"/>
      <c r="CL18" s="779"/>
      <c r="CM18" s="779"/>
      <c r="CN18" s="779"/>
      <c r="CO18" s="779"/>
      <c r="CP18" s="779"/>
      <c r="CQ18" s="779"/>
      <c r="CR18" s="779"/>
      <c r="CS18" s="779"/>
      <c r="CT18" s="779"/>
      <c r="CU18" s="779"/>
      <c r="CV18" s="780"/>
      <c r="CW18" s="781" t="s">
        <v>231</v>
      </c>
      <c r="CX18" s="782"/>
      <c r="CY18" s="782"/>
      <c r="CZ18" s="782"/>
      <c r="DA18" s="782"/>
      <c r="DB18" s="782"/>
      <c r="DC18" s="782"/>
      <c r="DD18" s="782"/>
      <c r="DE18" s="782"/>
      <c r="DF18" s="782"/>
      <c r="DG18" s="782"/>
      <c r="DH18" s="782"/>
      <c r="DI18" s="783"/>
    </row>
    <row r="19" spans="1:113" s="5" customFormat="1" ht="28.5" customHeight="1" x14ac:dyDescent="0.2">
      <c r="A19" s="815"/>
      <c r="B19" s="789"/>
      <c r="C19" s="789"/>
      <c r="D19" s="865"/>
      <c r="E19" s="20">
        <v>1</v>
      </c>
      <c r="F19" s="20">
        <v>2</v>
      </c>
      <c r="G19" s="20">
        <v>3</v>
      </c>
      <c r="H19" s="20">
        <v>4</v>
      </c>
      <c r="I19" s="20">
        <v>5</v>
      </c>
      <c r="J19" s="20">
        <v>6</v>
      </c>
      <c r="K19" s="20">
        <v>7</v>
      </c>
      <c r="L19" s="20">
        <v>8</v>
      </c>
      <c r="M19" s="20">
        <v>9</v>
      </c>
      <c r="N19" s="20">
        <v>10</v>
      </c>
      <c r="O19" s="20"/>
      <c r="P19" s="20"/>
      <c r="Q19" s="20"/>
      <c r="R19" s="20"/>
      <c r="S19" s="20"/>
      <c r="T19" s="20"/>
      <c r="U19" s="20">
        <v>11</v>
      </c>
      <c r="V19" s="20" t="s">
        <v>21</v>
      </c>
      <c r="W19" s="789"/>
      <c r="X19" s="798"/>
      <c r="Y19" s="312">
        <v>1</v>
      </c>
      <c r="Z19" s="20">
        <v>2</v>
      </c>
      <c r="AA19" s="20">
        <v>3</v>
      </c>
      <c r="AB19" s="20">
        <v>4</v>
      </c>
      <c r="AC19" s="20">
        <v>5</v>
      </c>
      <c r="AD19" s="20">
        <v>6</v>
      </c>
      <c r="AE19" s="20">
        <v>7</v>
      </c>
      <c r="AF19" s="20">
        <v>8</v>
      </c>
      <c r="AG19" s="20"/>
      <c r="AH19" s="20"/>
      <c r="AI19" s="20"/>
      <c r="AJ19" s="20"/>
      <c r="AK19" s="20"/>
      <c r="AL19" s="20">
        <v>9</v>
      </c>
      <c r="AM19" s="20">
        <v>10</v>
      </c>
      <c r="AN19" s="20">
        <v>11</v>
      </c>
      <c r="AO19" s="20">
        <v>12</v>
      </c>
      <c r="AP19" s="798"/>
      <c r="AQ19" s="20">
        <v>1</v>
      </c>
      <c r="AR19" s="20">
        <v>2</v>
      </c>
      <c r="AS19" s="20">
        <v>3</v>
      </c>
      <c r="AT19" s="20">
        <v>4</v>
      </c>
      <c r="AU19" s="20">
        <v>5</v>
      </c>
      <c r="AV19" s="20">
        <v>6</v>
      </c>
      <c r="AW19" s="20">
        <v>7</v>
      </c>
      <c r="AX19" s="20"/>
      <c r="AY19" s="20"/>
      <c r="AZ19" s="20"/>
      <c r="BA19" s="20"/>
      <c r="BB19" s="20"/>
      <c r="BC19" s="20"/>
      <c r="BD19" s="20">
        <v>8</v>
      </c>
      <c r="BE19" s="20">
        <v>9</v>
      </c>
      <c r="BF19" s="20">
        <v>10</v>
      </c>
      <c r="BG19" s="20">
        <v>11</v>
      </c>
      <c r="BH19" s="20" t="s">
        <v>13</v>
      </c>
      <c r="BI19" s="111">
        <v>1</v>
      </c>
      <c r="BJ19" s="111">
        <v>2</v>
      </c>
      <c r="BK19" s="111">
        <v>3</v>
      </c>
      <c r="BL19" s="111">
        <v>4</v>
      </c>
      <c r="BM19" s="111">
        <v>5</v>
      </c>
      <c r="BN19" s="111">
        <v>6</v>
      </c>
      <c r="BO19" s="111"/>
      <c r="BP19" s="111"/>
      <c r="BQ19" s="111"/>
      <c r="BR19" s="111"/>
      <c r="BS19" s="111"/>
      <c r="BT19" s="111"/>
      <c r="BU19" s="111"/>
      <c r="BV19" s="111">
        <v>7</v>
      </c>
      <c r="BW19" s="111">
        <v>8</v>
      </c>
      <c r="BX19" s="111">
        <v>9</v>
      </c>
      <c r="BY19" s="111">
        <v>10</v>
      </c>
      <c r="BZ19" s="20" t="s">
        <v>13</v>
      </c>
      <c r="CA19" s="789"/>
      <c r="CB19" s="789"/>
      <c r="CC19" s="792"/>
      <c r="CD19" s="6"/>
      <c r="CE19" s="21"/>
      <c r="CF19" s="784" t="s">
        <v>19</v>
      </c>
      <c r="CG19" s="785"/>
      <c r="CH19" s="786"/>
      <c r="CI19" s="337"/>
      <c r="CJ19" s="111">
        <v>1</v>
      </c>
      <c r="CK19" s="111">
        <v>2</v>
      </c>
      <c r="CL19" s="111">
        <v>3</v>
      </c>
      <c r="CM19" s="111">
        <v>4</v>
      </c>
      <c r="CN19" s="111">
        <v>5</v>
      </c>
      <c r="CO19" s="111">
        <v>6</v>
      </c>
      <c r="CP19" s="111">
        <v>7</v>
      </c>
      <c r="CQ19" s="111">
        <v>8</v>
      </c>
      <c r="CR19" s="111">
        <v>9</v>
      </c>
      <c r="CS19" s="111">
        <v>10</v>
      </c>
      <c r="CT19" s="111">
        <v>11</v>
      </c>
      <c r="CU19" s="111">
        <v>12</v>
      </c>
      <c r="CV19" s="20" t="s">
        <v>13</v>
      </c>
      <c r="CW19" s="111">
        <v>1</v>
      </c>
      <c r="CX19" s="111">
        <v>2</v>
      </c>
      <c r="CY19" s="111">
        <v>3</v>
      </c>
      <c r="CZ19" s="111">
        <v>4</v>
      </c>
      <c r="DA19" s="111">
        <v>5</v>
      </c>
      <c r="DB19" s="111">
        <v>6</v>
      </c>
      <c r="DC19" s="111">
        <v>7</v>
      </c>
      <c r="DD19" s="111">
        <v>8</v>
      </c>
      <c r="DE19" s="111">
        <v>9</v>
      </c>
      <c r="DF19" s="111">
        <v>10</v>
      </c>
      <c r="DG19" s="111">
        <v>11</v>
      </c>
      <c r="DH19" s="111">
        <v>12</v>
      </c>
      <c r="DI19" s="20" t="s">
        <v>13</v>
      </c>
    </row>
    <row r="20" spans="1:113" s="70" customFormat="1" ht="24.75" customHeight="1" x14ac:dyDescent="0.2">
      <c r="A20" s="64">
        <v>1</v>
      </c>
      <c r="B20" s="90" t="s">
        <v>101</v>
      </c>
      <c r="C20" s="65" t="s">
        <v>73</v>
      </c>
      <c r="D20" s="61">
        <v>1</v>
      </c>
      <c r="E20" s="66">
        <v>1</v>
      </c>
      <c r="F20" s="67"/>
      <c r="G20" s="429"/>
      <c r="H20" s="429"/>
      <c r="I20" s="429"/>
      <c r="J20" s="710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8">
        <f t="shared" ref="V20:V34" si="22">SUM(E20:U20)</f>
        <v>1</v>
      </c>
      <c r="W20" s="117" t="s">
        <v>102</v>
      </c>
      <c r="X20" s="625">
        <v>50000</v>
      </c>
      <c r="Y20" s="115">
        <v>50000</v>
      </c>
      <c r="Z20" s="71"/>
      <c r="AA20" s="434"/>
      <c r="AB20" s="71"/>
      <c r="AC20" s="434"/>
      <c r="AD20" s="71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51">
        <f t="shared" ref="AP20:AP34" si="23">SUM(V20*X20)</f>
        <v>50000</v>
      </c>
      <c r="AQ20" s="52">
        <f t="shared" ref="AQ20:AQ34" si="24">Y20*E20</f>
        <v>50000</v>
      </c>
      <c r="AR20" s="52">
        <f t="shared" ref="AR20:AR34" si="25">Z20*F20</f>
        <v>0</v>
      </c>
      <c r="AS20" s="570">
        <f t="shared" ref="AS20:AS34" si="26">AA20*G20</f>
        <v>0</v>
      </c>
      <c r="AT20" s="570">
        <f t="shared" ref="AT20:AT34" si="27">AB20*H20</f>
        <v>0</v>
      </c>
      <c r="AU20" s="570">
        <f t="shared" ref="AU20:AU34" si="28">AC20*I20</f>
        <v>0</v>
      </c>
      <c r="AV20" s="712">
        <f t="shared" ref="AV20:AV34" si="29">AD20*J20</f>
        <v>0</v>
      </c>
      <c r="AW20" s="52">
        <f t="shared" ref="AW20:AW34" si="30">AE20*K20</f>
        <v>0</v>
      </c>
      <c r="AX20" s="52"/>
      <c r="AY20" s="52"/>
      <c r="AZ20" s="52"/>
      <c r="BA20" s="52"/>
      <c r="BB20" s="52"/>
      <c r="BC20" s="52"/>
      <c r="BD20" s="52">
        <f t="shared" ref="BD20:BD34" si="31">AF20*L20</f>
        <v>0</v>
      </c>
      <c r="BE20" s="52">
        <f t="shared" ref="BE20:BE34" si="32">AL20*M20</f>
        <v>0</v>
      </c>
      <c r="BF20" s="52">
        <f t="shared" ref="BF20:BF34" si="33">AM20*N20</f>
        <v>0</v>
      </c>
      <c r="BG20" s="52">
        <f t="shared" ref="BG20:BG34" si="34">AN20*U20</f>
        <v>0</v>
      </c>
      <c r="BH20" s="53">
        <f t="shared" ref="BH20:BH34" si="35">SUM(AQ20:BG20)</f>
        <v>50000</v>
      </c>
      <c r="BI20" s="52"/>
      <c r="BJ20" s="52">
        <f t="shared" ref="BJ20:BN27" si="36">SUM(AR20*14%)</f>
        <v>0</v>
      </c>
      <c r="BK20" s="52">
        <f t="shared" si="36"/>
        <v>0</v>
      </c>
      <c r="BL20" s="52">
        <f t="shared" si="36"/>
        <v>0</v>
      </c>
      <c r="BM20" s="52">
        <f t="shared" si="36"/>
        <v>0</v>
      </c>
      <c r="BN20" s="52">
        <f t="shared" si="36"/>
        <v>0</v>
      </c>
      <c r="BO20" s="52"/>
      <c r="BP20" s="52"/>
      <c r="BQ20" s="52"/>
      <c r="BR20" s="52"/>
      <c r="BS20" s="52"/>
      <c r="BT20" s="52"/>
      <c r="BU20" s="52"/>
      <c r="BV20" s="52">
        <f t="shared" ref="BV20:BV34" si="37">SUM(AW20*14%)</f>
        <v>0</v>
      </c>
      <c r="BW20" s="52">
        <f t="shared" ref="BW20:BW34" si="38">SUM(BD20*14%)</f>
        <v>0</v>
      </c>
      <c r="BX20" s="52">
        <f t="shared" ref="BX20:BX34" si="39">SUM(BE20*14%)</f>
        <v>0</v>
      </c>
      <c r="BY20" s="52">
        <f t="shared" ref="BY20:BY34" si="40">SUM(BF20*14%)</f>
        <v>0</v>
      </c>
      <c r="BZ20" s="54">
        <f t="shared" ref="BZ20:BZ34" si="41">SUM(BI20:BY20)</f>
        <v>0</v>
      </c>
      <c r="CA20" s="72">
        <f t="shared" ref="CA20:CA34" si="42">AP20-BH20-BZ20</f>
        <v>0</v>
      </c>
      <c r="CB20" s="73">
        <f t="shared" ref="CB20:CB34" si="43">X20*D20</f>
        <v>50000</v>
      </c>
      <c r="CC20" s="74">
        <f t="shared" ref="CC20:CC34" si="44">CB20-BH20-BZ20</f>
        <v>0</v>
      </c>
      <c r="CD20" s="99">
        <f t="shared" ref="CD20:CD34" si="45">SUM(V20/D20)</f>
        <v>1</v>
      </c>
      <c r="CE20" s="105"/>
      <c r="CF20" s="556"/>
      <c r="CG20" s="556"/>
      <c r="CH20" s="567"/>
      <c r="CI20" s="561"/>
      <c r="CJ20" s="323"/>
      <c r="CK20" s="323"/>
      <c r="CL20" s="556">
        <f t="shared" ref="CL20:CL35" si="46">SUM(AS20*12.5%)</f>
        <v>0</v>
      </c>
      <c r="CM20" s="323">
        <f t="shared" ref="CM20:CM35" si="47">SUM(AT20*12.5%)</f>
        <v>0</v>
      </c>
      <c r="CN20" s="323">
        <f t="shared" ref="CN20:CN35" si="48">SUM(AU20*12.5%)</f>
        <v>0</v>
      </c>
      <c r="CO20" s="323">
        <f t="shared" ref="CO20:CO35" si="49">SUM(AV20*12.5%)</f>
        <v>0</v>
      </c>
      <c r="CP20" s="323">
        <f t="shared" ref="CP20:CP35" si="50">SUM(AW20*12.5%)</f>
        <v>0</v>
      </c>
      <c r="CQ20" s="323">
        <f t="shared" ref="CQ20:CQ35" si="51">SUM(BD20*12.5%)</f>
        <v>0</v>
      </c>
      <c r="CR20" s="323">
        <f t="shared" ref="CR20:CR35" si="52">SUM(BE20*12.5%)</f>
        <v>0</v>
      </c>
      <c r="CS20" s="323">
        <f t="shared" ref="CS20:CS35" si="53">SUM(BF20*12.5%)</f>
        <v>0</v>
      </c>
      <c r="CT20" s="323">
        <f t="shared" ref="CT20:CT35" si="54">SUM(BG20*12.5%)</f>
        <v>0</v>
      </c>
      <c r="CU20" s="323" t="e">
        <f>SUM(#REF!*12.5%)</f>
        <v>#REF!</v>
      </c>
      <c r="CV20" s="55" t="e">
        <f t="shared" ref="CV20" si="55">SUM(CJ20:CU20)</f>
        <v>#REF!</v>
      </c>
      <c r="CW20" s="323"/>
      <c r="CX20" s="323"/>
      <c r="CY20" s="323"/>
      <c r="CZ20" s="323"/>
      <c r="DA20" s="323"/>
      <c r="DB20" s="323"/>
      <c r="DC20" s="323"/>
      <c r="DD20" s="323"/>
      <c r="DE20" s="323"/>
      <c r="DF20" s="323"/>
      <c r="DG20" s="323"/>
      <c r="DH20" s="323"/>
      <c r="DI20" s="55">
        <f t="shared" ref="DI20:DI21" si="56">SUM(CW20:DH20)</f>
        <v>0</v>
      </c>
    </row>
    <row r="21" spans="1:113" s="70" customFormat="1" ht="24.75" customHeight="1" x14ac:dyDescent="0.2">
      <c r="A21" s="64">
        <v>2</v>
      </c>
      <c r="B21" s="90" t="s">
        <v>103</v>
      </c>
      <c r="C21" s="65" t="s">
        <v>73</v>
      </c>
      <c r="D21" s="61">
        <v>1</v>
      </c>
      <c r="E21" s="66">
        <v>1</v>
      </c>
      <c r="F21" s="67"/>
      <c r="G21" s="429"/>
      <c r="H21" s="429"/>
      <c r="I21" s="429"/>
      <c r="J21" s="710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>
        <f t="shared" si="22"/>
        <v>1</v>
      </c>
      <c r="W21" s="117" t="s">
        <v>102</v>
      </c>
      <c r="X21" s="626">
        <v>50000</v>
      </c>
      <c r="Y21" s="115">
        <v>50000</v>
      </c>
      <c r="Z21" s="71"/>
      <c r="AA21" s="434"/>
      <c r="AB21" s="71"/>
      <c r="AC21" s="434"/>
      <c r="AD21" s="71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51">
        <f t="shared" si="23"/>
        <v>50000</v>
      </c>
      <c r="AQ21" s="52">
        <f t="shared" si="24"/>
        <v>50000</v>
      </c>
      <c r="AR21" s="52">
        <f t="shared" si="25"/>
        <v>0</v>
      </c>
      <c r="AS21" s="570">
        <f t="shared" si="26"/>
        <v>0</v>
      </c>
      <c r="AT21" s="570">
        <f t="shared" si="27"/>
        <v>0</v>
      </c>
      <c r="AU21" s="570">
        <f t="shared" si="28"/>
        <v>0</v>
      </c>
      <c r="AV21" s="712">
        <f t="shared" si="29"/>
        <v>0</v>
      </c>
      <c r="AW21" s="52">
        <f t="shared" si="30"/>
        <v>0</v>
      </c>
      <c r="AX21" s="52"/>
      <c r="AY21" s="52"/>
      <c r="AZ21" s="52"/>
      <c r="BA21" s="52"/>
      <c r="BB21" s="52"/>
      <c r="BC21" s="52"/>
      <c r="BD21" s="52">
        <f t="shared" si="31"/>
        <v>0</v>
      </c>
      <c r="BE21" s="52">
        <f t="shared" si="32"/>
        <v>0</v>
      </c>
      <c r="BF21" s="52">
        <f t="shared" si="33"/>
        <v>0</v>
      </c>
      <c r="BG21" s="52">
        <f t="shared" si="34"/>
        <v>0</v>
      </c>
      <c r="BH21" s="53">
        <f t="shared" si="35"/>
        <v>50000</v>
      </c>
      <c r="BI21" s="52"/>
      <c r="BJ21" s="52">
        <f t="shared" si="36"/>
        <v>0</v>
      </c>
      <c r="BK21" s="52">
        <f t="shared" si="36"/>
        <v>0</v>
      </c>
      <c r="BL21" s="52">
        <f t="shared" si="36"/>
        <v>0</v>
      </c>
      <c r="BM21" s="52">
        <f t="shared" si="36"/>
        <v>0</v>
      </c>
      <c r="BN21" s="52">
        <f t="shared" si="36"/>
        <v>0</v>
      </c>
      <c r="BO21" s="52"/>
      <c r="BP21" s="52"/>
      <c r="BQ21" s="52"/>
      <c r="BR21" s="52"/>
      <c r="BS21" s="52"/>
      <c r="BT21" s="52"/>
      <c r="BU21" s="52"/>
      <c r="BV21" s="52">
        <f t="shared" si="37"/>
        <v>0</v>
      </c>
      <c r="BW21" s="52">
        <f t="shared" si="38"/>
        <v>0</v>
      </c>
      <c r="BX21" s="52">
        <f t="shared" si="39"/>
        <v>0</v>
      </c>
      <c r="BY21" s="52">
        <f t="shared" si="40"/>
        <v>0</v>
      </c>
      <c r="BZ21" s="54">
        <f t="shared" si="41"/>
        <v>0</v>
      </c>
      <c r="CA21" s="72">
        <f t="shared" si="42"/>
        <v>0</v>
      </c>
      <c r="CB21" s="73">
        <f t="shared" si="43"/>
        <v>50000</v>
      </c>
      <c r="CC21" s="74">
        <f t="shared" si="44"/>
        <v>0</v>
      </c>
      <c r="CD21" s="99">
        <f t="shared" si="45"/>
        <v>1</v>
      </c>
      <c r="CE21" s="105"/>
      <c r="CF21" s="556"/>
      <c r="CG21" s="556"/>
      <c r="CH21" s="567"/>
      <c r="CI21" s="561"/>
      <c r="CJ21" s="323"/>
      <c r="CK21" s="323"/>
      <c r="CL21" s="556">
        <f t="shared" si="46"/>
        <v>0</v>
      </c>
      <c r="CM21" s="323">
        <f t="shared" si="47"/>
        <v>0</v>
      </c>
      <c r="CN21" s="323">
        <f t="shared" si="48"/>
        <v>0</v>
      </c>
      <c r="CO21" s="323">
        <f t="shared" si="49"/>
        <v>0</v>
      </c>
      <c r="CP21" s="323">
        <f t="shared" si="50"/>
        <v>0</v>
      </c>
      <c r="CQ21" s="323">
        <f t="shared" si="51"/>
        <v>0</v>
      </c>
      <c r="CR21" s="323">
        <f t="shared" si="52"/>
        <v>0</v>
      </c>
      <c r="CS21" s="323">
        <f t="shared" si="53"/>
        <v>0</v>
      </c>
      <c r="CT21" s="323">
        <f t="shared" si="54"/>
        <v>0</v>
      </c>
      <c r="CU21" s="323" t="e">
        <f>SUM(#REF!*12.5%)</f>
        <v>#REF!</v>
      </c>
      <c r="CV21" s="55" t="e">
        <f t="shared" ref="CV21" si="57">SUM(CJ21:CU21)</f>
        <v>#REF!</v>
      </c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G21" s="323"/>
      <c r="DH21" s="323"/>
      <c r="DI21" s="55">
        <f t="shared" si="56"/>
        <v>0</v>
      </c>
    </row>
    <row r="22" spans="1:113" s="70" customFormat="1" ht="24.75" customHeight="1" x14ac:dyDescent="0.2">
      <c r="A22" s="64">
        <v>3</v>
      </c>
      <c r="B22" s="90" t="s">
        <v>104</v>
      </c>
      <c r="C22" s="65" t="s">
        <v>73</v>
      </c>
      <c r="D22" s="61">
        <v>1</v>
      </c>
      <c r="E22" s="66">
        <v>1</v>
      </c>
      <c r="F22" s="67"/>
      <c r="G22" s="429"/>
      <c r="H22" s="429"/>
      <c r="I22" s="429"/>
      <c r="J22" s="710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8">
        <f t="shared" si="22"/>
        <v>1</v>
      </c>
      <c r="W22" s="117" t="s">
        <v>102</v>
      </c>
      <c r="X22" s="626">
        <v>50000</v>
      </c>
      <c r="Y22" s="115">
        <v>50000</v>
      </c>
      <c r="Z22" s="71"/>
      <c r="AA22" s="434"/>
      <c r="AB22" s="71"/>
      <c r="AC22" s="434"/>
      <c r="AD22" s="71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51">
        <f t="shared" si="23"/>
        <v>50000</v>
      </c>
      <c r="AQ22" s="52">
        <f t="shared" si="24"/>
        <v>50000</v>
      </c>
      <c r="AR22" s="52">
        <f t="shared" si="25"/>
        <v>0</v>
      </c>
      <c r="AS22" s="570">
        <f t="shared" si="26"/>
        <v>0</v>
      </c>
      <c r="AT22" s="570">
        <f t="shared" si="27"/>
        <v>0</v>
      </c>
      <c r="AU22" s="570">
        <f t="shared" si="28"/>
        <v>0</v>
      </c>
      <c r="AV22" s="712">
        <f t="shared" si="29"/>
        <v>0</v>
      </c>
      <c r="AW22" s="52">
        <f t="shared" si="30"/>
        <v>0</v>
      </c>
      <c r="AX22" s="52"/>
      <c r="AY22" s="52"/>
      <c r="AZ22" s="52"/>
      <c r="BA22" s="52"/>
      <c r="BB22" s="52"/>
      <c r="BC22" s="52"/>
      <c r="BD22" s="52">
        <f t="shared" si="31"/>
        <v>0</v>
      </c>
      <c r="BE22" s="52">
        <f t="shared" si="32"/>
        <v>0</v>
      </c>
      <c r="BF22" s="52">
        <f t="shared" si="33"/>
        <v>0</v>
      </c>
      <c r="BG22" s="52">
        <f t="shared" si="34"/>
        <v>0</v>
      </c>
      <c r="BH22" s="53">
        <f t="shared" si="35"/>
        <v>50000</v>
      </c>
      <c r="BI22" s="52"/>
      <c r="BJ22" s="52">
        <f t="shared" si="36"/>
        <v>0</v>
      </c>
      <c r="BK22" s="52">
        <f t="shared" si="36"/>
        <v>0</v>
      </c>
      <c r="BL22" s="52">
        <f t="shared" si="36"/>
        <v>0</v>
      </c>
      <c r="BM22" s="52">
        <f t="shared" si="36"/>
        <v>0</v>
      </c>
      <c r="BN22" s="52">
        <f t="shared" si="36"/>
        <v>0</v>
      </c>
      <c r="BO22" s="52"/>
      <c r="BP22" s="52"/>
      <c r="BQ22" s="52"/>
      <c r="BR22" s="52"/>
      <c r="BS22" s="52"/>
      <c r="BT22" s="52"/>
      <c r="BU22" s="52"/>
      <c r="BV22" s="52">
        <f t="shared" si="37"/>
        <v>0</v>
      </c>
      <c r="BW22" s="52">
        <f t="shared" si="38"/>
        <v>0</v>
      </c>
      <c r="BX22" s="52">
        <f t="shared" si="39"/>
        <v>0</v>
      </c>
      <c r="BY22" s="52">
        <f t="shared" si="40"/>
        <v>0</v>
      </c>
      <c r="BZ22" s="54">
        <f t="shared" si="41"/>
        <v>0</v>
      </c>
      <c r="CA22" s="72">
        <f t="shared" si="42"/>
        <v>0</v>
      </c>
      <c r="CB22" s="73">
        <f t="shared" si="43"/>
        <v>50000</v>
      </c>
      <c r="CC22" s="74">
        <f t="shared" si="44"/>
        <v>0</v>
      </c>
      <c r="CD22" s="99">
        <f t="shared" si="45"/>
        <v>1</v>
      </c>
      <c r="CE22" s="105"/>
      <c r="CF22" s="556"/>
      <c r="CG22" s="556"/>
      <c r="CH22" s="567"/>
      <c r="CI22" s="561"/>
      <c r="CJ22" s="323"/>
      <c r="CK22" s="323"/>
      <c r="CL22" s="556">
        <f t="shared" si="46"/>
        <v>0</v>
      </c>
      <c r="CM22" s="323">
        <f t="shared" si="47"/>
        <v>0</v>
      </c>
      <c r="CN22" s="323">
        <f t="shared" si="48"/>
        <v>0</v>
      </c>
      <c r="CO22" s="323">
        <f t="shared" si="49"/>
        <v>0</v>
      </c>
      <c r="CP22" s="323">
        <f t="shared" si="50"/>
        <v>0</v>
      </c>
      <c r="CQ22" s="323">
        <f t="shared" si="51"/>
        <v>0</v>
      </c>
      <c r="CR22" s="323">
        <f t="shared" si="52"/>
        <v>0</v>
      </c>
      <c r="CS22" s="323">
        <f t="shared" si="53"/>
        <v>0</v>
      </c>
      <c r="CT22" s="323">
        <f t="shared" si="54"/>
        <v>0</v>
      </c>
      <c r="CU22" s="323" t="e">
        <f>SUM(#REF!*12.5%)</f>
        <v>#REF!</v>
      </c>
      <c r="CV22" s="55" t="e">
        <f t="shared" ref="CV22:CV35" si="58">SUM(CJ22:CU22)</f>
        <v>#REF!</v>
      </c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55">
        <f t="shared" ref="DI22:DI35" si="59">SUM(CW22:DH22)</f>
        <v>0</v>
      </c>
    </row>
    <row r="23" spans="1:113" s="70" customFormat="1" ht="24.75" customHeight="1" x14ac:dyDescent="0.2">
      <c r="A23" s="64">
        <v>4</v>
      </c>
      <c r="B23" s="90" t="s">
        <v>105</v>
      </c>
      <c r="C23" s="65" t="s">
        <v>73</v>
      </c>
      <c r="D23" s="61">
        <v>1</v>
      </c>
      <c r="E23" s="66">
        <v>1</v>
      </c>
      <c r="F23" s="67"/>
      <c r="G23" s="429"/>
      <c r="H23" s="429"/>
      <c r="I23" s="429"/>
      <c r="J23" s="710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8">
        <f t="shared" si="22"/>
        <v>1</v>
      </c>
      <c r="W23" s="117" t="s">
        <v>102</v>
      </c>
      <c r="X23" s="626">
        <v>50000</v>
      </c>
      <c r="Y23" s="115">
        <v>50000</v>
      </c>
      <c r="Z23" s="71"/>
      <c r="AA23" s="434"/>
      <c r="AB23" s="71"/>
      <c r="AC23" s="434"/>
      <c r="AD23" s="71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51">
        <f t="shared" si="23"/>
        <v>50000</v>
      </c>
      <c r="AQ23" s="52">
        <f t="shared" si="24"/>
        <v>50000</v>
      </c>
      <c r="AR23" s="52">
        <f t="shared" si="25"/>
        <v>0</v>
      </c>
      <c r="AS23" s="570">
        <f t="shared" si="26"/>
        <v>0</v>
      </c>
      <c r="AT23" s="570">
        <f t="shared" si="27"/>
        <v>0</v>
      </c>
      <c r="AU23" s="570">
        <f t="shared" si="28"/>
        <v>0</v>
      </c>
      <c r="AV23" s="712">
        <f t="shared" si="29"/>
        <v>0</v>
      </c>
      <c r="AW23" s="52">
        <f t="shared" si="30"/>
        <v>0</v>
      </c>
      <c r="AX23" s="52"/>
      <c r="AY23" s="52"/>
      <c r="AZ23" s="52"/>
      <c r="BA23" s="52"/>
      <c r="BB23" s="52"/>
      <c r="BC23" s="52"/>
      <c r="BD23" s="52">
        <f t="shared" si="31"/>
        <v>0</v>
      </c>
      <c r="BE23" s="52">
        <f t="shared" si="32"/>
        <v>0</v>
      </c>
      <c r="BF23" s="52">
        <f t="shared" si="33"/>
        <v>0</v>
      </c>
      <c r="BG23" s="52">
        <f t="shared" si="34"/>
        <v>0</v>
      </c>
      <c r="BH23" s="53">
        <f t="shared" si="35"/>
        <v>50000</v>
      </c>
      <c r="BI23" s="52"/>
      <c r="BJ23" s="52">
        <f t="shared" si="36"/>
        <v>0</v>
      </c>
      <c r="BK23" s="52">
        <f t="shared" si="36"/>
        <v>0</v>
      </c>
      <c r="BL23" s="52">
        <f t="shared" si="36"/>
        <v>0</v>
      </c>
      <c r="BM23" s="52">
        <f t="shared" si="36"/>
        <v>0</v>
      </c>
      <c r="BN23" s="52">
        <f t="shared" si="36"/>
        <v>0</v>
      </c>
      <c r="BO23" s="52"/>
      <c r="BP23" s="52"/>
      <c r="BQ23" s="52"/>
      <c r="BR23" s="52"/>
      <c r="BS23" s="52"/>
      <c r="BT23" s="52"/>
      <c r="BU23" s="52"/>
      <c r="BV23" s="52">
        <f t="shared" si="37"/>
        <v>0</v>
      </c>
      <c r="BW23" s="52">
        <f t="shared" si="38"/>
        <v>0</v>
      </c>
      <c r="BX23" s="52">
        <f t="shared" si="39"/>
        <v>0</v>
      </c>
      <c r="BY23" s="52">
        <f t="shared" si="40"/>
        <v>0</v>
      </c>
      <c r="BZ23" s="54">
        <f t="shared" si="41"/>
        <v>0</v>
      </c>
      <c r="CA23" s="72">
        <f t="shared" si="42"/>
        <v>0</v>
      </c>
      <c r="CB23" s="73">
        <f t="shared" si="43"/>
        <v>50000</v>
      </c>
      <c r="CC23" s="74">
        <f t="shared" si="44"/>
        <v>0</v>
      </c>
      <c r="CD23" s="99">
        <f t="shared" si="45"/>
        <v>1</v>
      </c>
      <c r="CE23" s="105"/>
      <c r="CF23" s="556"/>
      <c r="CG23" s="556"/>
      <c r="CH23" s="567"/>
      <c r="CI23" s="561"/>
      <c r="CJ23" s="323"/>
      <c r="CK23" s="323"/>
      <c r="CL23" s="556">
        <f t="shared" si="46"/>
        <v>0</v>
      </c>
      <c r="CM23" s="323">
        <f t="shared" si="47"/>
        <v>0</v>
      </c>
      <c r="CN23" s="323">
        <f t="shared" si="48"/>
        <v>0</v>
      </c>
      <c r="CO23" s="323">
        <f t="shared" si="49"/>
        <v>0</v>
      </c>
      <c r="CP23" s="323">
        <f t="shared" si="50"/>
        <v>0</v>
      </c>
      <c r="CQ23" s="323">
        <f t="shared" si="51"/>
        <v>0</v>
      </c>
      <c r="CR23" s="323">
        <f t="shared" si="52"/>
        <v>0</v>
      </c>
      <c r="CS23" s="323">
        <f t="shared" si="53"/>
        <v>0</v>
      </c>
      <c r="CT23" s="323">
        <f t="shared" si="54"/>
        <v>0</v>
      </c>
      <c r="CU23" s="323" t="e">
        <f>SUM(#REF!*12.5%)</f>
        <v>#REF!</v>
      </c>
      <c r="CV23" s="55" t="e">
        <f t="shared" si="58"/>
        <v>#REF!</v>
      </c>
      <c r="CW23" s="323"/>
      <c r="CX23" s="323"/>
      <c r="CY23" s="323"/>
      <c r="CZ23" s="323"/>
      <c r="DA23" s="323"/>
      <c r="DB23" s="323"/>
      <c r="DC23" s="323"/>
      <c r="DD23" s="323"/>
      <c r="DE23" s="323"/>
      <c r="DF23" s="323"/>
      <c r="DG23" s="323"/>
      <c r="DH23" s="323"/>
      <c r="DI23" s="55">
        <f t="shared" si="59"/>
        <v>0</v>
      </c>
    </row>
    <row r="24" spans="1:113" s="70" customFormat="1" ht="24.75" customHeight="1" x14ac:dyDescent="0.2">
      <c r="A24" s="64">
        <v>5</v>
      </c>
      <c r="B24" s="90" t="s">
        <v>106</v>
      </c>
      <c r="C24" s="65" t="s">
        <v>73</v>
      </c>
      <c r="D24" s="61">
        <v>1</v>
      </c>
      <c r="E24" s="66">
        <v>1</v>
      </c>
      <c r="F24" s="67"/>
      <c r="G24" s="429"/>
      <c r="H24" s="429"/>
      <c r="I24" s="429"/>
      <c r="J24" s="710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8">
        <f t="shared" si="22"/>
        <v>1</v>
      </c>
      <c r="W24" s="117" t="s">
        <v>102</v>
      </c>
      <c r="X24" s="626">
        <v>50000</v>
      </c>
      <c r="Y24" s="115">
        <v>50000</v>
      </c>
      <c r="Z24" s="71"/>
      <c r="AA24" s="434"/>
      <c r="AB24" s="71"/>
      <c r="AC24" s="434"/>
      <c r="AD24" s="71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51">
        <f t="shared" si="23"/>
        <v>50000</v>
      </c>
      <c r="AQ24" s="52">
        <f t="shared" si="24"/>
        <v>50000</v>
      </c>
      <c r="AR24" s="52">
        <f t="shared" si="25"/>
        <v>0</v>
      </c>
      <c r="AS24" s="570">
        <f t="shared" si="26"/>
        <v>0</v>
      </c>
      <c r="AT24" s="570">
        <f t="shared" si="27"/>
        <v>0</v>
      </c>
      <c r="AU24" s="570">
        <f t="shared" si="28"/>
        <v>0</v>
      </c>
      <c r="AV24" s="712">
        <f t="shared" si="29"/>
        <v>0</v>
      </c>
      <c r="AW24" s="52">
        <f t="shared" si="30"/>
        <v>0</v>
      </c>
      <c r="AX24" s="52"/>
      <c r="AY24" s="52"/>
      <c r="AZ24" s="52"/>
      <c r="BA24" s="52"/>
      <c r="BB24" s="52"/>
      <c r="BC24" s="52"/>
      <c r="BD24" s="52">
        <f t="shared" si="31"/>
        <v>0</v>
      </c>
      <c r="BE24" s="52">
        <f t="shared" si="32"/>
        <v>0</v>
      </c>
      <c r="BF24" s="52">
        <f t="shared" si="33"/>
        <v>0</v>
      </c>
      <c r="BG24" s="52">
        <f t="shared" si="34"/>
        <v>0</v>
      </c>
      <c r="BH24" s="53">
        <f t="shared" si="35"/>
        <v>50000</v>
      </c>
      <c r="BI24" s="52"/>
      <c r="BJ24" s="52">
        <f t="shared" si="36"/>
        <v>0</v>
      </c>
      <c r="BK24" s="52">
        <f t="shared" si="36"/>
        <v>0</v>
      </c>
      <c r="BL24" s="52">
        <f t="shared" si="36"/>
        <v>0</v>
      </c>
      <c r="BM24" s="52">
        <f t="shared" si="36"/>
        <v>0</v>
      </c>
      <c r="BN24" s="52">
        <f t="shared" si="36"/>
        <v>0</v>
      </c>
      <c r="BO24" s="52"/>
      <c r="BP24" s="52"/>
      <c r="BQ24" s="52"/>
      <c r="BR24" s="52"/>
      <c r="BS24" s="52"/>
      <c r="BT24" s="52"/>
      <c r="BU24" s="52"/>
      <c r="BV24" s="52">
        <f t="shared" si="37"/>
        <v>0</v>
      </c>
      <c r="BW24" s="52">
        <f t="shared" si="38"/>
        <v>0</v>
      </c>
      <c r="BX24" s="52">
        <f t="shared" si="39"/>
        <v>0</v>
      </c>
      <c r="BY24" s="52">
        <f t="shared" si="40"/>
        <v>0</v>
      </c>
      <c r="BZ24" s="54">
        <f t="shared" si="41"/>
        <v>0</v>
      </c>
      <c r="CA24" s="72">
        <f t="shared" si="42"/>
        <v>0</v>
      </c>
      <c r="CB24" s="73">
        <f t="shared" si="43"/>
        <v>50000</v>
      </c>
      <c r="CC24" s="74">
        <f t="shared" si="44"/>
        <v>0</v>
      </c>
      <c r="CD24" s="99">
        <f t="shared" si="45"/>
        <v>1</v>
      </c>
      <c r="CE24" s="105"/>
      <c r="CF24" s="556"/>
      <c r="CG24" s="556"/>
      <c r="CH24" s="567"/>
      <c r="CI24" s="561"/>
      <c r="CJ24" s="323"/>
      <c r="CK24" s="323"/>
      <c r="CL24" s="556">
        <f t="shared" si="46"/>
        <v>0</v>
      </c>
      <c r="CM24" s="323">
        <f t="shared" si="47"/>
        <v>0</v>
      </c>
      <c r="CN24" s="323">
        <f t="shared" si="48"/>
        <v>0</v>
      </c>
      <c r="CO24" s="323">
        <f t="shared" si="49"/>
        <v>0</v>
      </c>
      <c r="CP24" s="323">
        <f t="shared" si="50"/>
        <v>0</v>
      </c>
      <c r="CQ24" s="323">
        <f t="shared" si="51"/>
        <v>0</v>
      </c>
      <c r="CR24" s="323">
        <f t="shared" si="52"/>
        <v>0</v>
      </c>
      <c r="CS24" s="323">
        <f t="shared" si="53"/>
        <v>0</v>
      </c>
      <c r="CT24" s="323">
        <f t="shared" si="54"/>
        <v>0</v>
      </c>
      <c r="CU24" s="323" t="e">
        <f>SUM(#REF!*12.5%)</f>
        <v>#REF!</v>
      </c>
      <c r="CV24" s="55" t="e">
        <f t="shared" si="58"/>
        <v>#REF!</v>
      </c>
      <c r="CW24" s="323"/>
      <c r="CX24" s="323"/>
      <c r="CY24" s="323"/>
      <c r="CZ24" s="323"/>
      <c r="DA24" s="323"/>
      <c r="DB24" s="323"/>
      <c r="DC24" s="323"/>
      <c r="DD24" s="323"/>
      <c r="DE24" s="323"/>
      <c r="DF24" s="323"/>
      <c r="DG24" s="323"/>
      <c r="DH24" s="323"/>
      <c r="DI24" s="55">
        <f t="shared" si="59"/>
        <v>0</v>
      </c>
    </row>
    <row r="25" spans="1:113" s="70" customFormat="1" ht="24.75" customHeight="1" x14ac:dyDescent="0.2">
      <c r="A25" s="64">
        <v>6</v>
      </c>
      <c r="B25" s="90" t="s">
        <v>107</v>
      </c>
      <c r="C25" s="65" t="s">
        <v>73</v>
      </c>
      <c r="D25" s="61">
        <v>1</v>
      </c>
      <c r="E25" s="66">
        <v>1</v>
      </c>
      <c r="F25" s="67"/>
      <c r="G25" s="429"/>
      <c r="H25" s="429"/>
      <c r="I25" s="429"/>
      <c r="J25" s="710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8">
        <f t="shared" si="22"/>
        <v>1</v>
      </c>
      <c r="W25" s="117" t="s">
        <v>102</v>
      </c>
      <c r="X25" s="626">
        <v>50000</v>
      </c>
      <c r="Y25" s="115">
        <v>50000</v>
      </c>
      <c r="Z25" s="71"/>
      <c r="AA25" s="434"/>
      <c r="AB25" s="71"/>
      <c r="AC25" s="434"/>
      <c r="AD25" s="71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51">
        <f t="shared" si="23"/>
        <v>50000</v>
      </c>
      <c r="AQ25" s="52">
        <f t="shared" si="24"/>
        <v>50000</v>
      </c>
      <c r="AR25" s="52">
        <f t="shared" si="25"/>
        <v>0</v>
      </c>
      <c r="AS25" s="570">
        <f t="shared" si="26"/>
        <v>0</v>
      </c>
      <c r="AT25" s="570">
        <f t="shared" si="27"/>
        <v>0</v>
      </c>
      <c r="AU25" s="570">
        <f t="shared" si="28"/>
        <v>0</v>
      </c>
      <c r="AV25" s="712">
        <f t="shared" si="29"/>
        <v>0</v>
      </c>
      <c r="AW25" s="52">
        <f t="shared" si="30"/>
        <v>0</v>
      </c>
      <c r="AX25" s="52"/>
      <c r="AY25" s="52"/>
      <c r="AZ25" s="52"/>
      <c r="BA25" s="52"/>
      <c r="BB25" s="52"/>
      <c r="BC25" s="52"/>
      <c r="BD25" s="52">
        <f t="shared" si="31"/>
        <v>0</v>
      </c>
      <c r="BE25" s="52">
        <f t="shared" si="32"/>
        <v>0</v>
      </c>
      <c r="BF25" s="52">
        <f t="shared" si="33"/>
        <v>0</v>
      </c>
      <c r="BG25" s="52">
        <f t="shared" si="34"/>
        <v>0</v>
      </c>
      <c r="BH25" s="53">
        <f t="shared" si="35"/>
        <v>50000</v>
      </c>
      <c r="BI25" s="52"/>
      <c r="BJ25" s="52">
        <f t="shared" si="36"/>
        <v>0</v>
      </c>
      <c r="BK25" s="52">
        <f t="shared" si="36"/>
        <v>0</v>
      </c>
      <c r="BL25" s="52">
        <f t="shared" si="36"/>
        <v>0</v>
      </c>
      <c r="BM25" s="52">
        <f t="shared" si="36"/>
        <v>0</v>
      </c>
      <c r="BN25" s="52">
        <f t="shared" si="36"/>
        <v>0</v>
      </c>
      <c r="BO25" s="52"/>
      <c r="BP25" s="52"/>
      <c r="BQ25" s="52"/>
      <c r="BR25" s="52"/>
      <c r="BS25" s="52"/>
      <c r="BT25" s="52"/>
      <c r="BU25" s="52"/>
      <c r="BV25" s="52">
        <f t="shared" si="37"/>
        <v>0</v>
      </c>
      <c r="BW25" s="52">
        <f t="shared" si="38"/>
        <v>0</v>
      </c>
      <c r="BX25" s="52">
        <f t="shared" si="39"/>
        <v>0</v>
      </c>
      <c r="BY25" s="52">
        <f t="shared" si="40"/>
        <v>0</v>
      </c>
      <c r="BZ25" s="54">
        <f t="shared" si="41"/>
        <v>0</v>
      </c>
      <c r="CA25" s="72">
        <f t="shared" si="42"/>
        <v>0</v>
      </c>
      <c r="CB25" s="73">
        <f t="shared" si="43"/>
        <v>50000</v>
      </c>
      <c r="CC25" s="74">
        <f t="shared" si="44"/>
        <v>0</v>
      </c>
      <c r="CD25" s="99">
        <f t="shared" si="45"/>
        <v>1</v>
      </c>
      <c r="CE25" s="105"/>
      <c r="CF25" s="556"/>
      <c r="CG25" s="556"/>
      <c r="CH25" s="567"/>
      <c r="CI25" s="561"/>
      <c r="CJ25" s="323"/>
      <c r="CK25" s="323"/>
      <c r="CL25" s="556">
        <f t="shared" si="46"/>
        <v>0</v>
      </c>
      <c r="CM25" s="323">
        <f t="shared" si="47"/>
        <v>0</v>
      </c>
      <c r="CN25" s="323">
        <f t="shared" si="48"/>
        <v>0</v>
      </c>
      <c r="CO25" s="323">
        <f t="shared" si="49"/>
        <v>0</v>
      </c>
      <c r="CP25" s="323">
        <f t="shared" si="50"/>
        <v>0</v>
      </c>
      <c r="CQ25" s="323">
        <f t="shared" si="51"/>
        <v>0</v>
      </c>
      <c r="CR25" s="323">
        <f t="shared" si="52"/>
        <v>0</v>
      </c>
      <c r="CS25" s="323">
        <f t="shared" si="53"/>
        <v>0</v>
      </c>
      <c r="CT25" s="323">
        <f t="shared" si="54"/>
        <v>0</v>
      </c>
      <c r="CU25" s="323" t="e">
        <f>SUM(#REF!*12.5%)</f>
        <v>#REF!</v>
      </c>
      <c r="CV25" s="55" t="e">
        <f t="shared" si="58"/>
        <v>#REF!</v>
      </c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G25" s="323"/>
      <c r="DH25" s="323"/>
      <c r="DI25" s="55">
        <f t="shared" si="59"/>
        <v>0</v>
      </c>
    </row>
    <row r="26" spans="1:113" s="70" customFormat="1" ht="24.75" customHeight="1" x14ac:dyDescent="0.2">
      <c r="A26" s="64">
        <v>7</v>
      </c>
      <c r="B26" s="90" t="s">
        <v>108</v>
      </c>
      <c r="C26" s="65" t="s">
        <v>73</v>
      </c>
      <c r="D26" s="61">
        <v>1</v>
      </c>
      <c r="E26" s="66">
        <v>1</v>
      </c>
      <c r="F26" s="67"/>
      <c r="G26" s="429"/>
      <c r="H26" s="429"/>
      <c r="I26" s="429"/>
      <c r="J26" s="710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8">
        <f t="shared" si="22"/>
        <v>1</v>
      </c>
      <c r="W26" s="117" t="s">
        <v>102</v>
      </c>
      <c r="X26" s="626">
        <v>50000</v>
      </c>
      <c r="Y26" s="115">
        <v>50000</v>
      </c>
      <c r="Z26" s="71"/>
      <c r="AA26" s="434"/>
      <c r="AB26" s="71"/>
      <c r="AC26" s="434"/>
      <c r="AD26" s="71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51">
        <f t="shared" si="23"/>
        <v>50000</v>
      </c>
      <c r="AQ26" s="52">
        <f t="shared" si="24"/>
        <v>50000</v>
      </c>
      <c r="AR26" s="52">
        <f t="shared" si="25"/>
        <v>0</v>
      </c>
      <c r="AS26" s="570">
        <f t="shared" si="26"/>
        <v>0</v>
      </c>
      <c r="AT26" s="570">
        <f t="shared" si="27"/>
        <v>0</v>
      </c>
      <c r="AU26" s="570">
        <f t="shared" si="28"/>
        <v>0</v>
      </c>
      <c r="AV26" s="712">
        <f t="shared" si="29"/>
        <v>0</v>
      </c>
      <c r="AW26" s="52">
        <f t="shared" si="30"/>
        <v>0</v>
      </c>
      <c r="AX26" s="52"/>
      <c r="AY26" s="52"/>
      <c r="AZ26" s="52"/>
      <c r="BA26" s="52"/>
      <c r="BB26" s="52"/>
      <c r="BC26" s="52"/>
      <c r="BD26" s="52">
        <f t="shared" si="31"/>
        <v>0</v>
      </c>
      <c r="BE26" s="52">
        <f t="shared" si="32"/>
        <v>0</v>
      </c>
      <c r="BF26" s="52">
        <f t="shared" si="33"/>
        <v>0</v>
      </c>
      <c r="BG26" s="52">
        <f t="shared" si="34"/>
        <v>0</v>
      </c>
      <c r="BH26" s="53">
        <f t="shared" si="35"/>
        <v>50000</v>
      </c>
      <c r="BI26" s="52"/>
      <c r="BJ26" s="52">
        <f t="shared" si="36"/>
        <v>0</v>
      </c>
      <c r="BK26" s="52">
        <f t="shared" si="36"/>
        <v>0</v>
      </c>
      <c r="BL26" s="52">
        <f t="shared" si="36"/>
        <v>0</v>
      </c>
      <c r="BM26" s="52">
        <f t="shared" si="36"/>
        <v>0</v>
      </c>
      <c r="BN26" s="52">
        <f t="shared" si="36"/>
        <v>0</v>
      </c>
      <c r="BO26" s="52"/>
      <c r="BP26" s="52"/>
      <c r="BQ26" s="52"/>
      <c r="BR26" s="52"/>
      <c r="BS26" s="52"/>
      <c r="BT26" s="52"/>
      <c r="BU26" s="52"/>
      <c r="BV26" s="52">
        <f t="shared" si="37"/>
        <v>0</v>
      </c>
      <c r="BW26" s="52">
        <f t="shared" si="38"/>
        <v>0</v>
      </c>
      <c r="BX26" s="52">
        <f t="shared" si="39"/>
        <v>0</v>
      </c>
      <c r="BY26" s="52">
        <f t="shared" si="40"/>
        <v>0</v>
      </c>
      <c r="BZ26" s="54">
        <f t="shared" si="41"/>
        <v>0</v>
      </c>
      <c r="CA26" s="72">
        <f t="shared" si="42"/>
        <v>0</v>
      </c>
      <c r="CB26" s="73">
        <f t="shared" si="43"/>
        <v>50000</v>
      </c>
      <c r="CC26" s="74">
        <f t="shared" si="44"/>
        <v>0</v>
      </c>
      <c r="CD26" s="99">
        <f t="shared" si="45"/>
        <v>1</v>
      </c>
      <c r="CE26" s="105"/>
      <c r="CF26" s="556"/>
      <c r="CG26" s="556"/>
      <c r="CH26" s="567"/>
      <c r="CI26" s="561"/>
      <c r="CJ26" s="323"/>
      <c r="CK26" s="323"/>
      <c r="CL26" s="556">
        <f t="shared" si="46"/>
        <v>0</v>
      </c>
      <c r="CM26" s="323">
        <f t="shared" si="47"/>
        <v>0</v>
      </c>
      <c r="CN26" s="323">
        <f t="shared" si="48"/>
        <v>0</v>
      </c>
      <c r="CO26" s="323">
        <f t="shared" si="49"/>
        <v>0</v>
      </c>
      <c r="CP26" s="323">
        <f t="shared" si="50"/>
        <v>0</v>
      </c>
      <c r="CQ26" s="323">
        <f t="shared" si="51"/>
        <v>0</v>
      </c>
      <c r="CR26" s="323">
        <f t="shared" si="52"/>
        <v>0</v>
      </c>
      <c r="CS26" s="323">
        <f t="shared" si="53"/>
        <v>0</v>
      </c>
      <c r="CT26" s="323">
        <f t="shared" si="54"/>
        <v>0</v>
      </c>
      <c r="CU26" s="323" t="e">
        <f>SUM(#REF!*12.5%)</f>
        <v>#REF!</v>
      </c>
      <c r="CV26" s="55" t="e">
        <f t="shared" si="58"/>
        <v>#REF!</v>
      </c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G26" s="323"/>
      <c r="DH26" s="323"/>
      <c r="DI26" s="55">
        <f t="shared" si="59"/>
        <v>0</v>
      </c>
    </row>
    <row r="27" spans="1:113" s="70" customFormat="1" ht="24.75" customHeight="1" x14ac:dyDescent="0.2">
      <c r="A27" s="64">
        <v>8</v>
      </c>
      <c r="B27" s="90" t="s">
        <v>109</v>
      </c>
      <c r="C27" s="65" t="s">
        <v>73</v>
      </c>
      <c r="D27" s="61">
        <v>1</v>
      </c>
      <c r="E27" s="66">
        <v>1</v>
      </c>
      <c r="F27" s="67"/>
      <c r="G27" s="429"/>
      <c r="H27" s="429"/>
      <c r="I27" s="429"/>
      <c r="J27" s="710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8">
        <f t="shared" si="22"/>
        <v>1</v>
      </c>
      <c r="W27" s="117" t="s">
        <v>102</v>
      </c>
      <c r="X27" s="626">
        <v>50000</v>
      </c>
      <c r="Y27" s="115">
        <v>50000</v>
      </c>
      <c r="Z27" s="71"/>
      <c r="AA27" s="434"/>
      <c r="AB27" s="71"/>
      <c r="AC27" s="434"/>
      <c r="AD27" s="71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51">
        <f t="shared" si="23"/>
        <v>50000</v>
      </c>
      <c r="AQ27" s="52">
        <f t="shared" si="24"/>
        <v>50000</v>
      </c>
      <c r="AR27" s="52">
        <f t="shared" si="25"/>
        <v>0</v>
      </c>
      <c r="AS27" s="570">
        <f t="shared" si="26"/>
        <v>0</v>
      </c>
      <c r="AT27" s="570">
        <f t="shared" si="27"/>
        <v>0</v>
      </c>
      <c r="AU27" s="570">
        <f t="shared" si="28"/>
        <v>0</v>
      </c>
      <c r="AV27" s="712">
        <f t="shared" si="29"/>
        <v>0</v>
      </c>
      <c r="AW27" s="52">
        <f t="shared" si="30"/>
        <v>0</v>
      </c>
      <c r="AX27" s="52"/>
      <c r="AY27" s="52"/>
      <c r="AZ27" s="52"/>
      <c r="BA27" s="52"/>
      <c r="BB27" s="52"/>
      <c r="BC27" s="52"/>
      <c r="BD27" s="52">
        <f t="shared" si="31"/>
        <v>0</v>
      </c>
      <c r="BE27" s="52">
        <f t="shared" si="32"/>
        <v>0</v>
      </c>
      <c r="BF27" s="52">
        <f t="shared" si="33"/>
        <v>0</v>
      </c>
      <c r="BG27" s="52">
        <f t="shared" si="34"/>
        <v>0</v>
      </c>
      <c r="BH27" s="53">
        <f t="shared" si="35"/>
        <v>50000</v>
      </c>
      <c r="BI27" s="52"/>
      <c r="BJ27" s="52">
        <f t="shared" si="36"/>
        <v>0</v>
      </c>
      <c r="BK27" s="52">
        <f t="shared" si="36"/>
        <v>0</v>
      </c>
      <c r="BL27" s="52">
        <f t="shared" si="36"/>
        <v>0</v>
      </c>
      <c r="BM27" s="52">
        <f t="shared" si="36"/>
        <v>0</v>
      </c>
      <c r="BN27" s="52">
        <f t="shared" si="36"/>
        <v>0</v>
      </c>
      <c r="BO27" s="52"/>
      <c r="BP27" s="52"/>
      <c r="BQ27" s="52"/>
      <c r="BR27" s="52"/>
      <c r="BS27" s="52"/>
      <c r="BT27" s="52"/>
      <c r="BU27" s="52"/>
      <c r="BV27" s="52">
        <f t="shared" si="37"/>
        <v>0</v>
      </c>
      <c r="BW27" s="52">
        <f t="shared" si="38"/>
        <v>0</v>
      </c>
      <c r="BX27" s="52">
        <f t="shared" si="39"/>
        <v>0</v>
      </c>
      <c r="BY27" s="52">
        <f t="shared" si="40"/>
        <v>0</v>
      </c>
      <c r="BZ27" s="54">
        <f t="shared" si="41"/>
        <v>0</v>
      </c>
      <c r="CA27" s="72">
        <f t="shared" si="42"/>
        <v>0</v>
      </c>
      <c r="CB27" s="73">
        <f t="shared" si="43"/>
        <v>50000</v>
      </c>
      <c r="CC27" s="74">
        <f t="shared" si="44"/>
        <v>0</v>
      </c>
      <c r="CD27" s="99">
        <f t="shared" si="45"/>
        <v>1</v>
      </c>
      <c r="CE27" s="105"/>
      <c r="CF27" s="556"/>
      <c r="CG27" s="556"/>
      <c r="CH27" s="567"/>
      <c r="CI27" s="561"/>
      <c r="CJ27" s="323"/>
      <c r="CK27" s="323"/>
      <c r="CL27" s="556">
        <f t="shared" si="46"/>
        <v>0</v>
      </c>
      <c r="CM27" s="323">
        <f t="shared" si="47"/>
        <v>0</v>
      </c>
      <c r="CN27" s="323">
        <f t="shared" si="48"/>
        <v>0</v>
      </c>
      <c r="CO27" s="323">
        <f t="shared" si="49"/>
        <v>0</v>
      </c>
      <c r="CP27" s="323">
        <f t="shared" si="50"/>
        <v>0</v>
      </c>
      <c r="CQ27" s="323">
        <f t="shared" si="51"/>
        <v>0</v>
      </c>
      <c r="CR27" s="323">
        <f t="shared" si="52"/>
        <v>0</v>
      </c>
      <c r="CS27" s="323">
        <f t="shared" si="53"/>
        <v>0</v>
      </c>
      <c r="CT27" s="323">
        <f t="shared" si="54"/>
        <v>0</v>
      </c>
      <c r="CU27" s="323" t="e">
        <f>SUM(#REF!*12.5%)</f>
        <v>#REF!</v>
      </c>
      <c r="CV27" s="55" t="e">
        <f t="shared" si="58"/>
        <v>#REF!</v>
      </c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55">
        <f t="shared" si="59"/>
        <v>0</v>
      </c>
    </row>
    <row r="28" spans="1:113" s="70" customFormat="1" ht="24.75" customHeight="1" x14ac:dyDescent="0.2">
      <c r="A28" s="64">
        <v>9</v>
      </c>
      <c r="B28" s="90" t="s">
        <v>110</v>
      </c>
      <c r="C28" s="65" t="s">
        <v>73</v>
      </c>
      <c r="D28" s="61">
        <v>300</v>
      </c>
      <c r="E28" s="66">
        <v>175</v>
      </c>
      <c r="F28" s="67">
        <v>25</v>
      </c>
      <c r="G28" s="618">
        <v>25</v>
      </c>
      <c r="H28" s="429">
        <v>25</v>
      </c>
      <c r="I28" s="429">
        <v>25</v>
      </c>
      <c r="J28" s="710">
        <v>25</v>
      </c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8">
        <f t="shared" si="22"/>
        <v>300</v>
      </c>
      <c r="W28" s="117" t="s">
        <v>117</v>
      </c>
      <c r="X28" s="626">
        <v>30000</v>
      </c>
      <c r="Y28" s="115">
        <v>30000</v>
      </c>
      <c r="Z28" s="322">
        <v>30000</v>
      </c>
      <c r="AA28" s="434">
        <v>30000</v>
      </c>
      <c r="AB28" s="71">
        <v>30000</v>
      </c>
      <c r="AC28" s="434">
        <v>30000</v>
      </c>
      <c r="AD28" s="711">
        <v>30000</v>
      </c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51">
        <f t="shared" si="23"/>
        <v>9000000</v>
      </c>
      <c r="AQ28" s="52">
        <f t="shared" si="24"/>
        <v>5250000</v>
      </c>
      <c r="AR28" s="52">
        <f t="shared" si="25"/>
        <v>750000</v>
      </c>
      <c r="AS28" s="570">
        <f t="shared" si="26"/>
        <v>750000</v>
      </c>
      <c r="AT28" s="570">
        <f t="shared" si="27"/>
        <v>750000</v>
      </c>
      <c r="AU28" s="570">
        <f t="shared" si="28"/>
        <v>750000</v>
      </c>
      <c r="AV28" s="712">
        <f t="shared" si="29"/>
        <v>750000</v>
      </c>
      <c r="AW28" s="52">
        <f t="shared" si="30"/>
        <v>0</v>
      </c>
      <c r="AX28" s="52"/>
      <c r="AY28" s="52"/>
      <c r="AZ28" s="52"/>
      <c r="BA28" s="52"/>
      <c r="BB28" s="52"/>
      <c r="BC28" s="52"/>
      <c r="BD28" s="52">
        <f t="shared" si="31"/>
        <v>0</v>
      </c>
      <c r="BE28" s="52">
        <f t="shared" si="32"/>
        <v>0</v>
      </c>
      <c r="BF28" s="52">
        <f t="shared" si="33"/>
        <v>0</v>
      </c>
      <c r="BG28" s="52">
        <f t="shared" si="34"/>
        <v>0</v>
      </c>
      <c r="BH28" s="53">
        <f t="shared" si="35"/>
        <v>9000000</v>
      </c>
      <c r="BI28" s="52"/>
      <c r="BJ28" s="52">
        <v>0</v>
      </c>
      <c r="BK28" s="52">
        <v>0</v>
      </c>
      <c r="BL28" s="52">
        <v>0</v>
      </c>
      <c r="BM28" s="52"/>
      <c r="BN28" s="52"/>
      <c r="BO28" s="52"/>
      <c r="BP28" s="52"/>
      <c r="BQ28" s="52"/>
      <c r="BR28" s="52"/>
      <c r="BS28" s="52"/>
      <c r="BT28" s="52"/>
      <c r="BU28" s="52"/>
      <c r="BV28" s="52">
        <f t="shared" si="37"/>
        <v>0</v>
      </c>
      <c r="BW28" s="52">
        <f t="shared" si="38"/>
        <v>0</v>
      </c>
      <c r="BX28" s="52">
        <f t="shared" si="39"/>
        <v>0</v>
      </c>
      <c r="BY28" s="52">
        <f t="shared" si="40"/>
        <v>0</v>
      </c>
      <c r="BZ28" s="54">
        <f t="shared" si="41"/>
        <v>0</v>
      </c>
      <c r="CA28" s="72">
        <f t="shared" si="42"/>
        <v>0</v>
      </c>
      <c r="CB28" s="73">
        <f t="shared" si="43"/>
        <v>9000000</v>
      </c>
      <c r="CC28" s="74">
        <f t="shared" si="44"/>
        <v>0</v>
      </c>
      <c r="CD28" s="99">
        <f t="shared" si="45"/>
        <v>1</v>
      </c>
      <c r="CE28" s="105"/>
      <c r="CF28" s="556"/>
      <c r="CG28" s="556"/>
      <c r="CH28" s="567"/>
      <c r="CI28" s="561"/>
      <c r="CJ28" s="323"/>
      <c r="CK28" s="323"/>
      <c r="CL28" s="556">
        <f t="shared" si="46"/>
        <v>93750</v>
      </c>
      <c r="CM28" s="323">
        <f t="shared" si="47"/>
        <v>93750</v>
      </c>
      <c r="CN28" s="323">
        <f t="shared" si="48"/>
        <v>93750</v>
      </c>
      <c r="CO28" s="323">
        <f t="shared" si="49"/>
        <v>93750</v>
      </c>
      <c r="CP28" s="323">
        <f t="shared" si="50"/>
        <v>0</v>
      </c>
      <c r="CQ28" s="323">
        <f t="shared" si="51"/>
        <v>0</v>
      </c>
      <c r="CR28" s="323">
        <f t="shared" si="52"/>
        <v>0</v>
      </c>
      <c r="CS28" s="323">
        <f t="shared" si="53"/>
        <v>0</v>
      </c>
      <c r="CT28" s="323">
        <f t="shared" si="54"/>
        <v>0</v>
      </c>
      <c r="CU28" s="323" t="e">
        <f>SUM(#REF!*12.5%)</f>
        <v>#REF!</v>
      </c>
      <c r="CV28" s="55" t="e">
        <f t="shared" si="58"/>
        <v>#REF!</v>
      </c>
      <c r="CW28" s="323"/>
      <c r="CX28" s="323"/>
      <c r="CY28" s="323"/>
      <c r="CZ28" s="323"/>
      <c r="DA28" s="323"/>
      <c r="DB28" s="323"/>
      <c r="DC28" s="323"/>
      <c r="DD28" s="323"/>
      <c r="DE28" s="323"/>
      <c r="DF28" s="323"/>
      <c r="DG28" s="323"/>
      <c r="DH28" s="323"/>
      <c r="DI28" s="55">
        <f t="shared" si="59"/>
        <v>0</v>
      </c>
    </row>
    <row r="29" spans="1:113" s="70" customFormat="1" ht="24.75" customHeight="1" x14ac:dyDescent="0.2">
      <c r="A29" s="64">
        <v>10</v>
      </c>
      <c r="B29" s="90" t="s">
        <v>111</v>
      </c>
      <c r="C29" s="65" t="s">
        <v>73</v>
      </c>
      <c r="D29" s="61">
        <v>5</v>
      </c>
      <c r="E29" s="66">
        <v>5</v>
      </c>
      <c r="F29" s="67"/>
      <c r="G29" s="429"/>
      <c r="H29" s="429"/>
      <c r="I29" s="429"/>
      <c r="J29" s="710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8">
        <f t="shared" si="22"/>
        <v>5</v>
      </c>
      <c r="W29" s="117" t="s">
        <v>24</v>
      </c>
      <c r="X29" s="626">
        <v>530000</v>
      </c>
      <c r="Y29" s="115">
        <v>530000</v>
      </c>
      <c r="Z29" s="71"/>
      <c r="AA29" s="434"/>
      <c r="AB29" s="71"/>
      <c r="AC29" s="434"/>
      <c r="AD29" s="71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51">
        <f t="shared" si="23"/>
        <v>2650000</v>
      </c>
      <c r="AQ29" s="52">
        <f t="shared" si="24"/>
        <v>2650000</v>
      </c>
      <c r="AR29" s="52">
        <f t="shared" si="25"/>
        <v>0</v>
      </c>
      <c r="AS29" s="570">
        <f t="shared" si="26"/>
        <v>0</v>
      </c>
      <c r="AT29" s="570">
        <f t="shared" si="27"/>
        <v>0</v>
      </c>
      <c r="AU29" s="570">
        <f t="shared" si="28"/>
        <v>0</v>
      </c>
      <c r="AV29" s="712">
        <f t="shared" si="29"/>
        <v>0</v>
      </c>
      <c r="AW29" s="52">
        <f t="shared" si="30"/>
        <v>0</v>
      </c>
      <c r="AX29" s="52"/>
      <c r="AY29" s="52"/>
      <c r="AZ29" s="52"/>
      <c r="BA29" s="52"/>
      <c r="BB29" s="52"/>
      <c r="BC29" s="52"/>
      <c r="BD29" s="52">
        <f t="shared" si="31"/>
        <v>0</v>
      </c>
      <c r="BE29" s="52">
        <f t="shared" si="32"/>
        <v>0</v>
      </c>
      <c r="BF29" s="52">
        <f t="shared" si="33"/>
        <v>0</v>
      </c>
      <c r="BG29" s="52">
        <f t="shared" si="34"/>
        <v>0</v>
      </c>
      <c r="BH29" s="53">
        <f t="shared" si="35"/>
        <v>2650000</v>
      </c>
      <c r="BI29" s="52"/>
      <c r="BJ29" s="52">
        <f t="shared" ref="BJ29:BN34" si="60">SUM(AR29*14%)</f>
        <v>0</v>
      </c>
      <c r="BK29" s="52">
        <f t="shared" si="60"/>
        <v>0</v>
      </c>
      <c r="BL29" s="52">
        <f t="shared" si="60"/>
        <v>0</v>
      </c>
      <c r="BM29" s="52">
        <f t="shared" si="60"/>
        <v>0</v>
      </c>
      <c r="BN29" s="52">
        <f t="shared" si="60"/>
        <v>0</v>
      </c>
      <c r="BO29" s="52"/>
      <c r="BP29" s="52"/>
      <c r="BQ29" s="52"/>
      <c r="BR29" s="52"/>
      <c r="BS29" s="52"/>
      <c r="BT29" s="52"/>
      <c r="BU29" s="52"/>
      <c r="BV29" s="52">
        <f t="shared" si="37"/>
        <v>0</v>
      </c>
      <c r="BW29" s="52">
        <f t="shared" si="38"/>
        <v>0</v>
      </c>
      <c r="BX29" s="52">
        <f t="shared" si="39"/>
        <v>0</v>
      </c>
      <c r="BY29" s="52">
        <f t="shared" si="40"/>
        <v>0</v>
      </c>
      <c r="BZ29" s="54">
        <f t="shared" si="41"/>
        <v>0</v>
      </c>
      <c r="CA29" s="72">
        <f t="shared" si="42"/>
        <v>0</v>
      </c>
      <c r="CB29" s="73">
        <f t="shared" si="43"/>
        <v>2650000</v>
      </c>
      <c r="CC29" s="74">
        <f t="shared" si="44"/>
        <v>0</v>
      </c>
      <c r="CD29" s="99">
        <f t="shared" si="45"/>
        <v>1</v>
      </c>
      <c r="CE29" s="105"/>
      <c r="CF29" s="556"/>
      <c r="CG29" s="556"/>
      <c r="CH29" s="567"/>
      <c r="CI29" s="561"/>
      <c r="CJ29" s="323"/>
      <c r="CK29" s="323"/>
      <c r="CL29" s="556">
        <f t="shared" si="46"/>
        <v>0</v>
      </c>
      <c r="CM29" s="323">
        <f t="shared" si="47"/>
        <v>0</v>
      </c>
      <c r="CN29" s="323">
        <f t="shared" si="48"/>
        <v>0</v>
      </c>
      <c r="CO29" s="323">
        <f t="shared" si="49"/>
        <v>0</v>
      </c>
      <c r="CP29" s="323">
        <f t="shared" si="50"/>
        <v>0</v>
      </c>
      <c r="CQ29" s="323">
        <f t="shared" si="51"/>
        <v>0</v>
      </c>
      <c r="CR29" s="323">
        <f t="shared" si="52"/>
        <v>0</v>
      </c>
      <c r="CS29" s="323">
        <f t="shared" si="53"/>
        <v>0</v>
      </c>
      <c r="CT29" s="323">
        <f t="shared" si="54"/>
        <v>0</v>
      </c>
      <c r="CU29" s="323" t="e">
        <f>SUM(#REF!*12.5%)</f>
        <v>#REF!</v>
      </c>
      <c r="CV29" s="55" t="e">
        <f t="shared" si="58"/>
        <v>#REF!</v>
      </c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G29" s="323"/>
      <c r="DH29" s="323"/>
      <c r="DI29" s="55">
        <f t="shared" si="59"/>
        <v>0</v>
      </c>
    </row>
    <row r="30" spans="1:113" s="70" customFormat="1" ht="24.75" customHeight="1" x14ac:dyDescent="0.2">
      <c r="A30" s="64">
        <v>11</v>
      </c>
      <c r="B30" s="90" t="s">
        <v>112</v>
      </c>
      <c r="C30" s="65" t="s">
        <v>73</v>
      </c>
      <c r="D30" s="61">
        <v>5</v>
      </c>
      <c r="E30" s="66">
        <v>5</v>
      </c>
      <c r="F30" s="67"/>
      <c r="G30" s="429"/>
      <c r="H30" s="429"/>
      <c r="I30" s="429"/>
      <c r="J30" s="710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8">
        <f t="shared" si="22"/>
        <v>5</v>
      </c>
      <c r="W30" s="117" t="s">
        <v>24</v>
      </c>
      <c r="X30" s="626">
        <v>50000</v>
      </c>
      <c r="Y30" s="115">
        <v>50000</v>
      </c>
      <c r="Z30" s="71"/>
      <c r="AA30" s="434"/>
      <c r="AB30" s="71"/>
      <c r="AC30" s="434"/>
      <c r="AD30" s="71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51">
        <f t="shared" si="23"/>
        <v>250000</v>
      </c>
      <c r="AQ30" s="52">
        <f t="shared" si="24"/>
        <v>250000</v>
      </c>
      <c r="AR30" s="52">
        <f t="shared" si="25"/>
        <v>0</v>
      </c>
      <c r="AS30" s="570">
        <f t="shared" si="26"/>
        <v>0</v>
      </c>
      <c r="AT30" s="570">
        <f t="shared" si="27"/>
        <v>0</v>
      </c>
      <c r="AU30" s="570">
        <f t="shared" si="28"/>
        <v>0</v>
      </c>
      <c r="AV30" s="712">
        <f t="shared" si="29"/>
        <v>0</v>
      </c>
      <c r="AW30" s="52">
        <f t="shared" si="30"/>
        <v>0</v>
      </c>
      <c r="AX30" s="52"/>
      <c r="AY30" s="52"/>
      <c r="AZ30" s="52"/>
      <c r="BA30" s="52"/>
      <c r="BB30" s="52"/>
      <c r="BC30" s="52"/>
      <c r="BD30" s="52">
        <f t="shared" si="31"/>
        <v>0</v>
      </c>
      <c r="BE30" s="52">
        <f t="shared" si="32"/>
        <v>0</v>
      </c>
      <c r="BF30" s="52">
        <f t="shared" si="33"/>
        <v>0</v>
      </c>
      <c r="BG30" s="52">
        <f t="shared" si="34"/>
        <v>0</v>
      </c>
      <c r="BH30" s="53">
        <f t="shared" si="35"/>
        <v>250000</v>
      </c>
      <c r="BI30" s="52"/>
      <c r="BJ30" s="52">
        <f t="shared" si="60"/>
        <v>0</v>
      </c>
      <c r="BK30" s="52">
        <f t="shared" si="60"/>
        <v>0</v>
      </c>
      <c r="BL30" s="52">
        <f t="shared" si="60"/>
        <v>0</v>
      </c>
      <c r="BM30" s="52">
        <f t="shared" si="60"/>
        <v>0</v>
      </c>
      <c r="BN30" s="52">
        <f t="shared" si="60"/>
        <v>0</v>
      </c>
      <c r="BO30" s="52"/>
      <c r="BP30" s="52"/>
      <c r="BQ30" s="52"/>
      <c r="BR30" s="52"/>
      <c r="BS30" s="52"/>
      <c r="BT30" s="52"/>
      <c r="BU30" s="52"/>
      <c r="BV30" s="52">
        <f t="shared" si="37"/>
        <v>0</v>
      </c>
      <c r="BW30" s="52">
        <f t="shared" si="38"/>
        <v>0</v>
      </c>
      <c r="BX30" s="52">
        <f t="shared" si="39"/>
        <v>0</v>
      </c>
      <c r="BY30" s="52">
        <f t="shared" si="40"/>
        <v>0</v>
      </c>
      <c r="BZ30" s="54">
        <f t="shared" si="41"/>
        <v>0</v>
      </c>
      <c r="CA30" s="72">
        <f t="shared" si="42"/>
        <v>0</v>
      </c>
      <c r="CB30" s="73">
        <f t="shared" si="43"/>
        <v>250000</v>
      </c>
      <c r="CC30" s="74">
        <f t="shared" si="44"/>
        <v>0</v>
      </c>
      <c r="CD30" s="99">
        <f t="shared" si="45"/>
        <v>1</v>
      </c>
      <c r="CE30" s="105"/>
      <c r="CF30" s="556"/>
      <c r="CG30" s="556"/>
      <c r="CH30" s="567"/>
      <c r="CI30" s="561"/>
      <c r="CJ30" s="323"/>
      <c r="CK30" s="323"/>
      <c r="CL30" s="556">
        <f t="shared" si="46"/>
        <v>0</v>
      </c>
      <c r="CM30" s="323">
        <f t="shared" si="47"/>
        <v>0</v>
      </c>
      <c r="CN30" s="323">
        <f t="shared" si="48"/>
        <v>0</v>
      </c>
      <c r="CO30" s="323">
        <f t="shared" si="49"/>
        <v>0</v>
      </c>
      <c r="CP30" s="323">
        <f t="shared" si="50"/>
        <v>0</v>
      </c>
      <c r="CQ30" s="323">
        <f t="shared" si="51"/>
        <v>0</v>
      </c>
      <c r="CR30" s="323">
        <f t="shared" si="52"/>
        <v>0</v>
      </c>
      <c r="CS30" s="323">
        <f t="shared" si="53"/>
        <v>0</v>
      </c>
      <c r="CT30" s="323">
        <f t="shared" si="54"/>
        <v>0</v>
      </c>
      <c r="CU30" s="323" t="e">
        <f>SUM(#REF!*12.5%)</f>
        <v>#REF!</v>
      </c>
      <c r="CV30" s="55" t="e">
        <f t="shared" si="58"/>
        <v>#REF!</v>
      </c>
      <c r="CW30" s="323"/>
      <c r="CX30" s="323"/>
      <c r="CY30" s="323"/>
      <c r="CZ30" s="323"/>
      <c r="DA30" s="323"/>
      <c r="DB30" s="323"/>
      <c r="DC30" s="323"/>
      <c r="DD30" s="323"/>
      <c r="DE30" s="323"/>
      <c r="DF30" s="323"/>
      <c r="DG30" s="323"/>
      <c r="DH30" s="323"/>
      <c r="DI30" s="55">
        <f t="shared" si="59"/>
        <v>0</v>
      </c>
    </row>
    <row r="31" spans="1:113" s="70" customFormat="1" ht="24.75" customHeight="1" x14ac:dyDescent="0.2">
      <c r="A31" s="64">
        <v>12</v>
      </c>
      <c r="B31" s="90" t="s">
        <v>113</v>
      </c>
      <c r="C31" s="65" t="s">
        <v>73</v>
      </c>
      <c r="D31" s="61">
        <v>5</v>
      </c>
      <c r="E31" s="66">
        <v>5</v>
      </c>
      <c r="F31" s="67"/>
      <c r="G31" s="429"/>
      <c r="H31" s="429"/>
      <c r="I31" s="429"/>
      <c r="J31" s="710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8">
        <f t="shared" si="22"/>
        <v>5</v>
      </c>
      <c r="W31" s="117" t="s">
        <v>24</v>
      </c>
      <c r="X31" s="626">
        <v>50000</v>
      </c>
      <c r="Y31" s="115">
        <v>50000</v>
      </c>
      <c r="Z31" s="71"/>
      <c r="AA31" s="434"/>
      <c r="AB31" s="71"/>
      <c r="AC31" s="434"/>
      <c r="AD31" s="71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51">
        <f t="shared" si="23"/>
        <v>250000</v>
      </c>
      <c r="AQ31" s="52">
        <f t="shared" si="24"/>
        <v>250000</v>
      </c>
      <c r="AR31" s="52">
        <f t="shared" si="25"/>
        <v>0</v>
      </c>
      <c r="AS31" s="570">
        <f t="shared" si="26"/>
        <v>0</v>
      </c>
      <c r="AT31" s="570">
        <f t="shared" si="27"/>
        <v>0</v>
      </c>
      <c r="AU31" s="570">
        <f t="shared" si="28"/>
        <v>0</v>
      </c>
      <c r="AV31" s="712">
        <f t="shared" si="29"/>
        <v>0</v>
      </c>
      <c r="AW31" s="52">
        <f t="shared" si="30"/>
        <v>0</v>
      </c>
      <c r="AX31" s="52"/>
      <c r="AY31" s="52"/>
      <c r="AZ31" s="52"/>
      <c r="BA31" s="52"/>
      <c r="BB31" s="52"/>
      <c r="BC31" s="52"/>
      <c r="BD31" s="52">
        <f t="shared" si="31"/>
        <v>0</v>
      </c>
      <c r="BE31" s="52">
        <f t="shared" si="32"/>
        <v>0</v>
      </c>
      <c r="BF31" s="52">
        <f t="shared" si="33"/>
        <v>0</v>
      </c>
      <c r="BG31" s="52">
        <f t="shared" si="34"/>
        <v>0</v>
      </c>
      <c r="BH31" s="53">
        <f t="shared" si="35"/>
        <v>250000</v>
      </c>
      <c r="BI31" s="52"/>
      <c r="BJ31" s="52">
        <f t="shared" si="60"/>
        <v>0</v>
      </c>
      <c r="BK31" s="52">
        <f t="shared" si="60"/>
        <v>0</v>
      </c>
      <c r="BL31" s="52">
        <f t="shared" si="60"/>
        <v>0</v>
      </c>
      <c r="BM31" s="52">
        <f t="shared" si="60"/>
        <v>0</v>
      </c>
      <c r="BN31" s="52">
        <f t="shared" si="60"/>
        <v>0</v>
      </c>
      <c r="BO31" s="52"/>
      <c r="BP31" s="52"/>
      <c r="BQ31" s="52"/>
      <c r="BR31" s="52"/>
      <c r="BS31" s="52"/>
      <c r="BT31" s="52"/>
      <c r="BU31" s="52"/>
      <c r="BV31" s="52">
        <f t="shared" si="37"/>
        <v>0</v>
      </c>
      <c r="BW31" s="52">
        <f t="shared" si="38"/>
        <v>0</v>
      </c>
      <c r="BX31" s="52">
        <f t="shared" si="39"/>
        <v>0</v>
      </c>
      <c r="BY31" s="52">
        <f t="shared" si="40"/>
        <v>0</v>
      </c>
      <c r="BZ31" s="54">
        <f t="shared" si="41"/>
        <v>0</v>
      </c>
      <c r="CA31" s="72">
        <f t="shared" si="42"/>
        <v>0</v>
      </c>
      <c r="CB31" s="73">
        <f t="shared" si="43"/>
        <v>250000</v>
      </c>
      <c r="CC31" s="74">
        <f t="shared" si="44"/>
        <v>0</v>
      </c>
      <c r="CD31" s="99">
        <f t="shared" si="45"/>
        <v>1</v>
      </c>
      <c r="CE31" s="105"/>
      <c r="CF31" s="556"/>
      <c r="CG31" s="556"/>
      <c r="CH31" s="567"/>
      <c r="CI31" s="561"/>
      <c r="CJ31" s="323"/>
      <c r="CK31" s="323"/>
      <c r="CL31" s="556">
        <f t="shared" si="46"/>
        <v>0</v>
      </c>
      <c r="CM31" s="323">
        <f t="shared" si="47"/>
        <v>0</v>
      </c>
      <c r="CN31" s="323">
        <f t="shared" si="48"/>
        <v>0</v>
      </c>
      <c r="CO31" s="323">
        <f t="shared" si="49"/>
        <v>0</v>
      </c>
      <c r="CP31" s="323">
        <f t="shared" si="50"/>
        <v>0</v>
      </c>
      <c r="CQ31" s="323">
        <f t="shared" si="51"/>
        <v>0</v>
      </c>
      <c r="CR31" s="323">
        <f t="shared" si="52"/>
        <v>0</v>
      </c>
      <c r="CS31" s="323">
        <f t="shared" si="53"/>
        <v>0</v>
      </c>
      <c r="CT31" s="323">
        <f t="shared" si="54"/>
        <v>0</v>
      </c>
      <c r="CU31" s="323" t="e">
        <f>SUM(#REF!*12.5%)</f>
        <v>#REF!</v>
      </c>
      <c r="CV31" s="55" t="e">
        <f t="shared" si="58"/>
        <v>#REF!</v>
      </c>
      <c r="CW31" s="323"/>
      <c r="CX31" s="323"/>
      <c r="CY31" s="323"/>
      <c r="CZ31" s="323"/>
      <c r="DA31" s="323"/>
      <c r="DB31" s="323"/>
      <c r="DC31" s="323"/>
      <c r="DD31" s="323"/>
      <c r="DE31" s="323"/>
      <c r="DF31" s="323"/>
      <c r="DG31" s="323"/>
      <c r="DH31" s="323"/>
      <c r="DI31" s="55">
        <f t="shared" si="59"/>
        <v>0</v>
      </c>
    </row>
    <row r="32" spans="1:113" s="70" customFormat="1" ht="24.75" customHeight="1" x14ac:dyDescent="0.2">
      <c r="A32" s="64">
        <v>13</v>
      </c>
      <c r="B32" s="90" t="s">
        <v>114</v>
      </c>
      <c r="C32" s="65" t="s">
        <v>73</v>
      </c>
      <c r="D32" s="61">
        <v>2</v>
      </c>
      <c r="E32" s="66">
        <v>2</v>
      </c>
      <c r="F32" s="67"/>
      <c r="G32" s="429"/>
      <c r="H32" s="429"/>
      <c r="I32" s="429"/>
      <c r="J32" s="710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8">
        <f t="shared" si="22"/>
        <v>2</v>
      </c>
      <c r="W32" s="117" t="s">
        <v>24</v>
      </c>
      <c r="X32" s="626">
        <v>475000</v>
      </c>
      <c r="Y32" s="115">
        <v>475000</v>
      </c>
      <c r="Z32" s="71"/>
      <c r="AA32" s="434"/>
      <c r="AB32" s="71"/>
      <c r="AC32" s="434"/>
      <c r="AD32" s="71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51">
        <f t="shared" si="23"/>
        <v>950000</v>
      </c>
      <c r="AQ32" s="52">
        <f t="shared" si="24"/>
        <v>950000</v>
      </c>
      <c r="AR32" s="52">
        <f t="shared" si="25"/>
        <v>0</v>
      </c>
      <c r="AS32" s="570">
        <f t="shared" si="26"/>
        <v>0</v>
      </c>
      <c r="AT32" s="570">
        <f t="shared" si="27"/>
        <v>0</v>
      </c>
      <c r="AU32" s="570">
        <f t="shared" si="28"/>
        <v>0</v>
      </c>
      <c r="AV32" s="712">
        <f t="shared" si="29"/>
        <v>0</v>
      </c>
      <c r="AW32" s="52">
        <f t="shared" si="30"/>
        <v>0</v>
      </c>
      <c r="AX32" s="52"/>
      <c r="AY32" s="52"/>
      <c r="AZ32" s="52"/>
      <c r="BA32" s="52"/>
      <c r="BB32" s="52"/>
      <c r="BC32" s="52"/>
      <c r="BD32" s="52">
        <f t="shared" si="31"/>
        <v>0</v>
      </c>
      <c r="BE32" s="52">
        <f t="shared" si="32"/>
        <v>0</v>
      </c>
      <c r="BF32" s="52">
        <f t="shared" si="33"/>
        <v>0</v>
      </c>
      <c r="BG32" s="52">
        <f t="shared" si="34"/>
        <v>0</v>
      </c>
      <c r="BH32" s="53">
        <f t="shared" si="35"/>
        <v>950000</v>
      </c>
      <c r="BI32" s="52"/>
      <c r="BJ32" s="52">
        <f t="shared" si="60"/>
        <v>0</v>
      </c>
      <c r="BK32" s="52">
        <f t="shared" si="60"/>
        <v>0</v>
      </c>
      <c r="BL32" s="52">
        <f t="shared" si="60"/>
        <v>0</v>
      </c>
      <c r="BM32" s="52">
        <f t="shared" si="60"/>
        <v>0</v>
      </c>
      <c r="BN32" s="52">
        <f t="shared" si="60"/>
        <v>0</v>
      </c>
      <c r="BO32" s="52"/>
      <c r="BP32" s="52"/>
      <c r="BQ32" s="52"/>
      <c r="BR32" s="52"/>
      <c r="BS32" s="52"/>
      <c r="BT32" s="52"/>
      <c r="BU32" s="52"/>
      <c r="BV32" s="52">
        <f t="shared" si="37"/>
        <v>0</v>
      </c>
      <c r="BW32" s="52">
        <f t="shared" si="38"/>
        <v>0</v>
      </c>
      <c r="BX32" s="52">
        <f t="shared" si="39"/>
        <v>0</v>
      </c>
      <c r="BY32" s="52">
        <f t="shared" si="40"/>
        <v>0</v>
      </c>
      <c r="BZ32" s="54">
        <f t="shared" si="41"/>
        <v>0</v>
      </c>
      <c r="CA32" s="72">
        <f t="shared" si="42"/>
        <v>0</v>
      </c>
      <c r="CB32" s="73">
        <f t="shared" si="43"/>
        <v>950000</v>
      </c>
      <c r="CC32" s="74">
        <f t="shared" si="44"/>
        <v>0</v>
      </c>
      <c r="CD32" s="99">
        <f t="shared" si="45"/>
        <v>1</v>
      </c>
      <c r="CE32" s="105"/>
      <c r="CF32" s="556"/>
      <c r="CG32" s="556"/>
      <c r="CH32" s="567"/>
      <c r="CI32" s="561"/>
      <c r="CJ32" s="323"/>
      <c r="CK32" s="323"/>
      <c r="CL32" s="556">
        <f t="shared" si="46"/>
        <v>0</v>
      </c>
      <c r="CM32" s="323">
        <f t="shared" si="47"/>
        <v>0</v>
      </c>
      <c r="CN32" s="323">
        <f t="shared" si="48"/>
        <v>0</v>
      </c>
      <c r="CO32" s="323">
        <f t="shared" si="49"/>
        <v>0</v>
      </c>
      <c r="CP32" s="323">
        <f t="shared" si="50"/>
        <v>0</v>
      </c>
      <c r="CQ32" s="323">
        <f t="shared" si="51"/>
        <v>0</v>
      </c>
      <c r="CR32" s="323">
        <f t="shared" si="52"/>
        <v>0</v>
      </c>
      <c r="CS32" s="323">
        <f t="shared" si="53"/>
        <v>0</v>
      </c>
      <c r="CT32" s="323">
        <f t="shared" si="54"/>
        <v>0</v>
      </c>
      <c r="CU32" s="323" t="e">
        <f>SUM(#REF!*12.5%)</f>
        <v>#REF!</v>
      </c>
      <c r="CV32" s="55" t="e">
        <f t="shared" si="58"/>
        <v>#REF!</v>
      </c>
      <c r="CW32" s="323"/>
      <c r="CX32" s="323"/>
      <c r="CY32" s="323"/>
      <c r="CZ32" s="323"/>
      <c r="DA32" s="323"/>
      <c r="DB32" s="323"/>
      <c r="DC32" s="323"/>
      <c r="DD32" s="323"/>
      <c r="DE32" s="323"/>
      <c r="DF32" s="323"/>
      <c r="DG32" s="323"/>
      <c r="DH32" s="323"/>
      <c r="DI32" s="55">
        <f t="shared" si="59"/>
        <v>0</v>
      </c>
    </row>
    <row r="33" spans="1:118" s="70" customFormat="1" ht="24.75" customHeight="1" x14ac:dyDescent="0.2">
      <c r="A33" s="64">
        <v>14</v>
      </c>
      <c r="B33" s="90" t="s">
        <v>115</v>
      </c>
      <c r="C33" s="65" t="s">
        <v>73</v>
      </c>
      <c r="D33" s="61">
        <v>1</v>
      </c>
      <c r="E33" s="66">
        <v>1</v>
      </c>
      <c r="F33" s="67"/>
      <c r="G33" s="429"/>
      <c r="H33" s="429"/>
      <c r="I33" s="429"/>
      <c r="J33" s="710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8">
        <f t="shared" si="22"/>
        <v>1</v>
      </c>
      <c r="W33" s="117" t="s">
        <v>24</v>
      </c>
      <c r="X33" s="626">
        <v>300000</v>
      </c>
      <c r="Y33" s="115">
        <v>300000</v>
      </c>
      <c r="Z33" s="71"/>
      <c r="AA33" s="434"/>
      <c r="AB33" s="71"/>
      <c r="AC33" s="434"/>
      <c r="AD33" s="71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51">
        <f>SUM(V33*X33)</f>
        <v>300000</v>
      </c>
      <c r="AQ33" s="52">
        <f t="shared" si="24"/>
        <v>300000</v>
      </c>
      <c r="AR33" s="52">
        <f t="shared" si="25"/>
        <v>0</v>
      </c>
      <c r="AS33" s="570">
        <f t="shared" si="26"/>
        <v>0</v>
      </c>
      <c r="AT33" s="570">
        <f t="shared" si="27"/>
        <v>0</v>
      </c>
      <c r="AU33" s="570">
        <f t="shared" si="28"/>
        <v>0</v>
      </c>
      <c r="AV33" s="712">
        <f t="shared" si="29"/>
        <v>0</v>
      </c>
      <c r="AW33" s="52">
        <f t="shared" si="30"/>
        <v>0</v>
      </c>
      <c r="AX33" s="52"/>
      <c r="AY33" s="52"/>
      <c r="AZ33" s="52"/>
      <c r="BA33" s="52"/>
      <c r="BB33" s="52"/>
      <c r="BC33" s="52"/>
      <c r="BD33" s="52">
        <f t="shared" si="31"/>
        <v>0</v>
      </c>
      <c r="BE33" s="52">
        <f t="shared" si="32"/>
        <v>0</v>
      </c>
      <c r="BF33" s="52">
        <f t="shared" si="33"/>
        <v>0</v>
      </c>
      <c r="BG33" s="52">
        <f t="shared" si="34"/>
        <v>0</v>
      </c>
      <c r="BH33" s="53">
        <f t="shared" si="35"/>
        <v>300000</v>
      </c>
      <c r="BI33" s="52"/>
      <c r="BJ33" s="52">
        <f t="shared" si="60"/>
        <v>0</v>
      </c>
      <c r="BK33" s="52">
        <f t="shared" si="60"/>
        <v>0</v>
      </c>
      <c r="BL33" s="52">
        <f t="shared" si="60"/>
        <v>0</v>
      </c>
      <c r="BM33" s="52">
        <f t="shared" si="60"/>
        <v>0</v>
      </c>
      <c r="BN33" s="52">
        <f t="shared" si="60"/>
        <v>0</v>
      </c>
      <c r="BO33" s="52"/>
      <c r="BP33" s="52"/>
      <c r="BQ33" s="52"/>
      <c r="BR33" s="52"/>
      <c r="BS33" s="52"/>
      <c r="BT33" s="52"/>
      <c r="BU33" s="52"/>
      <c r="BV33" s="52">
        <f t="shared" si="37"/>
        <v>0</v>
      </c>
      <c r="BW33" s="52">
        <f t="shared" si="38"/>
        <v>0</v>
      </c>
      <c r="BX33" s="52">
        <f t="shared" si="39"/>
        <v>0</v>
      </c>
      <c r="BY33" s="52">
        <f t="shared" si="40"/>
        <v>0</v>
      </c>
      <c r="BZ33" s="54">
        <f t="shared" si="41"/>
        <v>0</v>
      </c>
      <c r="CA33" s="72">
        <f t="shared" si="42"/>
        <v>0</v>
      </c>
      <c r="CB33" s="73">
        <f t="shared" si="43"/>
        <v>300000</v>
      </c>
      <c r="CC33" s="74">
        <f t="shared" si="44"/>
        <v>0</v>
      </c>
      <c r="CD33" s="99">
        <f t="shared" si="45"/>
        <v>1</v>
      </c>
      <c r="CE33" s="105"/>
      <c r="CF33" s="556"/>
      <c r="CG33" s="556"/>
      <c r="CH33" s="567"/>
      <c r="CI33" s="561"/>
      <c r="CJ33" s="323"/>
      <c r="CK33" s="323"/>
      <c r="CL33" s="556">
        <f t="shared" si="46"/>
        <v>0</v>
      </c>
      <c r="CM33" s="323">
        <f t="shared" si="47"/>
        <v>0</v>
      </c>
      <c r="CN33" s="323">
        <f t="shared" si="48"/>
        <v>0</v>
      </c>
      <c r="CO33" s="323">
        <f t="shared" si="49"/>
        <v>0</v>
      </c>
      <c r="CP33" s="323">
        <f t="shared" si="50"/>
        <v>0</v>
      </c>
      <c r="CQ33" s="323">
        <f t="shared" si="51"/>
        <v>0</v>
      </c>
      <c r="CR33" s="323">
        <f t="shared" si="52"/>
        <v>0</v>
      </c>
      <c r="CS33" s="323">
        <f t="shared" si="53"/>
        <v>0</v>
      </c>
      <c r="CT33" s="323">
        <f t="shared" si="54"/>
        <v>0</v>
      </c>
      <c r="CU33" s="323" t="e">
        <f>SUM(#REF!*12.5%)</f>
        <v>#REF!</v>
      </c>
      <c r="CV33" s="55" t="e">
        <f t="shared" si="58"/>
        <v>#REF!</v>
      </c>
      <c r="CW33" s="323"/>
      <c r="CX33" s="323"/>
      <c r="CY33" s="323"/>
      <c r="CZ33" s="323"/>
      <c r="DA33" s="323"/>
      <c r="DB33" s="323"/>
      <c r="DC33" s="323"/>
      <c r="DD33" s="323"/>
      <c r="DE33" s="323"/>
      <c r="DF33" s="323"/>
      <c r="DG33" s="323"/>
      <c r="DH33" s="323"/>
      <c r="DI33" s="55">
        <f t="shared" si="59"/>
        <v>0</v>
      </c>
    </row>
    <row r="34" spans="1:118" s="70" customFormat="1" ht="24.75" customHeight="1" thickBot="1" x14ac:dyDescent="0.25">
      <c r="A34" s="64">
        <v>15</v>
      </c>
      <c r="B34" s="90" t="s">
        <v>116</v>
      </c>
      <c r="C34" s="65" t="s">
        <v>73</v>
      </c>
      <c r="D34" s="61">
        <v>6</v>
      </c>
      <c r="E34" s="66">
        <v>6</v>
      </c>
      <c r="F34" s="67"/>
      <c r="G34" s="429"/>
      <c r="H34" s="429"/>
      <c r="I34" s="429"/>
      <c r="J34" s="710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8">
        <f t="shared" si="22"/>
        <v>6</v>
      </c>
      <c r="W34" s="117" t="s">
        <v>16</v>
      </c>
      <c r="X34" s="627">
        <v>1500000</v>
      </c>
      <c r="Y34" s="115">
        <v>1500000</v>
      </c>
      <c r="Z34" s="71"/>
      <c r="AA34" s="434"/>
      <c r="AB34" s="71"/>
      <c r="AC34" s="434"/>
      <c r="AD34" s="71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51">
        <f t="shared" si="23"/>
        <v>9000000</v>
      </c>
      <c r="AQ34" s="52">
        <f t="shared" si="24"/>
        <v>9000000</v>
      </c>
      <c r="AR34" s="570">
        <f t="shared" si="25"/>
        <v>0</v>
      </c>
      <c r="AS34" s="570">
        <f t="shared" si="26"/>
        <v>0</v>
      </c>
      <c r="AT34" s="570">
        <f t="shared" si="27"/>
        <v>0</v>
      </c>
      <c r="AU34" s="570">
        <f t="shared" si="28"/>
        <v>0</v>
      </c>
      <c r="AV34" s="712">
        <f t="shared" si="29"/>
        <v>0</v>
      </c>
      <c r="AW34" s="52">
        <f t="shared" si="30"/>
        <v>0</v>
      </c>
      <c r="AX34" s="52"/>
      <c r="AY34" s="52"/>
      <c r="AZ34" s="52"/>
      <c r="BA34" s="52"/>
      <c r="BB34" s="52"/>
      <c r="BC34" s="52"/>
      <c r="BD34" s="52">
        <f t="shared" si="31"/>
        <v>0</v>
      </c>
      <c r="BE34" s="52">
        <f t="shared" si="32"/>
        <v>0</v>
      </c>
      <c r="BF34" s="52">
        <f t="shared" si="33"/>
        <v>0</v>
      </c>
      <c r="BG34" s="52">
        <f t="shared" si="34"/>
        <v>0</v>
      </c>
      <c r="BH34" s="53">
        <f t="shared" si="35"/>
        <v>9000000</v>
      </c>
      <c r="BI34" s="52"/>
      <c r="BJ34" s="52">
        <f t="shared" si="60"/>
        <v>0</v>
      </c>
      <c r="BK34" s="52">
        <f t="shared" si="60"/>
        <v>0</v>
      </c>
      <c r="BL34" s="52">
        <f t="shared" si="60"/>
        <v>0</v>
      </c>
      <c r="BM34" s="52">
        <f t="shared" si="60"/>
        <v>0</v>
      </c>
      <c r="BN34" s="52">
        <f t="shared" si="60"/>
        <v>0</v>
      </c>
      <c r="BO34" s="52"/>
      <c r="BP34" s="52"/>
      <c r="BQ34" s="52"/>
      <c r="BR34" s="52"/>
      <c r="BS34" s="52"/>
      <c r="BT34" s="52"/>
      <c r="BU34" s="52"/>
      <c r="BV34" s="52">
        <f t="shared" si="37"/>
        <v>0</v>
      </c>
      <c r="BW34" s="52">
        <f t="shared" si="38"/>
        <v>0</v>
      </c>
      <c r="BX34" s="52">
        <f t="shared" si="39"/>
        <v>0</v>
      </c>
      <c r="BY34" s="52">
        <f t="shared" si="40"/>
        <v>0</v>
      </c>
      <c r="BZ34" s="54">
        <f t="shared" si="41"/>
        <v>0</v>
      </c>
      <c r="CA34" s="72">
        <f t="shared" si="42"/>
        <v>0</v>
      </c>
      <c r="CB34" s="73">
        <f t="shared" si="43"/>
        <v>9000000</v>
      </c>
      <c r="CC34" s="74">
        <f t="shared" si="44"/>
        <v>0</v>
      </c>
      <c r="CD34" s="99">
        <f t="shared" si="45"/>
        <v>1</v>
      </c>
      <c r="CE34" s="105"/>
      <c r="CF34" s="556"/>
      <c r="CG34" s="556"/>
      <c r="CH34" s="567"/>
      <c r="CI34" s="561"/>
      <c r="CJ34" s="323"/>
      <c r="CK34" s="323"/>
      <c r="CL34" s="556">
        <f t="shared" si="46"/>
        <v>0</v>
      </c>
      <c r="CM34" s="323">
        <f t="shared" si="47"/>
        <v>0</v>
      </c>
      <c r="CN34" s="323">
        <f t="shared" si="48"/>
        <v>0</v>
      </c>
      <c r="CO34" s="323">
        <f t="shared" si="49"/>
        <v>0</v>
      </c>
      <c r="CP34" s="323">
        <f t="shared" si="50"/>
        <v>0</v>
      </c>
      <c r="CQ34" s="323">
        <f t="shared" si="51"/>
        <v>0</v>
      </c>
      <c r="CR34" s="323">
        <f t="shared" si="52"/>
        <v>0</v>
      </c>
      <c r="CS34" s="323">
        <f t="shared" si="53"/>
        <v>0</v>
      </c>
      <c r="CT34" s="323">
        <f t="shared" si="54"/>
        <v>0</v>
      </c>
      <c r="CU34" s="323" t="e">
        <f>SUM(#REF!*12.5%)</f>
        <v>#REF!</v>
      </c>
      <c r="CV34" s="55" t="e">
        <f t="shared" si="58"/>
        <v>#REF!</v>
      </c>
      <c r="CW34" s="323"/>
      <c r="CX34" s="323"/>
      <c r="CY34" s="323"/>
      <c r="CZ34" s="323"/>
      <c r="DA34" s="323"/>
      <c r="DB34" s="323"/>
      <c r="DC34" s="323"/>
      <c r="DD34" s="323"/>
      <c r="DE34" s="323"/>
      <c r="DF34" s="323"/>
      <c r="DG34" s="323"/>
      <c r="DH34" s="323"/>
      <c r="DI34" s="55">
        <f t="shared" si="59"/>
        <v>0</v>
      </c>
    </row>
    <row r="35" spans="1:118" s="27" customFormat="1" ht="24.75" customHeight="1" thickBot="1" x14ac:dyDescent="0.25">
      <c r="A35" s="30"/>
      <c r="B35" s="31" t="s">
        <v>4</v>
      </c>
      <c r="C35" s="31"/>
      <c r="D35" s="1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4"/>
      <c r="W35" s="58"/>
      <c r="X35" s="76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8">
        <f>SUM(AP20:AP34)</f>
        <v>22800000</v>
      </c>
      <c r="AQ35" s="735">
        <f>SUM(AQ20:AQ34)</f>
        <v>19050000</v>
      </c>
      <c r="AR35" s="735">
        <f t="shared" ref="AR35:BH35" si="61">SUM(AR20:AR34)</f>
        <v>750000</v>
      </c>
      <c r="AS35" s="735">
        <f t="shared" si="61"/>
        <v>750000</v>
      </c>
      <c r="AT35" s="737">
        <f t="shared" si="61"/>
        <v>750000</v>
      </c>
      <c r="AU35" s="737">
        <f t="shared" si="61"/>
        <v>750000</v>
      </c>
      <c r="AV35" s="737">
        <f t="shared" si="61"/>
        <v>750000</v>
      </c>
      <c r="AW35" s="78">
        <f t="shared" si="61"/>
        <v>0</v>
      </c>
      <c r="AX35" s="78"/>
      <c r="AY35" s="78"/>
      <c r="AZ35" s="78"/>
      <c r="BA35" s="78"/>
      <c r="BB35" s="78"/>
      <c r="BC35" s="78"/>
      <c r="BD35" s="78">
        <f t="shared" si="61"/>
        <v>0</v>
      </c>
      <c r="BE35" s="78">
        <f t="shared" si="61"/>
        <v>0</v>
      </c>
      <c r="BF35" s="78">
        <f t="shared" si="61"/>
        <v>0</v>
      </c>
      <c r="BG35" s="78">
        <f t="shared" si="61"/>
        <v>0</v>
      </c>
      <c r="BH35" s="78">
        <f t="shared" si="61"/>
        <v>22800000</v>
      </c>
      <c r="BI35" s="78">
        <f t="shared" ref="BI35" si="62">SUM(BI20:BI34)</f>
        <v>0</v>
      </c>
      <c r="BJ35" s="78">
        <f t="shared" ref="BJ35" si="63">SUM(BJ20:BJ34)</f>
        <v>0</v>
      </c>
      <c r="BK35" s="78">
        <f t="shared" ref="BK35" si="64">SUM(BK20:BK34)</f>
        <v>0</v>
      </c>
      <c r="BL35" s="78">
        <f t="shared" ref="BL35" si="65">SUM(BL20:BL34)</f>
        <v>0</v>
      </c>
      <c r="BM35" s="78">
        <f t="shared" ref="BM35" si="66">SUM(BM20:BM34)</f>
        <v>0</v>
      </c>
      <c r="BN35" s="78">
        <f t="shared" ref="BN35" si="67">SUM(BN20:BN34)</f>
        <v>0</v>
      </c>
      <c r="BO35" s="78"/>
      <c r="BP35" s="78"/>
      <c r="BQ35" s="78"/>
      <c r="BR35" s="78"/>
      <c r="BS35" s="78"/>
      <c r="BT35" s="78"/>
      <c r="BU35" s="78"/>
      <c r="BV35" s="78">
        <f t="shared" ref="BV35" si="68">SUM(BV20:BV34)</f>
        <v>0</v>
      </c>
      <c r="BW35" s="78">
        <f t="shared" ref="BW35" si="69">SUM(BW20:BW34)</f>
        <v>0</v>
      </c>
      <c r="BX35" s="78">
        <f t="shared" ref="BX35" si="70">SUM(BX20:BX34)</f>
        <v>0</v>
      </c>
      <c r="BY35" s="78">
        <f t="shared" ref="BY35" si="71">SUM(BY20:BY34)</f>
        <v>0</v>
      </c>
      <c r="BZ35" s="78">
        <f t="shared" ref="BZ35" si="72">SUM(BZ20:BZ34)</f>
        <v>0</v>
      </c>
      <c r="CA35" s="78">
        <f t="shared" ref="CA35" si="73">SUM(CA20:CA34)</f>
        <v>0</v>
      </c>
      <c r="CB35" s="78">
        <f>SUM(CB20:CB34)</f>
        <v>22800000</v>
      </c>
      <c r="CC35" s="78">
        <f>SUM(CC20:CC34)</f>
        <v>0</v>
      </c>
      <c r="CD35" s="100">
        <f>SUM(CD20:CD34)/15</f>
        <v>1</v>
      </c>
      <c r="CE35" s="106"/>
      <c r="CF35" s="556"/>
      <c r="CG35" s="556"/>
      <c r="CH35" s="567"/>
      <c r="CI35" s="561"/>
      <c r="CJ35" s="323"/>
      <c r="CK35" s="323"/>
      <c r="CL35" s="556">
        <f t="shared" si="46"/>
        <v>93750</v>
      </c>
      <c r="CM35" s="323">
        <f t="shared" si="47"/>
        <v>93750</v>
      </c>
      <c r="CN35" s="323">
        <f t="shared" si="48"/>
        <v>93750</v>
      </c>
      <c r="CO35" s="323">
        <f t="shared" si="49"/>
        <v>93750</v>
      </c>
      <c r="CP35" s="323">
        <f t="shared" si="50"/>
        <v>0</v>
      </c>
      <c r="CQ35" s="323">
        <f t="shared" si="51"/>
        <v>0</v>
      </c>
      <c r="CR35" s="323">
        <f t="shared" si="52"/>
        <v>0</v>
      </c>
      <c r="CS35" s="323">
        <f t="shared" si="53"/>
        <v>0</v>
      </c>
      <c r="CT35" s="323">
        <f t="shared" si="54"/>
        <v>0</v>
      </c>
      <c r="CU35" s="323" t="e">
        <f>SUM(#REF!*12.5%)</f>
        <v>#REF!</v>
      </c>
      <c r="CV35" s="55" t="e">
        <f t="shared" si="58"/>
        <v>#REF!</v>
      </c>
      <c r="CW35" s="323"/>
      <c r="CX35" s="323"/>
      <c r="CY35" s="323"/>
      <c r="CZ35" s="323"/>
      <c r="DA35" s="323"/>
      <c r="DB35" s="323"/>
      <c r="DC35" s="323"/>
      <c r="DD35" s="323"/>
      <c r="DE35" s="323"/>
      <c r="DF35" s="323"/>
      <c r="DG35" s="323"/>
      <c r="DH35" s="323"/>
      <c r="DI35" s="55">
        <f t="shared" si="59"/>
        <v>0</v>
      </c>
    </row>
    <row r="36" spans="1:118" s="16" customFormat="1" ht="24.75" customHeight="1" x14ac:dyDescent="0.2">
      <c r="A36" s="37"/>
      <c r="D36" s="133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AO36" s="28"/>
      <c r="BH36" s="38"/>
      <c r="BZ36" s="39">
        <f>SUM(BH35+BZ35)</f>
        <v>22800000</v>
      </c>
      <c r="CA36" s="40"/>
      <c r="CB36" s="41">
        <f>SUM(CC35+BH35+BZ35)</f>
        <v>22800000</v>
      </c>
      <c r="CC36" s="42">
        <f>SUM(CA35)</f>
        <v>0</v>
      </c>
      <c r="CD36" s="28" t="s">
        <v>29</v>
      </c>
      <c r="CE36" s="107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</row>
    <row r="37" spans="1:118" s="16" customFormat="1" ht="24.75" customHeight="1" x14ac:dyDescent="0.2">
      <c r="A37" s="37"/>
      <c r="D37" s="133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AO37" s="28"/>
      <c r="BH37" s="28"/>
      <c r="BI37" s="82">
        <f t="shared" ref="BI37:BN37" si="74">SUM(AQ35+BI35)</f>
        <v>19050000</v>
      </c>
      <c r="BJ37" s="513">
        <f t="shared" si="74"/>
        <v>750000</v>
      </c>
      <c r="BK37" s="82">
        <f t="shared" si="74"/>
        <v>750000</v>
      </c>
      <c r="BL37" s="82">
        <f t="shared" si="74"/>
        <v>750000</v>
      </c>
      <c r="BM37" s="82">
        <f t="shared" si="74"/>
        <v>750000</v>
      </c>
      <c r="BN37" s="82">
        <f t="shared" si="74"/>
        <v>750000</v>
      </c>
      <c r="BO37" s="82"/>
      <c r="BP37" s="82"/>
      <c r="BQ37" s="82"/>
      <c r="BR37" s="82"/>
      <c r="BS37" s="82"/>
      <c r="BT37" s="82"/>
      <c r="BU37" s="82"/>
      <c r="BV37" s="82">
        <f>SUM(AW35+BV35)</f>
        <v>0</v>
      </c>
      <c r="BW37" s="82">
        <f>SUM(BD35+BW35)</f>
        <v>0</v>
      </c>
      <c r="BX37" s="82">
        <f>SUM(BE35+BX35)</f>
        <v>0</v>
      </c>
      <c r="BY37" s="82">
        <f>SUM(BF35+BY35)</f>
        <v>0</v>
      </c>
      <c r="BZ37" s="82">
        <f>SUM(BI37:BY37)</f>
        <v>22800000</v>
      </c>
      <c r="CA37" s="28"/>
      <c r="CB37" s="43"/>
      <c r="CC37" s="44">
        <f>SUM(CC35-CC36)</f>
        <v>0</v>
      </c>
      <c r="CD37" s="28" t="s">
        <v>28</v>
      </c>
      <c r="CE37" s="107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</row>
    <row r="38" spans="1:118" s="16" customFormat="1" ht="24.75" customHeight="1" x14ac:dyDescent="0.2">
      <c r="A38" s="811" t="s">
        <v>7</v>
      </c>
      <c r="B38" s="812"/>
      <c r="C38" s="83" t="s">
        <v>118</v>
      </c>
      <c r="D38" s="8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6"/>
      <c r="AP38" s="17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7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7"/>
      <c r="CA38" s="87"/>
      <c r="CB38" s="84"/>
      <c r="CC38" s="88"/>
      <c r="CD38" s="17"/>
      <c r="CE38" s="103"/>
      <c r="CF38" s="85"/>
      <c r="CG38" s="85"/>
      <c r="CH38" s="85"/>
      <c r="CI38" s="85"/>
      <c r="CJ38" s="86"/>
      <c r="CK38" s="85"/>
      <c r="CL38" s="85"/>
      <c r="CM38" s="85"/>
      <c r="CN38" s="85"/>
      <c r="CO38" s="85"/>
      <c r="CP38" s="87"/>
      <c r="CQ38" s="87"/>
      <c r="CR38" s="87"/>
      <c r="CS38" s="84"/>
      <c r="CT38" s="88"/>
      <c r="CU38" s="87"/>
      <c r="CV38" s="87"/>
      <c r="CW38" s="18"/>
      <c r="CX38" s="18"/>
      <c r="CY38" s="18"/>
      <c r="CZ38" s="18"/>
      <c r="DA38" s="18"/>
      <c r="DB38" s="89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</row>
    <row r="39" spans="1:118" s="7" customFormat="1" ht="48.75" customHeight="1" x14ac:dyDescent="0.2">
      <c r="A39" s="813" t="s">
        <v>8</v>
      </c>
      <c r="B39" s="787" t="s">
        <v>9</v>
      </c>
      <c r="C39" s="787" t="s">
        <v>22</v>
      </c>
      <c r="D39" s="806" t="s">
        <v>10</v>
      </c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06"/>
      <c r="S39" s="806"/>
      <c r="T39" s="806"/>
      <c r="U39" s="806"/>
      <c r="V39" s="806"/>
      <c r="W39" s="787" t="s">
        <v>20</v>
      </c>
      <c r="X39" s="807" t="s">
        <v>17</v>
      </c>
      <c r="Y39" s="808"/>
      <c r="Z39" s="808"/>
      <c r="AA39" s="808"/>
      <c r="AB39" s="808"/>
      <c r="AC39" s="808"/>
      <c r="AD39" s="808"/>
      <c r="AE39" s="808"/>
      <c r="AF39" s="808"/>
      <c r="AG39" s="808"/>
      <c r="AH39" s="808"/>
      <c r="AI39" s="808"/>
      <c r="AJ39" s="808"/>
      <c r="AK39" s="808"/>
      <c r="AL39" s="808"/>
      <c r="AM39" s="808"/>
      <c r="AN39" s="808"/>
      <c r="AO39" s="809"/>
      <c r="AP39" s="810" t="s">
        <v>5</v>
      </c>
      <c r="AQ39" s="810"/>
      <c r="AR39" s="810"/>
      <c r="AS39" s="810"/>
      <c r="AT39" s="810"/>
      <c r="AU39" s="810"/>
      <c r="AV39" s="810"/>
      <c r="AW39" s="810"/>
      <c r="AX39" s="810"/>
      <c r="AY39" s="810"/>
      <c r="AZ39" s="810"/>
      <c r="BA39" s="810"/>
      <c r="BB39" s="810"/>
      <c r="BC39" s="810"/>
      <c r="BD39" s="810"/>
      <c r="BE39" s="810"/>
      <c r="BF39" s="810"/>
      <c r="BG39" s="810"/>
      <c r="BH39" s="810"/>
      <c r="BI39" s="800" t="s">
        <v>32</v>
      </c>
      <c r="BJ39" s="801"/>
      <c r="BK39" s="801"/>
      <c r="BL39" s="801"/>
      <c r="BM39" s="801"/>
      <c r="BN39" s="801"/>
      <c r="BO39" s="801"/>
      <c r="BP39" s="801"/>
      <c r="BQ39" s="801"/>
      <c r="BR39" s="801"/>
      <c r="BS39" s="801"/>
      <c r="BT39" s="801"/>
      <c r="BU39" s="801"/>
      <c r="BV39" s="801"/>
      <c r="BW39" s="801"/>
      <c r="BX39" s="801"/>
      <c r="BY39" s="801"/>
      <c r="BZ39" s="802"/>
      <c r="CA39" s="787" t="s">
        <v>29</v>
      </c>
      <c r="CB39" s="787" t="s">
        <v>57</v>
      </c>
      <c r="CC39" s="790" t="s">
        <v>30</v>
      </c>
      <c r="CD39" s="84"/>
      <c r="CE39" s="17"/>
      <c r="CF39" s="84"/>
      <c r="CG39" s="84"/>
      <c r="CH39" s="84"/>
      <c r="CI39" s="84"/>
      <c r="CJ39" s="774" t="s">
        <v>32</v>
      </c>
      <c r="CK39" s="775"/>
      <c r="CL39" s="775"/>
      <c r="CM39" s="775"/>
      <c r="CN39" s="775"/>
      <c r="CO39" s="775"/>
      <c r="CP39" s="775"/>
      <c r="CQ39" s="775"/>
      <c r="CR39" s="775"/>
      <c r="CS39" s="775"/>
      <c r="CT39" s="775"/>
      <c r="CU39" s="775"/>
      <c r="CV39" s="775"/>
      <c r="CW39" s="775"/>
      <c r="CX39" s="775"/>
      <c r="CY39" s="775"/>
      <c r="CZ39" s="775"/>
      <c r="DA39" s="775"/>
      <c r="DB39" s="775"/>
      <c r="DC39" s="775"/>
      <c r="DD39" s="775"/>
      <c r="DE39" s="775"/>
      <c r="DF39" s="775"/>
      <c r="DG39" s="775"/>
      <c r="DH39" s="775"/>
      <c r="DI39" s="776"/>
    </row>
    <row r="40" spans="1:118" s="7" customFormat="1" ht="48.75" customHeight="1" x14ac:dyDescent="0.2">
      <c r="A40" s="814"/>
      <c r="B40" s="788"/>
      <c r="C40" s="788"/>
      <c r="D40" s="864" t="s">
        <v>18</v>
      </c>
      <c r="E40" s="795" t="s">
        <v>19</v>
      </c>
      <c r="F40" s="796"/>
      <c r="G40" s="796"/>
      <c r="H40" s="796"/>
      <c r="I40" s="796"/>
      <c r="J40" s="796"/>
      <c r="K40" s="796"/>
      <c r="L40" s="796"/>
      <c r="M40" s="796"/>
      <c r="N40" s="796"/>
      <c r="O40" s="796"/>
      <c r="P40" s="796"/>
      <c r="Q40" s="796"/>
      <c r="R40" s="796"/>
      <c r="S40" s="796"/>
      <c r="T40" s="796"/>
      <c r="U40" s="796"/>
      <c r="V40" s="796"/>
      <c r="W40" s="788"/>
      <c r="X40" s="797" t="s">
        <v>18</v>
      </c>
      <c r="Y40" s="795" t="s">
        <v>19</v>
      </c>
      <c r="Z40" s="796"/>
      <c r="AA40" s="796"/>
      <c r="AB40" s="796"/>
      <c r="AC40" s="796"/>
      <c r="AD40" s="796"/>
      <c r="AE40" s="796"/>
      <c r="AF40" s="796"/>
      <c r="AG40" s="796"/>
      <c r="AH40" s="796"/>
      <c r="AI40" s="796"/>
      <c r="AJ40" s="796"/>
      <c r="AK40" s="796"/>
      <c r="AL40" s="796"/>
      <c r="AM40" s="796"/>
      <c r="AN40" s="796"/>
      <c r="AO40" s="799"/>
      <c r="AP40" s="797" t="s">
        <v>18</v>
      </c>
      <c r="AQ40" s="795" t="s">
        <v>19</v>
      </c>
      <c r="AR40" s="796"/>
      <c r="AS40" s="796"/>
      <c r="AT40" s="796"/>
      <c r="AU40" s="796"/>
      <c r="AV40" s="796"/>
      <c r="AW40" s="796"/>
      <c r="AX40" s="796"/>
      <c r="AY40" s="796"/>
      <c r="AZ40" s="796"/>
      <c r="BA40" s="796"/>
      <c r="BB40" s="796"/>
      <c r="BC40" s="796"/>
      <c r="BD40" s="796"/>
      <c r="BE40" s="796"/>
      <c r="BF40" s="796"/>
      <c r="BG40" s="796"/>
      <c r="BH40" s="799"/>
      <c r="BI40" s="803"/>
      <c r="BJ40" s="804"/>
      <c r="BK40" s="804"/>
      <c r="BL40" s="804"/>
      <c r="BM40" s="804"/>
      <c r="BN40" s="804"/>
      <c r="BO40" s="804"/>
      <c r="BP40" s="804"/>
      <c r="BQ40" s="804"/>
      <c r="BR40" s="804"/>
      <c r="BS40" s="804"/>
      <c r="BT40" s="804"/>
      <c r="BU40" s="804"/>
      <c r="BV40" s="804"/>
      <c r="BW40" s="804"/>
      <c r="BX40" s="804"/>
      <c r="BY40" s="804"/>
      <c r="BZ40" s="805"/>
      <c r="CA40" s="788"/>
      <c r="CB40" s="788"/>
      <c r="CC40" s="791"/>
      <c r="CD40" s="84"/>
      <c r="CE40" s="17"/>
      <c r="CF40" s="777">
        <f>SUM(CF42/60)</f>
        <v>0</v>
      </c>
      <c r="CG40" s="777"/>
      <c r="CH40" s="777"/>
      <c r="CI40" s="17"/>
      <c r="CJ40" s="778" t="s">
        <v>230</v>
      </c>
      <c r="CK40" s="779"/>
      <c r="CL40" s="779"/>
      <c r="CM40" s="779"/>
      <c r="CN40" s="779"/>
      <c r="CO40" s="779"/>
      <c r="CP40" s="779"/>
      <c r="CQ40" s="779"/>
      <c r="CR40" s="779"/>
      <c r="CS40" s="779"/>
      <c r="CT40" s="779"/>
      <c r="CU40" s="779"/>
      <c r="CV40" s="780"/>
      <c r="CW40" s="781" t="s">
        <v>231</v>
      </c>
      <c r="CX40" s="782"/>
      <c r="CY40" s="782"/>
      <c r="CZ40" s="782"/>
      <c r="DA40" s="782"/>
      <c r="DB40" s="782"/>
      <c r="DC40" s="782"/>
      <c r="DD40" s="782"/>
      <c r="DE40" s="782"/>
      <c r="DF40" s="782"/>
      <c r="DG40" s="782"/>
      <c r="DH40" s="782"/>
      <c r="DI40" s="783"/>
    </row>
    <row r="41" spans="1:118" s="5" customFormat="1" ht="28.5" customHeight="1" x14ac:dyDescent="0.2">
      <c r="A41" s="815"/>
      <c r="B41" s="789"/>
      <c r="C41" s="789"/>
      <c r="D41" s="865"/>
      <c r="E41" s="20">
        <v>1</v>
      </c>
      <c r="F41" s="20">
        <v>2</v>
      </c>
      <c r="G41" s="20">
        <v>3</v>
      </c>
      <c r="H41" s="20">
        <v>4</v>
      </c>
      <c r="I41" s="20">
        <v>5</v>
      </c>
      <c r="J41" s="20">
        <v>6</v>
      </c>
      <c r="K41" s="20">
        <v>7</v>
      </c>
      <c r="L41" s="20">
        <v>8</v>
      </c>
      <c r="M41" s="20">
        <v>9</v>
      </c>
      <c r="N41" s="20">
        <v>10</v>
      </c>
      <c r="O41" s="20"/>
      <c r="P41" s="20"/>
      <c r="Q41" s="20"/>
      <c r="R41" s="20"/>
      <c r="S41" s="20"/>
      <c r="T41" s="20"/>
      <c r="U41" s="20">
        <v>11</v>
      </c>
      <c r="V41" s="20" t="s">
        <v>21</v>
      </c>
      <c r="W41" s="789"/>
      <c r="X41" s="798"/>
      <c r="Y41" s="20">
        <v>1</v>
      </c>
      <c r="Z41" s="20">
        <v>2</v>
      </c>
      <c r="AA41" s="20">
        <v>3</v>
      </c>
      <c r="AB41" s="20">
        <v>4</v>
      </c>
      <c r="AC41" s="20">
        <v>5</v>
      </c>
      <c r="AD41" s="20">
        <v>6</v>
      </c>
      <c r="AE41" s="20">
        <v>7</v>
      </c>
      <c r="AF41" s="20">
        <v>8</v>
      </c>
      <c r="AG41" s="20"/>
      <c r="AH41" s="20"/>
      <c r="AI41" s="20"/>
      <c r="AJ41" s="20"/>
      <c r="AK41" s="20"/>
      <c r="AL41" s="20">
        <v>9</v>
      </c>
      <c r="AM41" s="20">
        <v>10</v>
      </c>
      <c r="AN41" s="20">
        <v>11</v>
      </c>
      <c r="AO41" s="20">
        <v>12</v>
      </c>
      <c r="AP41" s="798"/>
      <c r="AQ41" s="20">
        <v>1</v>
      </c>
      <c r="AR41" s="20">
        <v>2</v>
      </c>
      <c r="AS41" s="20">
        <v>3</v>
      </c>
      <c r="AT41" s="20">
        <v>4</v>
      </c>
      <c r="AU41" s="20">
        <v>5</v>
      </c>
      <c r="AV41" s="20">
        <v>6</v>
      </c>
      <c r="AW41" s="20">
        <v>7</v>
      </c>
      <c r="AX41" s="20"/>
      <c r="AY41" s="20"/>
      <c r="AZ41" s="20"/>
      <c r="BA41" s="20"/>
      <c r="BB41" s="20"/>
      <c r="BC41" s="20"/>
      <c r="BD41" s="20">
        <v>8</v>
      </c>
      <c r="BE41" s="20">
        <v>9</v>
      </c>
      <c r="BF41" s="20">
        <v>10</v>
      </c>
      <c r="BG41" s="20">
        <v>11</v>
      </c>
      <c r="BH41" s="20" t="s">
        <v>13</v>
      </c>
      <c r="BI41" s="111">
        <v>1</v>
      </c>
      <c r="BJ41" s="111">
        <v>2</v>
      </c>
      <c r="BK41" s="111">
        <v>3</v>
      </c>
      <c r="BL41" s="111">
        <v>4</v>
      </c>
      <c r="BM41" s="111">
        <v>5</v>
      </c>
      <c r="BN41" s="111">
        <v>6</v>
      </c>
      <c r="BO41" s="111"/>
      <c r="BP41" s="111"/>
      <c r="BQ41" s="111"/>
      <c r="BR41" s="111"/>
      <c r="BS41" s="111"/>
      <c r="BT41" s="111"/>
      <c r="BU41" s="111"/>
      <c r="BV41" s="111">
        <v>7</v>
      </c>
      <c r="BW41" s="111">
        <v>8</v>
      </c>
      <c r="BX41" s="111">
        <v>9</v>
      </c>
      <c r="BY41" s="111">
        <v>10</v>
      </c>
      <c r="BZ41" s="20" t="s">
        <v>13</v>
      </c>
      <c r="CA41" s="789"/>
      <c r="CB41" s="789"/>
      <c r="CC41" s="792"/>
      <c r="CD41" s="6"/>
      <c r="CE41" s="21"/>
      <c r="CF41" s="784" t="s">
        <v>19</v>
      </c>
      <c r="CG41" s="785"/>
      <c r="CH41" s="786"/>
      <c r="CI41" s="337"/>
      <c r="CJ41" s="111">
        <v>1</v>
      </c>
      <c r="CK41" s="111">
        <v>2</v>
      </c>
      <c r="CL41" s="111">
        <v>3</v>
      </c>
      <c r="CM41" s="111">
        <v>4</v>
      </c>
      <c r="CN41" s="111">
        <v>5</v>
      </c>
      <c r="CO41" s="111">
        <v>6</v>
      </c>
      <c r="CP41" s="111">
        <v>7</v>
      </c>
      <c r="CQ41" s="111">
        <v>8</v>
      </c>
      <c r="CR41" s="111">
        <v>9</v>
      </c>
      <c r="CS41" s="111">
        <v>10</v>
      </c>
      <c r="CT41" s="111">
        <v>11</v>
      </c>
      <c r="CU41" s="111">
        <v>12</v>
      </c>
      <c r="CV41" s="20" t="s">
        <v>13</v>
      </c>
      <c r="CW41" s="111">
        <v>1</v>
      </c>
      <c r="CX41" s="111">
        <v>2</v>
      </c>
      <c r="CY41" s="111">
        <v>3</v>
      </c>
      <c r="CZ41" s="111">
        <v>4</v>
      </c>
      <c r="DA41" s="111">
        <v>5</v>
      </c>
      <c r="DB41" s="111">
        <v>6</v>
      </c>
      <c r="DC41" s="111">
        <v>7</v>
      </c>
      <c r="DD41" s="111">
        <v>8</v>
      </c>
      <c r="DE41" s="111">
        <v>9</v>
      </c>
      <c r="DF41" s="111">
        <v>10</v>
      </c>
      <c r="DG41" s="111">
        <v>11</v>
      </c>
      <c r="DH41" s="111">
        <v>12</v>
      </c>
      <c r="DI41" s="20" t="s">
        <v>13</v>
      </c>
    </row>
    <row r="42" spans="1:118" s="70" customFormat="1" ht="31.5" customHeight="1" x14ac:dyDescent="0.2">
      <c r="A42" s="64">
        <v>1</v>
      </c>
      <c r="B42" s="120" t="s">
        <v>119</v>
      </c>
      <c r="C42" s="65" t="s">
        <v>62</v>
      </c>
      <c r="D42" s="148">
        <v>84</v>
      </c>
      <c r="E42" s="67">
        <v>84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8">
        <f t="shared" ref="V42:V48" si="75">SUM(E42:U42)</f>
        <v>84</v>
      </c>
      <c r="W42" s="114" t="s">
        <v>26</v>
      </c>
      <c r="X42" s="96">
        <v>10300</v>
      </c>
      <c r="Y42" s="115">
        <v>9000</v>
      </c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51">
        <f>V42*X42</f>
        <v>865200</v>
      </c>
      <c r="AQ42" s="52">
        <f t="shared" ref="AQ42:AW48" si="76">Y42*E42</f>
        <v>756000</v>
      </c>
      <c r="AR42" s="52">
        <f t="shared" si="76"/>
        <v>0</v>
      </c>
      <c r="AS42" s="52">
        <f t="shared" si="76"/>
        <v>0</v>
      </c>
      <c r="AT42" s="52">
        <f t="shared" si="76"/>
        <v>0</v>
      </c>
      <c r="AU42" s="52">
        <f t="shared" si="76"/>
        <v>0</v>
      </c>
      <c r="AV42" s="52">
        <f t="shared" si="76"/>
        <v>0</v>
      </c>
      <c r="AW42" s="52">
        <f t="shared" si="76"/>
        <v>0</v>
      </c>
      <c r="AX42" s="52"/>
      <c r="AY42" s="52"/>
      <c r="AZ42" s="52"/>
      <c r="BA42" s="52"/>
      <c r="BB42" s="52"/>
      <c r="BC42" s="52"/>
      <c r="BD42" s="52">
        <f t="shared" ref="BD42:BD48" si="77">AF42*L42</f>
        <v>0</v>
      </c>
      <c r="BE42" s="52">
        <f t="shared" ref="BE42:BF48" si="78">AL42*M42</f>
        <v>0</v>
      </c>
      <c r="BF42" s="52">
        <f t="shared" si="78"/>
        <v>0</v>
      </c>
      <c r="BG42" s="52">
        <f t="shared" ref="BG42:BG48" si="79">AN42*U42</f>
        <v>0</v>
      </c>
      <c r="BH42" s="53">
        <f t="shared" ref="BH42:BH48" si="80">SUM(AQ42:BG42)</f>
        <v>756000</v>
      </c>
      <c r="BI42" s="52">
        <f>SUM(AQ42*4%)</f>
        <v>30240</v>
      </c>
      <c r="BJ42" s="52">
        <f t="shared" ref="BJ42:BN48" si="81">SUM(AR42*14%)</f>
        <v>0</v>
      </c>
      <c r="BK42" s="52">
        <f t="shared" si="81"/>
        <v>0</v>
      </c>
      <c r="BL42" s="52">
        <f t="shared" si="81"/>
        <v>0</v>
      </c>
      <c r="BM42" s="52">
        <f t="shared" si="81"/>
        <v>0</v>
      </c>
      <c r="BN42" s="52">
        <f t="shared" si="81"/>
        <v>0</v>
      </c>
      <c r="BO42" s="52"/>
      <c r="BP42" s="52"/>
      <c r="BQ42" s="52"/>
      <c r="BR42" s="52"/>
      <c r="BS42" s="52"/>
      <c r="BT42" s="52"/>
      <c r="BU42" s="52"/>
      <c r="BV42" s="52">
        <f t="shared" ref="BV42:BV48" si="82">SUM(AW42*14%)</f>
        <v>0</v>
      </c>
      <c r="BW42" s="52">
        <f t="shared" ref="BW42:BY48" si="83">SUM(BD42*14%)</f>
        <v>0</v>
      </c>
      <c r="BX42" s="52">
        <f t="shared" si="83"/>
        <v>0</v>
      </c>
      <c r="BY42" s="52">
        <f t="shared" si="83"/>
        <v>0</v>
      </c>
      <c r="BZ42" s="54">
        <f t="shared" ref="BZ42:BZ48" si="84">SUM(BI42:BY42)</f>
        <v>30240</v>
      </c>
      <c r="CA42" s="72">
        <f t="shared" ref="CA42:CA48" si="85">AP42-BH42-BZ42</f>
        <v>78960</v>
      </c>
      <c r="CB42" s="73">
        <f t="shared" ref="CB42:CB48" si="86">X42*D42</f>
        <v>865200</v>
      </c>
      <c r="CC42" s="74">
        <f t="shared" ref="CC42:CC48" si="87">CB42-BH42-BZ42</f>
        <v>78960</v>
      </c>
      <c r="CD42" s="99">
        <f t="shared" ref="CD42:CD48" si="88">SUM(V42/D42)</f>
        <v>1</v>
      </c>
      <c r="CE42" s="105">
        <v>1</v>
      </c>
      <c r="CF42" s="556"/>
      <c r="CG42" s="556"/>
      <c r="CH42" s="567"/>
      <c r="CI42" s="561"/>
      <c r="CJ42" s="323"/>
      <c r="CK42" s="323"/>
      <c r="CL42" s="556">
        <f t="shared" ref="CL42:CP49" si="89">SUM(AS42*12.5%)</f>
        <v>0</v>
      </c>
      <c r="CM42" s="323">
        <f t="shared" si="89"/>
        <v>0</v>
      </c>
      <c r="CN42" s="323">
        <f t="shared" si="89"/>
        <v>0</v>
      </c>
      <c r="CO42" s="323">
        <f t="shared" si="89"/>
        <v>0</v>
      </c>
      <c r="CP42" s="323">
        <f t="shared" si="89"/>
        <v>0</v>
      </c>
      <c r="CQ42" s="323">
        <f t="shared" ref="CQ42:CT49" si="90">SUM(BD42*12.5%)</f>
        <v>0</v>
      </c>
      <c r="CR42" s="323">
        <f t="shared" si="90"/>
        <v>0</v>
      </c>
      <c r="CS42" s="323">
        <f t="shared" si="90"/>
        <v>0</v>
      </c>
      <c r="CT42" s="323">
        <f t="shared" si="90"/>
        <v>0</v>
      </c>
      <c r="CU42" s="323" t="e">
        <f>SUM(#REF!*12.5%)</f>
        <v>#REF!</v>
      </c>
      <c r="CV42" s="55" t="e">
        <f t="shared" ref="CV42" si="91">SUM(CJ42:CU42)</f>
        <v>#REF!</v>
      </c>
      <c r="CW42" s="323"/>
      <c r="CX42" s="323"/>
      <c r="CY42" s="323"/>
      <c r="CZ42" s="323"/>
      <c r="DA42" s="323"/>
      <c r="DB42" s="323"/>
      <c r="DC42" s="323"/>
      <c r="DD42" s="323"/>
      <c r="DE42" s="323"/>
      <c r="DF42" s="323"/>
      <c r="DG42" s="323"/>
      <c r="DH42" s="323"/>
      <c r="DI42" s="55">
        <f t="shared" ref="DI42:DI43" si="92">SUM(CW42:DH42)</f>
        <v>0</v>
      </c>
    </row>
    <row r="43" spans="1:118" s="70" customFormat="1" ht="31.5" customHeight="1" x14ac:dyDescent="0.2">
      <c r="A43" s="64">
        <v>2</v>
      </c>
      <c r="B43" s="120" t="s">
        <v>120</v>
      </c>
      <c r="C43" s="65" t="s">
        <v>62</v>
      </c>
      <c r="D43" s="148">
        <v>126</v>
      </c>
      <c r="E43" s="67">
        <v>126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8">
        <f t="shared" si="75"/>
        <v>126</v>
      </c>
      <c r="W43" s="114" t="s">
        <v>26</v>
      </c>
      <c r="X43" s="96">
        <v>28500</v>
      </c>
      <c r="Y43" s="115">
        <v>25000</v>
      </c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51">
        <f t="shared" ref="AP43:AP48" si="93">V43*X43</f>
        <v>3591000</v>
      </c>
      <c r="AQ43" s="52">
        <f t="shared" si="76"/>
        <v>3150000</v>
      </c>
      <c r="AR43" s="52">
        <f t="shared" si="76"/>
        <v>0</v>
      </c>
      <c r="AS43" s="52">
        <f t="shared" si="76"/>
        <v>0</v>
      </c>
      <c r="AT43" s="52">
        <f t="shared" si="76"/>
        <v>0</v>
      </c>
      <c r="AU43" s="52">
        <f t="shared" si="76"/>
        <v>0</v>
      </c>
      <c r="AV43" s="52">
        <f t="shared" si="76"/>
        <v>0</v>
      </c>
      <c r="AW43" s="52">
        <f t="shared" si="76"/>
        <v>0</v>
      </c>
      <c r="AX43" s="52"/>
      <c r="AY43" s="52"/>
      <c r="AZ43" s="52"/>
      <c r="BA43" s="52"/>
      <c r="BB43" s="52"/>
      <c r="BC43" s="52"/>
      <c r="BD43" s="52">
        <f t="shared" si="77"/>
        <v>0</v>
      </c>
      <c r="BE43" s="52">
        <f t="shared" si="78"/>
        <v>0</v>
      </c>
      <c r="BF43" s="52">
        <f t="shared" si="78"/>
        <v>0</v>
      </c>
      <c r="BG43" s="52">
        <f t="shared" si="79"/>
        <v>0</v>
      </c>
      <c r="BH43" s="53">
        <f t="shared" si="80"/>
        <v>3150000</v>
      </c>
      <c r="BI43" s="52">
        <f>SUM(AQ43*4%)</f>
        <v>126000</v>
      </c>
      <c r="BJ43" s="52">
        <f t="shared" si="81"/>
        <v>0</v>
      </c>
      <c r="BK43" s="52">
        <f t="shared" si="81"/>
        <v>0</v>
      </c>
      <c r="BL43" s="52">
        <f t="shared" si="81"/>
        <v>0</v>
      </c>
      <c r="BM43" s="52">
        <f t="shared" si="81"/>
        <v>0</v>
      </c>
      <c r="BN43" s="52">
        <f t="shared" si="81"/>
        <v>0</v>
      </c>
      <c r="BO43" s="52"/>
      <c r="BP43" s="52"/>
      <c r="BQ43" s="52"/>
      <c r="BR43" s="52"/>
      <c r="BS43" s="52"/>
      <c r="BT43" s="52"/>
      <c r="BU43" s="52"/>
      <c r="BV43" s="52">
        <f t="shared" si="82"/>
        <v>0</v>
      </c>
      <c r="BW43" s="52">
        <f t="shared" si="83"/>
        <v>0</v>
      </c>
      <c r="BX43" s="52">
        <f t="shared" si="83"/>
        <v>0</v>
      </c>
      <c r="BY43" s="52">
        <f t="shared" si="83"/>
        <v>0</v>
      </c>
      <c r="BZ43" s="54">
        <f t="shared" si="84"/>
        <v>126000</v>
      </c>
      <c r="CA43" s="72">
        <f t="shared" si="85"/>
        <v>315000</v>
      </c>
      <c r="CB43" s="73">
        <f t="shared" si="86"/>
        <v>3591000</v>
      </c>
      <c r="CC43" s="74">
        <f t="shared" si="87"/>
        <v>315000</v>
      </c>
      <c r="CD43" s="99">
        <f t="shared" si="88"/>
        <v>1</v>
      </c>
      <c r="CE43" s="105">
        <v>1</v>
      </c>
      <c r="CF43" s="556"/>
      <c r="CG43" s="556"/>
      <c r="CH43" s="567"/>
      <c r="CI43" s="561"/>
      <c r="CJ43" s="323"/>
      <c r="CK43" s="323"/>
      <c r="CL43" s="556">
        <f t="shared" si="89"/>
        <v>0</v>
      </c>
      <c r="CM43" s="323">
        <f t="shared" si="89"/>
        <v>0</v>
      </c>
      <c r="CN43" s="323">
        <f t="shared" si="89"/>
        <v>0</v>
      </c>
      <c r="CO43" s="323">
        <f t="shared" si="89"/>
        <v>0</v>
      </c>
      <c r="CP43" s="323">
        <f t="shared" si="89"/>
        <v>0</v>
      </c>
      <c r="CQ43" s="323">
        <f t="shared" si="90"/>
        <v>0</v>
      </c>
      <c r="CR43" s="323">
        <f t="shared" si="90"/>
        <v>0</v>
      </c>
      <c r="CS43" s="323">
        <f t="shared" si="90"/>
        <v>0</v>
      </c>
      <c r="CT43" s="323">
        <f t="shared" si="90"/>
        <v>0</v>
      </c>
      <c r="CU43" s="323" t="e">
        <f>SUM(#REF!*12.5%)</f>
        <v>#REF!</v>
      </c>
      <c r="CV43" s="55" t="e">
        <f t="shared" ref="CV43" si="94">SUM(CJ43:CU43)</f>
        <v>#REF!</v>
      </c>
      <c r="CW43" s="323"/>
      <c r="CX43" s="323"/>
      <c r="CY43" s="323"/>
      <c r="CZ43" s="323"/>
      <c r="DA43" s="323"/>
      <c r="DB43" s="323"/>
      <c r="DC43" s="323"/>
      <c r="DD43" s="323"/>
      <c r="DE43" s="323"/>
      <c r="DF43" s="323"/>
      <c r="DG43" s="323"/>
      <c r="DH43" s="323"/>
      <c r="DI43" s="55">
        <f t="shared" si="92"/>
        <v>0</v>
      </c>
    </row>
    <row r="44" spans="1:118" s="70" customFormat="1" ht="31.5" customHeight="1" x14ac:dyDescent="0.2">
      <c r="A44" s="64">
        <v>3</v>
      </c>
      <c r="B44" s="120" t="s">
        <v>121</v>
      </c>
      <c r="C44" s="65" t="s">
        <v>62</v>
      </c>
      <c r="D44" s="148">
        <v>10</v>
      </c>
      <c r="E44" s="67">
        <v>10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8">
        <f t="shared" si="75"/>
        <v>10</v>
      </c>
      <c r="W44" s="114" t="s">
        <v>2</v>
      </c>
      <c r="X44" s="96">
        <v>200000</v>
      </c>
      <c r="Y44" s="115">
        <v>170000</v>
      </c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51">
        <f t="shared" si="93"/>
        <v>2000000</v>
      </c>
      <c r="AQ44" s="52">
        <f t="shared" si="76"/>
        <v>1700000</v>
      </c>
      <c r="AR44" s="52">
        <f t="shared" si="76"/>
        <v>0</v>
      </c>
      <c r="AS44" s="52">
        <f t="shared" si="76"/>
        <v>0</v>
      </c>
      <c r="AT44" s="52">
        <f t="shared" si="76"/>
        <v>0</v>
      </c>
      <c r="AU44" s="52">
        <f t="shared" si="76"/>
        <v>0</v>
      </c>
      <c r="AV44" s="52">
        <f t="shared" si="76"/>
        <v>0</v>
      </c>
      <c r="AW44" s="52">
        <f t="shared" si="76"/>
        <v>0</v>
      </c>
      <c r="AX44" s="52"/>
      <c r="AY44" s="52"/>
      <c r="AZ44" s="52"/>
      <c r="BA44" s="52"/>
      <c r="BB44" s="52"/>
      <c r="BC44" s="52"/>
      <c r="BD44" s="52">
        <f t="shared" si="77"/>
        <v>0</v>
      </c>
      <c r="BE44" s="52">
        <f t="shared" si="78"/>
        <v>0</v>
      </c>
      <c r="BF44" s="52">
        <f t="shared" si="78"/>
        <v>0</v>
      </c>
      <c r="BG44" s="52">
        <f t="shared" si="79"/>
        <v>0</v>
      </c>
      <c r="BH44" s="53">
        <f t="shared" si="80"/>
        <v>1700000</v>
      </c>
      <c r="BI44" s="52">
        <v>238000</v>
      </c>
      <c r="BJ44" s="52">
        <f t="shared" si="81"/>
        <v>0</v>
      </c>
      <c r="BK44" s="52">
        <f t="shared" si="81"/>
        <v>0</v>
      </c>
      <c r="BL44" s="52">
        <f t="shared" si="81"/>
        <v>0</v>
      </c>
      <c r="BM44" s="52">
        <f t="shared" si="81"/>
        <v>0</v>
      </c>
      <c r="BN44" s="52">
        <f t="shared" si="81"/>
        <v>0</v>
      </c>
      <c r="BO44" s="52"/>
      <c r="BP44" s="52"/>
      <c r="BQ44" s="52"/>
      <c r="BR44" s="52"/>
      <c r="BS44" s="52"/>
      <c r="BT44" s="52"/>
      <c r="BU44" s="52"/>
      <c r="BV44" s="52">
        <f t="shared" si="82"/>
        <v>0</v>
      </c>
      <c r="BW44" s="52">
        <f t="shared" si="83"/>
        <v>0</v>
      </c>
      <c r="BX44" s="52">
        <f t="shared" si="83"/>
        <v>0</v>
      </c>
      <c r="BY44" s="52">
        <f t="shared" si="83"/>
        <v>0</v>
      </c>
      <c r="BZ44" s="54">
        <f t="shared" si="84"/>
        <v>238000</v>
      </c>
      <c r="CA44" s="72">
        <f t="shared" si="85"/>
        <v>62000</v>
      </c>
      <c r="CB44" s="73">
        <f t="shared" si="86"/>
        <v>2000000</v>
      </c>
      <c r="CC44" s="74">
        <f t="shared" si="87"/>
        <v>62000</v>
      </c>
      <c r="CD44" s="99">
        <f t="shared" si="88"/>
        <v>1</v>
      </c>
      <c r="CE44" s="105">
        <v>1</v>
      </c>
      <c r="CF44" s="556"/>
      <c r="CG44" s="556"/>
      <c r="CH44" s="567"/>
      <c r="CI44" s="561"/>
      <c r="CJ44" s="323"/>
      <c r="CK44" s="323"/>
      <c r="CL44" s="556">
        <f t="shared" si="89"/>
        <v>0</v>
      </c>
      <c r="CM44" s="323">
        <f t="shared" si="89"/>
        <v>0</v>
      </c>
      <c r="CN44" s="323">
        <f t="shared" si="89"/>
        <v>0</v>
      </c>
      <c r="CO44" s="323">
        <f t="shared" si="89"/>
        <v>0</v>
      </c>
      <c r="CP44" s="323">
        <f t="shared" si="89"/>
        <v>0</v>
      </c>
      <c r="CQ44" s="323">
        <f t="shared" si="90"/>
        <v>0</v>
      </c>
      <c r="CR44" s="323">
        <f t="shared" si="90"/>
        <v>0</v>
      </c>
      <c r="CS44" s="323">
        <f t="shared" si="90"/>
        <v>0</v>
      </c>
      <c r="CT44" s="323">
        <f t="shared" si="90"/>
        <v>0</v>
      </c>
      <c r="CU44" s="323" t="e">
        <f>SUM(#REF!*12.5%)</f>
        <v>#REF!</v>
      </c>
      <c r="CV44" s="55" t="e">
        <f t="shared" ref="CV44:CV49" si="95">SUM(CJ44:CU44)</f>
        <v>#REF!</v>
      </c>
      <c r="CW44" s="323"/>
      <c r="CX44" s="323"/>
      <c r="CY44" s="323"/>
      <c r="CZ44" s="323"/>
      <c r="DA44" s="323"/>
      <c r="DB44" s="323"/>
      <c r="DC44" s="323"/>
      <c r="DD44" s="323"/>
      <c r="DE44" s="323"/>
      <c r="DF44" s="323"/>
      <c r="DG44" s="323"/>
      <c r="DH44" s="323"/>
      <c r="DI44" s="55">
        <f t="shared" ref="DI44:DI49" si="96">SUM(CW44:DH44)</f>
        <v>0</v>
      </c>
    </row>
    <row r="45" spans="1:118" s="70" customFormat="1" ht="32.25" customHeight="1" x14ac:dyDescent="0.2">
      <c r="A45" s="64">
        <v>4</v>
      </c>
      <c r="B45" s="120" t="s">
        <v>122</v>
      </c>
      <c r="C45" s="65" t="s">
        <v>62</v>
      </c>
      <c r="D45" s="148">
        <v>2</v>
      </c>
      <c r="E45" s="67">
        <v>2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8">
        <f t="shared" si="75"/>
        <v>2</v>
      </c>
      <c r="W45" s="114" t="s">
        <v>15</v>
      </c>
      <c r="X45" s="96">
        <v>1500000</v>
      </c>
      <c r="Y45" s="115">
        <v>1400000</v>
      </c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51">
        <f t="shared" si="93"/>
        <v>3000000</v>
      </c>
      <c r="AQ45" s="52">
        <f t="shared" si="76"/>
        <v>2800000</v>
      </c>
      <c r="AR45" s="52">
        <f t="shared" si="76"/>
        <v>0</v>
      </c>
      <c r="AS45" s="52">
        <f t="shared" si="76"/>
        <v>0</v>
      </c>
      <c r="AT45" s="52">
        <f t="shared" si="76"/>
        <v>0</v>
      </c>
      <c r="AU45" s="52">
        <f t="shared" si="76"/>
        <v>0</v>
      </c>
      <c r="AV45" s="52">
        <f t="shared" si="76"/>
        <v>0</v>
      </c>
      <c r="AW45" s="52">
        <f t="shared" si="76"/>
        <v>0</v>
      </c>
      <c r="AX45" s="52"/>
      <c r="AY45" s="52"/>
      <c r="AZ45" s="52"/>
      <c r="BA45" s="52"/>
      <c r="BB45" s="52"/>
      <c r="BC45" s="52"/>
      <c r="BD45" s="52">
        <f t="shared" si="77"/>
        <v>0</v>
      </c>
      <c r="BE45" s="52">
        <f t="shared" si="78"/>
        <v>0</v>
      </c>
      <c r="BF45" s="52">
        <f t="shared" si="78"/>
        <v>0</v>
      </c>
      <c r="BG45" s="52">
        <f t="shared" si="79"/>
        <v>0</v>
      </c>
      <c r="BH45" s="53">
        <f t="shared" si="80"/>
        <v>2800000</v>
      </c>
      <c r="BI45" s="52">
        <f>SUM(AQ45*4%)</f>
        <v>112000</v>
      </c>
      <c r="BJ45" s="52">
        <f t="shared" si="81"/>
        <v>0</v>
      </c>
      <c r="BK45" s="52">
        <f t="shared" si="81"/>
        <v>0</v>
      </c>
      <c r="BL45" s="52">
        <f t="shared" si="81"/>
        <v>0</v>
      </c>
      <c r="BM45" s="52">
        <f t="shared" si="81"/>
        <v>0</v>
      </c>
      <c r="BN45" s="52">
        <f t="shared" si="81"/>
        <v>0</v>
      </c>
      <c r="BO45" s="52"/>
      <c r="BP45" s="52"/>
      <c r="BQ45" s="52"/>
      <c r="BR45" s="52"/>
      <c r="BS45" s="52"/>
      <c r="BT45" s="52"/>
      <c r="BU45" s="52"/>
      <c r="BV45" s="52">
        <f t="shared" si="82"/>
        <v>0</v>
      </c>
      <c r="BW45" s="52">
        <f t="shared" si="83"/>
        <v>0</v>
      </c>
      <c r="BX45" s="52">
        <f t="shared" si="83"/>
        <v>0</v>
      </c>
      <c r="BY45" s="52">
        <f t="shared" si="83"/>
        <v>0</v>
      </c>
      <c r="BZ45" s="54">
        <f t="shared" si="84"/>
        <v>112000</v>
      </c>
      <c r="CA45" s="72">
        <f t="shared" si="85"/>
        <v>88000</v>
      </c>
      <c r="CB45" s="73">
        <f t="shared" si="86"/>
        <v>3000000</v>
      </c>
      <c r="CC45" s="74">
        <f t="shared" si="87"/>
        <v>88000</v>
      </c>
      <c r="CD45" s="99">
        <f t="shared" si="88"/>
        <v>1</v>
      </c>
      <c r="CE45" s="105">
        <v>2</v>
      </c>
      <c r="CF45" s="556"/>
      <c r="CG45" s="556"/>
      <c r="CH45" s="567"/>
      <c r="CI45" s="561"/>
      <c r="CJ45" s="323"/>
      <c r="CK45" s="323"/>
      <c r="CL45" s="556">
        <f t="shared" si="89"/>
        <v>0</v>
      </c>
      <c r="CM45" s="323">
        <f t="shared" si="89"/>
        <v>0</v>
      </c>
      <c r="CN45" s="323">
        <f t="shared" si="89"/>
        <v>0</v>
      </c>
      <c r="CO45" s="323">
        <f t="shared" si="89"/>
        <v>0</v>
      </c>
      <c r="CP45" s="323">
        <f t="shared" si="89"/>
        <v>0</v>
      </c>
      <c r="CQ45" s="323">
        <f t="shared" si="90"/>
        <v>0</v>
      </c>
      <c r="CR45" s="323">
        <f t="shared" si="90"/>
        <v>0</v>
      </c>
      <c r="CS45" s="323">
        <f t="shared" si="90"/>
        <v>0</v>
      </c>
      <c r="CT45" s="323">
        <f t="shared" si="90"/>
        <v>0</v>
      </c>
      <c r="CU45" s="323" t="e">
        <f>SUM(#REF!*12.5%)</f>
        <v>#REF!</v>
      </c>
      <c r="CV45" s="55" t="e">
        <f t="shared" si="95"/>
        <v>#REF!</v>
      </c>
      <c r="CW45" s="323"/>
      <c r="CX45" s="323"/>
      <c r="CY45" s="323"/>
      <c r="CZ45" s="323"/>
      <c r="DA45" s="323"/>
      <c r="DB45" s="323"/>
      <c r="DC45" s="323"/>
      <c r="DD45" s="323"/>
      <c r="DE45" s="323"/>
      <c r="DF45" s="323"/>
      <c r="DG45" s="323"/>
      <c r="DH45" s="323"/>
      <c r="DI45" s="55">
        <f t="shared" si="96"/>
        <v>0</v>
      </c>
    </row>
    <row r="46" spans="1:118" s="70" customFormat="1" ht="24" customHeight="1" x14ac:dyDescent="0.2">
      <c r="A46" s="64">
        <v>5</v>
      </c>
      <c r="B46" s="118" t="s">
        <v>123</v>
      </c>
      <c r="C46" s="65" t="s">
        <v>62</v>
      </c>
      <c r="D46" s="148">
        <v>10</v>
      </c>
      <c r="E46" s="67">
        <v>10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8">
        <f t="shared" si="75"/>
        <v>10</v>
      </c>
      <c r="W46" s="117" t="s">
        <v>49</v>
      </c>
      <c r="X46" s="223">
        <v>200000</v>
      </c>
      <c r="Y46" s="115">
        <v>200000</v>
      </c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51">
        <f t="shared" si="93"/>
        <v>2000000</v>
      </c>
      <c r="AQ46" s="52">
        <f t="shared" si="76"/>
        <v>2000000</v>
      </c>
      <c r="AR46" s="52">
        <f t="shared" si="76"/>
        <v>0</v>
      </c>
      <c r="AS46" s="52">
        <f t="shared" si="76"/>
        <v>0</v>
      </c>
      <c r="AT46" s="52">
        <f t="shared" si="76"/>
        <v>0</v>
      </c>
      <c r="AU46" s="52">
        <f t="shared" si="76"/>
        <v>0</v>
      </c>
      <c r="AV46" s="52">
        <f t="shared" si="76"/>
        <v>0</v>
      </c>
      <c r="AW46" s="52">
        <f t="shared" si="76"/>
        <v>0</v>
      </c>
      <c r="AX46" s="52"/>
      <c r="AY46" s="52"/>
      <c r="AZ46" s="52"/>
      <c r="BA46" s="52"/>
      <c r="BB46" s="52"/>
      <c r="BC46" s="52"/>
      <c r="BD46" s="52">
        <f t="shared" si="77"/>
        <v>0</v>
      </c>
      <c r="BE46" s="52">
        <f t="shared" si="78"/>
        <v>0</v>
      </c>
      <c r="BF46" s="52">
        <f t="shared" si="78"/>
        <v>0</v>
      </c>
      <c r="BG46" s="52">
        <f t="shared" si="79"/>
        <v>0</v>
      </c>
      <c r="BH46" s="53">
        <f t="shared" si="80"/>
        <v>2000000</v>
      </c>
      <c r="BI46" s="52"/>
      <c r="BJ46" s="52">
        <f t="shared" si="81"/>
        <v>0</v>
      </c>
      <c r="BK46" s="52">
        <f t="shared" si="81"/>
        <v>0</v>
      </c>
      <c r="BL46" s="52">
        <f t="shared" si="81"/>
        <v>0</v>
      </c>
      <c r="BM46" s="52">
        <f t="shared" si="81"/>
        <v>0</v>
      </c>
      <c r="BN46" s="52">
        <f t="shared" si="81"/>
        <v>0</v>
      </c>
      <c r="BO46" s="52"/>
      <c r="BP46" s="52"/>
      <c r="BQ46" s="52"/>
      <c r="BR46" s="52"/>
      <c r="BS46" s="52"/>
      <c r="BT46" s="52"/>
      <c r="BU46" s="52"/>
      <c r="BV46" s="52">
        <f t="shared" si="82"/>
        <v>0</v>
      </c>
      <c r="BW46" s="52">
        <f t="shared" si="83"/>
        <v>0</v>
      </c>
      <c r="BX46" s="52">
        <f t="shared" si="83"/>
        <v>0</v>
      </c>
      <c r="BY46" s="52">
        <f t="shared" si="83"/>
        <v>0</v>
      </c>
      <c r="BZ46" s="54">
        <f t="shared" si="84"/>
        <v>0</v>
      </c>
      <c r="CA46" s="72">
        <f t="shared" si="85"/>
        <v>0</v>
      </c>
      <c r="CB46" s="73">
        <f t="shared" si="86"/>
        <v>2000000</v>
      </c>
      <c r="CC46" s="74">
        <f t="shared" si="87"/>
        <v>0</v>
      </c>
      <c r="CD46" s="99">
        <f t="shared" si="88"/>
        <v>1</v>
      </c>
      <c r="CE46" s="105">
        <v>3</v>
      </c>
      <c r="CF46" s="556"/>
      <c r="CG46" s="556"/>
      <c r="CH46" s="567"/>
      <c r="CI46" s="561"/>
      <c r="CJ46" s="323"/>
      <c r="CK46" s="323"/>
      <c r="CL46" s="556">
        <f t="shared" si="89"/>
        <v>0</v>
      </c>
      <c r="CM46" s="323">
        <f t="shared" si="89"/>
        <v>0</v>
      </c>
      <c r="CN46" s="323">
        <f t="shared" si="89"/>
        <v>0</v>
      </c>
      <c r="CO46" s="323">
        <f t="shared" si="89"/>
        <v>0</v>
      </c>
      <c r="CP46" s="323">
        <f t="shared" si="89"/>
        <v>0</v>
      </c>
      <c r="CQ46" s="323">
        <f t="shared" si="90"/>
        <v>0</v>
      </c>
      <c r="CR46" s="323">
        <f t="shared" si="90"/>
        <v>0</v>
      </c>
      <c r="CS46" s="323">
        <f t="shared" si="90"/>
        <v>0</v>
      </c>
      <c r="CT46" s="323">
        <f t="shared" si="90"/>
        <v>0</v>
      </c>
      <c r="CU46" s="323" t="e">
        <f>SUM(#REF!*12.5%)</f>
        <v>#REF!</v>
      </c>
      <c r="CV46" s="55" t="e">
        <f t="shared" si="95"/>
        <v>#REF!</v>
      </c>
      <c r="CW46" s="323"/>
      <c r="CX46" s="323"/>
      <c r="CY46" s="323"/>
      <c r="CZ46" s="323"/>
      <c r="DA46" s="323"/>
      <c r="DB46" s="323"/>
      <c r="DC46" s="323"/>
      <c r="DD46" s="323"/>
      <c r="DE46" s="323"/>
      <c r="DF46" s="323"/>
      <c r="DG46" s="323"/>
      <c r="DH46" s="323"/>
      <c r="DI46" s="55">
        <f t="shared" si="96"/>
        <v>0</v>
      </c>
    </row>
    <row r="47" spans="1:118" s="70" customFormat="1" ht="39" customHeight="1" x14ac:dyDescent="0.2">
      <c r="A47" s="64">
        <v>6</v>
      </c>
      <c r="B47" s="121" t="s">
        <v>124</v>
      </c>
      <c r="C47" s="65" t="s">
        <v>62</v>
      </c>
      <c r="D47" s="148">
        <v>6</v>
      </c>
      <c r="E47" s="67">
        <v>6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8">
        <f t="shared" si="75"/>
        <v>6</v>
      </c>
      <c r="W47" s="114" t="s">
        <v>126</v>
      </c>
      <c r="X47" s="96">
        <v>400000</v>
      </c>
      <c r="Y47" s="96">
        <v>380000</v>
      </c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51">
        <f t="shared" si="93"/>
        <v>2400000</v>
      </c>
      <c r="AQ47" s="52">
        <f t="shared" si="76"/>
        <v>2280000</v>
      </c>
      <c r="AR47" s="52">
        <f t="shared" si="76"/>
        <v>0</v>
      </c>
      <c r="AS47" s="52">
        <f t="shared" si="76"/>
        <v>0</v>
      </c>
      <c r="AT47" s="52">
        <f t="shared" si="76"/>
        <v>0</v>
      </c>
      <c r="AU47" s="52">
        <f t="shared" si="76"/>
        <v>0</v>
      </c>
      <c r="AV47" s="52">
        <f t="shared" si="76"/>
        <v>0</v>
      </c>
      <c r="AW47" s="52">
        <f t="shared" si="76"/>
        <v>0</v>
      </c>
      <c r="AX47" s="52"/>
      <c r="AY47" s="52"/>
      <c r="AZ47" s="52"/>
      <c r="BA47" s="52"/>
      <c r="BB47" s="52"/>
      <c r="BC47" s="52"/>
      <c r="BD47" s="52">
        <f t="shared" si="77"/>
        <v>0</v>
      </c>
      <c r="BE47" s="52">
        <f t="shared" si="78"/>
        <v>0</v>
      </c>
      <c r="BF47" s="52">
        <f t="shared" si="78"/>
        <v>0</v>
      </c>
      <c r="BG47" s="52">
        <f t="shared" si="79"/>
        <v>0</v>
      </c>
      <c r="BH47" s="53">
        <f t="shared" si="80"/>
        <v>2280000</v>
      </c>
      <c r="BI47" s="52">
        <v>91200</v>
      </c>
      <c r="BJ47" s="52">
        <f t="shared" si="81"/>
        <v>0</v>
      </c>
      <c r="BK47" s="52">
        <f t="shared" si="81"/>
        <v>0</v>
      </c>
      <c r="BL47" s="52">
        <f t="shared" si="81"/>
        <v>0</v>
      </c>
      <c r="BM47" s="52">
        <f t="shared" si="81"/>
        <v>0</v>
      </c>
      <c r="BN47" s="52">
        <f t="shared" si="81"/>
        <v>0</v>
      </c>
      <c r="BO47" s="52"/>
      <c r="BP47" s="52"/>
      <c r="BQ47" s="52"/>
      <c r="BR47" s="52"/>
      <c r="BS47" s="52"/>
      <c r="BT47" s="52"/>
      <c r="BU47" s="52"/>
      <c r="BV47" s="52">
        <f t="shared" si="82"/>
        <v>0</v>
      </c>
      <c r="BW47" s="52">
        <f t="shared" si="83"/>
        <v>0</v>
      </c>
      <c r="BX47" s="52">
        <f t="shared" si="83"/>
        <v>0</v>
      </c>
      <c r="BY47" s="52">
        <f t="shared" si="83"/>
        <v>0</v>
      </c>
      <c r="BZ47" s="54">
        <f t="shared" si="84"/>
        <v>91200</v>
      </c>
      <c r="CA47" s="72">
        <f t="shared" si="85"/>
        <v>28800</v>
      </c>
      <c r="CB47" s="73">
        <f t="shared" si="86"/>
        <v>2400000</v>
      </c>
      <c r="CC47" s="74">
        <f t="shared" si="87"/>
        <v>28800</v>
      </c>
      <c r="CD47" s="99">
        <f t="shared" si="88"/>
        <v>1</v>
      </c>
      <c r="CE47" s="105">
        <v>4</v>
      </c>
      <c r="CF47" s="556"/>
      <c r="CG47" s="556"/>
      <c r="CH47" s="567"/>
      <c r="CI47" s="561"/>
      <c r="CJ47" s="323"/>
      <c r="CK47" s="323"/>
      <c r="CL47" s="556">
        <f t="shared" si="89"/>
        <v>0</v>
      </c>
      <c r="CM47" s="323">
        <f t="shared" si="89"/>
        <v>0</v>
      </c>
      <c r="CN47" s="323">
        <f t="shared" si="89"/>
        <v>0</v>
      </c>
      <c r="CO47" s="323">
        <f t="shared" si="89"/>
        <v>0</v>
      </c>
      <c r="CP47" s="323">
        <f t="shared" si="89"/>
        <v>0</v>
      </c>
      <c r="CQ47" s="323">
        <f t="shared" si="90"/>
        <v>0</v>
      </c>
      <c r="CR47" s="323">
        <f t="shared" si="90"/>
        <v>0</v>
      </c>
      <c r="CS47" s="323">
        <f t="shared" si="90"/>
        <v>0</v>
      </c>
      <c r="CT47" s="323">
        <f t="shared" si="90"/>
        <v>0</v>
      </c>
      <c r="CU47" s="323" t="e">
        <f>SUM(#REF!*12.5%)</f>
        <v>#REF!</v>
      </c>
      <c r="CV47" s="55" t="e">
        <f t="shared" si="95"/>
        <v>#REF!</v>
      </c>
      <c r="CW47" s="323"/>
      <c r="CX47" s="323"/>
      <c r="CY47" s="323"/>
      <c r="CZ47" s="323"/>
      <c r="DA47" s="323"/>
      <c r="DB47" s="323"/>
      <c r="DC47" s="323"/>
      <c r="DD47" s="323"/>
      <c r="DE47" s="323"/>
      <c r="DF47" s="323"/>
      <c r="DG47" s="323"/>
      <c r="DH47" s="323"/>
      <c r="DI47" s="55">
        <f t="shared" si="96"/>
        <v>0</v>
      </c>
    </row>
    <row r="48" spans="1:118" s="70" customFormat="1" ht="24.75" customHeight="1" thickBot="1" x14ac:dyDescent="0.25">
      <c r="A48" s="64">
        <v>7</v>
      </c>
      <c r="B48" s="121" t="s">
        <v>125</v>
      </c>
      <c r="C48" s="65" t="s">
        <v>62</v>
      </c>
      <c r="D48" s="148">
        <v>5</v>
      </c>
      <c r="E48" s="67">
        <v>5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8">
        <f t="shared" si="75"/>
        <v>5</v>
      </c>
      <c r="W48" s="119" t="s">
        <v>49</v>
      </c>
      <c r="X48" s="96">
        <v>150000</v>
      </c>
      <c r="Y48" s="96">
        <v>150000</v>
      </c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51">
        <f t="shared" si="93"/>
        <v>750000</v>
      </c>
      <c r="AQ48" s="52">
        <f t="shared" si="76"/>
        <v>750000</v>
      </c>
      <c r="AR48" s="52">
        <f t="shared" si="76"/>
        <v>0</v>
      </c>
      <c r="AS48" s="52">
        <f t="shared" si="76"/>
        <v>0</v>
      </c>
      <c r="AT48" s="52">
        <f t="shared" si="76"/>
        <v>0</v>
      </c>
      <c r="AU48" s="52">
        <f t="shared" si="76"/>
        <v>0</v>
      </c>
      <c r="AV48" s="52">
        <f t="shared" si="76"/>
        <v>0</v>
      </c>
      <c r="AW48" s="52">
        <f t="shared" si="76"/>
        <v>0</v>
      </c>
      <c r="AX48" s="52"/>
      <c r="AY48" s="52"/>
      <c r="AZ48" s="52"/>
      <c r="BA48" s="52"/>
      <c r="BB48" s="52"/>
      <c r="BC48" s="52"/>
      <c r="BD48" s="52">
        <f t="shared" si="77"/>
        <v>0</v>
      </c>
      <c r="BE48" s="52">
        <f t="shared" si="78"/>
        <v>0</v>
      </c>
      <c r="BF48" s="52">
        <f t="shared" si="78"/>
        <v>0</v>
      </c>
      <c r="BG48" s="52">
        <f t="shared" si="79"/>
        <v>0</v>
      </c>
      <c r="BH48" s="53">
        <f t="shared" si="80"/>
        <v>750000</v>
      </c>
      <c r="BI48" s="52"/>
      <c r="BJ48" s="52">
        <f t="shared" si="81"/>
        <v>0</v>
      </c>
      <c r="BK48" s="52">
        <f t="shared" si="81"/>
        <v>0</v>
      </c>
      <c r="BL48" s="52">
        <f t="shared" si="81"/>
        <v>0</v>
      </c>
      <c r="BM48" s="52">
        <f t="shared" si="81"/>
        <v>0</v>
      </c>
      <c r="BN48" s="52">
        <f t="shared" si="81"/>
        <v>0</v>
      </c>
      <c r="BO48" s="52"/>
      <c r="BP48" s="52"/>
      <c r="BQ48" s="52"/>
      <c r="BR48" s="52"/>
      <c r="BS48" s="52"/>
      <c r="BT48" s="52"/>
      <c r="BU48" s="52"/>
      <c r="BV48" s="52">
        <f t="shared" si="82"/>
        <v>0</v>
      </c>
      <c r="BW48" s="52">
        <f t="shared" si="83"/>
        <v>0</v>
      </c>
      <c r="BX48" s="52">
        <f t="shared" si="83"/>
        <v>0</v>
      </c>
      <c r="BY48" s="52">
        <f t="shared" si="83"/>
        <v>0</v>
      </c>
      <c r="BZ48" s="54">
        <f t="shared" si="84"/>
        <v>0</v>
      </c>
      <c r="CA48" s="72">
        <f t="shared" si="85"/>
        <v>0</v>
      </c>
      <c r="CB48" s="73">
        <f t="shared" si="86"/>
        <v>750000</v>
      </c>
      <c r="CC48" s="74">
        <f t="shared" si="87"/>
        <v>0</v>
      </c>
      <c r="CD48" s="99">
        <f t="shared" si="88"/>
        <v>1</v>
      </c>
      <c r="CE48" s="105">
        <v>5</v>
      </c>
      <c r="CF48" s="556"/>
      <c r="CG48" s="556"/>
      <c r="CH48" s="567"/>
      <c r="CI48" s="561"/>
      <c r="CJ48" s="323"/>
      <c r="CK48" s="323"/>
      <c r="CL48" s="556">
        <f t="shared" si="89"/>
        <v>0</v>
      </c>
      <c r="CM48" s="323">
        <f t="shared" si="89"/>
        <v>0</v>
      </c>
      <c r="CN48" s="323">
        <f t="shared" si="89"/>
        <v>0</v>
      </c>
      <c r="CO48" s="323">
        <f t="shared" si="89"/>
        <v>0</v>
      </c>
      <c r="CP48" s="323">
        <f t="shared" si="89"/>
        <v>0</v>
      </c>
      <c r="CQ48" s="323">
        <f t="shared" si="90"/>
        <v>0</v>
      </c>
      <c r="CR48" s="323">
        <f t="shared" si="90"/>
        <v>0</v>
      </c>
      <c r="CS48" s="323">
        <f t="shared" si="90"/>
        <v>0</v>
      </c>
      <c r="CT48" s="323">
        <f t="shared" si="90"/>
        <v>0</v>
      </c>
      <c r="CU48" s="323" t="e">
        <f>SUM(#REF!*12.5%)</f>
        <v>#REF!</v>
      </c>
      <c r="CV48" s="55" t="e">
        <f t="shared" si="95"/>
        <v>#REF!</v>
      </c>
      <c r="CW48" s="323"/>
      <c r="CX48" s="323"/>
      <c r="CY48" s="323"/>
      <c r="CZ48" s="323"/>
      <c r="DA48" s="323"/>
      <c r="DB48" s="323"/>
      <c r="DC48" s="323"/>
      <c r="DD48" s="323"/>
      <c r="DE48" s="323"/>
      <c r="DF48" s="323"/>
      <c r="DG48" s="323"/>
      <c r="DH48" s="323"/>
      <c r="DI48" s="55">
        <f t="shared" si="96"/>
        <v>0</v>
      </c>
    </row>
    <row r="49" spans="1:118" s="894" customFormat="1" ht="24.75" customHeight="1" thickBot="1" x14ac:dyDescent="0.25">
      <c r="A49" s="885"/>
      <c r="B49" s="886" t="s">
        <v>4</v>
      </c>
      <c r="C49" s="886"/>
      <c r="D49" s="895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4"/>
      <c r="W49" s="887"/>
      <c r="X49" s="896"/>
      <c r="Y49" s="890"/>
      <c r="Z49" s="890"/>
      <c r="AA49" s="890"/>
      <c r="AB49" s="890"/>
      <c r="AC49" s="890"/>
      <c r="AD49" s="890"/>
      <c r="AE49" s="890"/>
      <c r="AF49" s="890"/>
      <c r="AG49" s="890"/>
      <c r="AH49" s="890"/>
      <c r="AI49" s="890"/>
      <c r="AJ49" s="890"/>
      <c r="AK49" s="890"/>
      <c r="AL49" s="890"/>
      <c r="AM49" s="890"/>
      <c r="AN49" s="890"/>
      <c r="AO49" s="890"/>
      <c r="AP49" s="579">
        <f>SUM(AP42:AP48)</f>
        <v>14606200</v>
      </c>
      <c r="AQ49" s="579">
        <f>SUM(AQ42:AQ48)-2000000</f>
        <v>11436000</v>
      </c>
      <c r="AR49" s="579">
        <f t="shared" ref="AR49:BH49" si="97">SUM(AR42:AR48)</f>
        <v>0</v>
      </c>
      <c r="AS49" s="579">
        <f t="shared" si="97"/>
        <v>0</v>
      </c>
      <c r="AT49" s="579">
        <f t="shared" si="97"/>
        <v>0</v>
      </c>
      <c r="AU49" s="579">
        <f t="shared" si="97"/>
        <v>0</v>
      </c>
      <c r="AV49" s="579">
        <f t="shared" si="97"/>
        <v>0</v>
      </c>
      <c r="AW49" s="579">
        <f t="shared" si="97"/>
        <v>0</v>
      </c>
      <c r="AX49" s="579"/>
      <c r="AY49" s="579"/>
      <c r="AZ49" s="579"/>
      <c r="BA49" s="579"/>
      <c r="BB49" s="579"/>
      <c r="BC49" s="579"/>
      <c r="BD49" s="579">
        <f t="shared" si="97"/>
        <v>0</v>
      </c>
      <c r="BE49" s="579">
        <f t="shared" si="97"/>
        <v>0</v>
      </c>
      <c r="BF49" s="579">
        <f t="shared" si="97"/>
        <v>0</v>
      </c>
      <c r="BG49" s="579">
        <f t="shared" si="97"/>
        <v>0</v>
      </c>
      <c r="BH49" s="579">
        <f>SUM(BH42:BH48)-2000000</f>
        <v>11436000</v>
      </c>
      <c r="BI49" s="579">
        <f t="shared" ref="BI49:CC49" si="98">SUM(BI42:BI48)</f>
        <v>597440</v>
      </c>
      <c r="BJ49" s="579">
        <f t="shared" si="98"/>
        <v>0</v>
      </c>
      <c r="BK49" s="579">
        <f t="shared" si="98"/>
        <v>0</v>
      </c>
      <c r="BL49" s="579">
        <f t="shared" si="98"/>
        <v>0</v>
      </c>
      <c r="BM49" s="579">
        <f t="shared" si="98"/>
        <v>0</v>
      </c>
      <c r="BN49" s="579">
        <f t="shared" si="98"/>
        <v>0</v>
      </c>
      <c r="BO49" s="579"/>
      <c r="BP49" s="579"/>
      <c r="BQ49" s="579"/>
      <c r="BR49" s="579"/>
      <c r="BS49" s="579"/>
      <c r="BT49" s="579"/>
      <c r="BU49" s="579"/>
      <c r="BV49" s="579">
        <f t="shared" si="98"/>
        <v>0</v>
      </c>
      <c r="BW49" s="579">
        <f t="shared" si="98"/>
        <v>0</v>
      </c>
      <c r="BX49" s="579">
        <f t="shared" si="98"/>
        <v>0</v>
      </c>
      <c r="BY49" s="579">
        <f t="shared" si="98"/>
        <v>0</v>
      </c>
      <c r="BZ49" s="579">
        <f t="shared" si="98"/>
        <v>597440</v>
      </c>
      <c r="CA49" s="891">
        <f t="shared" si="98"/>
        <v>572760</v>
      </c>
      <c r="CB49" s="579">
        <f t="shared" si="98"/>
        <v>14606200</v>
      </c>
      <c r="CC49" s="579">
        <f t="shared" si="98"/>
        <v>572760</v>
      </c>
      <c r="CD49" s="892">
        <f>SUM(CD42:CD48)/7</f>
        <v>1</v>
      </c>
      <c r="CE49" s="897"/>
      <c r="CF49" s="323"/>
      <c r="CG49" s="323"/>
      <c r="CH49" s="582"/>
      <c r="CI49" s="561"/>
      <c r="CJ49" s="323"/>
      <c r="CK49" s="323"/>
      <c r="CL49" s="323">
        <f t="shared" si="89"/>
        <v>0</v>
      </c>
      <c r="CM49" s="323">
        <f t="shared" si="89"/>
        <v>0</v>
      </c>
      <c r="CN49" s="323">
        <f t="shared" si="89"/>
        <v>0</v>
      </c>
      <c r="CO49" s="323">
        <f t="shared" si="89"/>
        <v>0</v>
      </c>
      <c r="CP49" s="323">
        <f t="shared" si="89"/>
        <v>0</v>
      </c>
      <c r="CQ49" s="323">
        <f t="shared" si="90"/>
        <v>0</v>
      </c>
      <c r="CR49" s="323">
        <f t="shared" si="90"/>
        <v>0</v>
      </c>
      <c r="CS49" s="323">
        <f t="shared" si="90"/>
        <v>0</v>
      </c>
      <c r="CT49" s="323">
        <f t="shared" si="90"/>
        <v>0</v>
      </c>
      <c r="CU49" s="323" t="e">
        <f>SUM(#REF!*12.5%)</f>
        <v>#REF!</v>
      </c>
      <c r="CV49" s="55" t="e">
        <f t="shared" si="95"/>
        <v>#REF!</v>
      </c>
      <c r="CW49" s="323"/>
      <c r="CX49" s="323"/>
      <c r="CY49" s="323"/>
      <c r="CZ49" s="323"/>
      <c r="DA49" s="323"/>
      <c r="DB49" s="323"/>
      <c r="DC49" s="323"/>
      <c r="DD49" s="323"/>
      <c r="DE49" s="323"/>
      <c r="DF49" s="323"/>
      <c r="DG49" s="323"/>
      <c r="DH49" s="323"/>
      <c r="DI49" s="55">
        <f t="shared" si="96"/>
        <v>0</v>
      </c>
    </row>
    <row r="50" spans="1:118" s="16" customFormat="1" ht="24.75" customHeight="1" x14ac:dyDescent="0.2">
      <c r="A50" s="37"/>
      <c r="D50" s="133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AO50" s="28"/>
      <c r="BH50" s="38"/>
      <c r="BZ50" s="39">
        <f>SUM(BH49+BZ49)</f>
        <v>12033440</v>
      </c>
      <c r="CA50" s="40">
        <f>AP49-BH49-BZ49</f>
        <v>2572760</v>
      </c>
      <c r="CB50" s="41">
        <f>SUM(CC49+BH49+BZ49)</f>
        <v>12606200</v>
      </c>
      <c r="CC50" s="42">
        <f>SUM(CA49)</f>
        <v>572760</v>
      </c>
      <c r="CD50" s="28" t="s">
        <v>29</v>
      </c>
      <c r="CE50" s="107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</row>
    <row r="51" spans="1:118" s="16" customFormat="1" ht="24.75" customHeight="1" x14ac:dyDescent="0.2">
      <c r="A51" s="37"/>
      <c r="D51" s="133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AO51" s="28"/>
      <c r="BH51" s="28"/>
      <c r="BI51" s="82">
        <f t="shared" ref="BI51:BN51" si="99">SUM(AQ49+BI49)</f>
        <v>12033440</v>
      </c>
      <c r="BJ51" s="82">
        <f t="shared" si="99"/>
        <v>0</v>
      </c>
      <c r="BK51" s="82">
        <f t="shared" si="99"/>
        <v>0</v>
      </c>
      <c r="BL51" s="82">
        <f t="shared" si="99"/>
        <v>0</v>
      </c>
      <c r="BM51" s="82">
        <f t="shared" si="99"/>
        <v>0</v>
      </c>
      <c r="BN51" s="82">
        <f t="shared" si="99"/>
        <v>0</v>
      </c>
      <c r="BO51" s="82"/>
      <c r="BP51" s="82"/>
      <c r="BQ51" s="82"/>
      <c r="BR51" s="82"/>
      <c r="BS51" s="82"/>
      <c r="BT51" s="82"/>
      <c r="BU51" s="82"/>
      <c r="BV51" s="82">
        <f>SUM(AW49+BV49)</f>
        <v>0</v>
      </c>
      <c r="BW51" s="82">
        <f>SUM(BD49+BW49)</f>
        <v>0</v>
      </c>
      <c r="BX51" s="82">
        <f>SUM(BE49+BX49)</f>
        <v>0</v>
      </c>
      <c r="BY51" s="82">
        <f>SUM(BF49+BY49)</f>
        <v>0</v>
      </c>
      <c r="BZ51" s="82">
        <f>SUM(BI51:BY51)</f>
        <v>12033440</v>
      </c>
      <c r="CA51" s="28"/>
      <c r="CB51" s="43"/>
      <c r="CC51" s="44">
        <f>SUM(CC49-CC50)</f>
        <v>0</v>
      </c>
      <c r="CD51" s="28" t="s">
        <v>28</v>
      </c>
      <c r="CE51" s="107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</row>
    <row r="52" spans="1:118" s="5" customFormat="1" ht="15.75" x14ac:dyDescent="0.2">
      <c r="A52" s="45"/>
      <c r="C52" s="45"/>
      <c r="D52" s="14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37"/>
      <c r="W52" s="7"/>
      <c r="X52" s="6"/>
      <c r="AO52" s="47"/>
      <c r="AP52" s="46"/>
      <c r="BH52" s="48"/>
      <c r="BZ52" s="48"/>
      <c r="CA52" s="48"/>
      <c r="CB52" s="116"/>
      <c r="CC52" s="116"/>
      <c r="CE52" s="104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</row>
    <row r="53" spans="1:118" s="16" customFormat="1" ht="24.75" customHeight="1" x14ac:dyDescent="0.2">
      <c r="A53" s="811" t="s">
        <v>7</v>
      </c>
      <c r="B53" s="812"/>
      <c r="C53" s="83" t="s">
        <v>238</v>
      </c>
      <c r="D53" s="85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6"/>
      <c r="AP53" s="17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7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7"/>
      <c r="CA53" s="87"/>
      <c r="CB53" s="84"/>
      <c r="CC53" s="88"/>
      <c r="CD53" s="17"/>
      <c r="CE53" s="103"/>
      <c r="CF53" s="85"/>
      <c r="CG53" s="85"/>
      <c r="CH53" s="85"/>
      <c r="CI53" s="85"/>
      <c r="CJ53" s="86"/>
      <c r="CK53" s="85"/>
      <c r="CL53" s="85"/>
      <c r="CM53" s="85"/>
      <c r="CN53" s="85"/>
      <c r="CO53" s="85"/>
      <c r="CP53" s="87"/>
      <c r="CQ53" s="87"/>
      <c r="CR53" s="87"/>
      <c r="CS53" s="84"/>
      <c r="CT53" s="88"/>
      <c r="CU53" s="87"/>
      <c r="CV53" s="87"/>
      <c r="CW53" s="18"/>
      <c r="CX53" s="18"/>
      <c r="CY53" s="18"/>
      <c r="CZ53" s="18"/>
      <c r="DA53" s="18"/>
      <c r="DB53" s="89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</row>
    <row r="54" spans="1:118" s="7" customFormat="1" ht="48.75" customHeight="1" x14ac:dyDescent="0.2">
      <c r="A54" s="813" t="s">
        <v>8</v>
      </c>
      <c r="B54" s="787" t="s">
        <v>9</v>
      </c>
      <c r="C54" s="787" t="s">
        <v>22</v>
      </c>
      <c r="D54" s="806" t="s">
        <v>10</v>
      </c>
      <c r="E54" s="806"/>
      <c r="F54" s="806"/>
      <c r="G54" s="806"/>
      <c r="H54" s="806"/>
      <c r="I54" s="806"/>
      <c r="J54" s="806"/>
      <c r="K54" s="806"/>
      <c r="L54" s="806"/>
      <c r="M54" s="806"/>
      <c r="N54" s="806"/>
      <c r="O54" s="806"/>
      <c r="P54" s="806"/>
      <c r="Q54" s="806"/>
      <c r="R54" s="806"/>
      <c r="S54" s="806"/>
      <c r="T54" s="806"/>
      <c r="U54" s="806"/>
      <c r="V54" s="806"/>
      <c r="W54" s="787" t="s">
        <v>20</v>
      </c>
      <c r="X54" s="807" t="s">
        <v>17</v>
      </c>
      <c r="Y54" s="808"/>
      <c r="Z54" s="808"/>
      <c r="AA54" s="808"/>
      <c r="AB54" s="808"/>
      <c r="AC54" s="808"/>
      <c r="AD54" s="808"/>
      <c r="AE54" s="808"/>
      <c r="AF54" s="808"/>
      <c r="AG54" s="808"/>
      <c r="AH54" s="808"/>
      <c r="AI54" s="808"/>
      <c r="AJ54" s="808"/>
      <c r="AK54" s="808"/>
      <c r="AL54" s="808"/>
      <c r="AM54" s="808"/>
      <c r="AN54" s="808"/>
      <c r="AO54" s="809"/>
      <c r="AP54" s="810" t="s">
        <v>5</v>
      </c>
      <c r="AQ54" s="810"/>
      <c r="AR54" s="810"/>
      <c r="AS54" s="810"/>
      <c r="AT54" s="810"/>
      <c r="AU54" s="810"/>
      <c r="AV54" s="810"/>
      <c r="AW54" s="810"/>
      <c r="AX54" s="810"/>
      <c r="AY54" s="810"/>
      <c r="AZ54" s="810"/>
      <c r="BA54" s="810"/>
      <c r="BB54" s="810"/>
      <c r="BC54" s="810"/>
      <c r="BD54" s="810"/>
      <c r="BE54" s="810"/>
      <c r="BF54" s="810"/>
      <c r="BG54" s="810"/>
      <c r="BH54" s="810"/>
      <c r="BI54" s="800" t="s">
        <v>32</v>
      </c>
      <c r="BJ54" s="801"/>
      <c r="BK54" s="801"/>
      <c r="BL54" s="801"/>
      <c r="BM54" s="801"/>
      <c r="BN54" s="801"/>
      <c r="BO54" s="801"/>
      <c r="BP54" s="801"/>
      <c r="BQ54" s="801"/>
      <c r="BR54" s="801"/>
      <c r="BS54" s="801"/>
      <c r="BT54" s="801"/>
      <c r="BU54" s="801"/>
      <c r="BV54" s="801"/>
      <c r="BW54" s="801"/>
      <c r="BX54" s="801"/>
      <c r="BY54" s="801"/>
      <c r="BZ54" s="802"/>
      <c r="CA54" s="787" t="s">
        <v>29</v>
      </c>
      <c r="CB54" s="787" t="s">
        <v>57</v>
      </c>
      <c r="CC54" s="790" t="s">
        <v>30</v>
      </c>
      <c r="CD54" s="84"/>
      <c r="CE54" s="17"/>
      <c r="CF54" s="84"/>
      <c r="CG54" s="84"/>
      <c r="CH54" s="84"/>
      <c r="CI54" s="84"/>
      <c r="CJ54" s="774" t="s">
        <v>32</v>
      </c>
      <c r="CK54" s="775"/>
      <c r="CL54" s="775"/>
      <c r="CM54" s="775"/>
      <c r="CN54" s="775"/>
      <c r="CO54" s="775"/>
      <c r="CP54" s="775"/>
      <c r="CQ54" s="775"/>
      <c r="CR54" s="775"/>
      <c r="CS54" s="775"/>
      <c r="CT54" s="775"/>
      <c r="CU54" s="775"/>
      <c r="CV54" s="775"/>
      <c r="CW54" s="775"/>
      <c r="CX54" s="775"/>
      <c r="CY54" s="775"/>
      <c r="CZ54" s="775"/>
      <c r="DA54" s="775"/>
      <c r="DB54" s="775"/>
      <c r="DC54" s="775"/>
      <c r="DD54" s="775"/>
      <c r="DE54" s="775"/>
      <c r="DF54" s="775"/>
      <c r="DG54" s="775"/>
      <c r="DH54" s="775"/>
      <c r="DI54" s="776"/>
    </row>
    <row r="55" spans="1:118" s="7" customFormat="1" ht="48.75" customHeight="1" x14ac:dyDescent="0.2">
      <c r="A55" s="814"/>
      <c r="B55" s="788"/>
      <c r="C55" s="788"/>
      <c r="D55" s="864" t="s">
        <v>18</v>
      </c>
      <c r="E55" s="795" t="s">
        <v>19</v>
      </c>
      <c r="F55" s="796"/>
      <c r="G55" s="796"/>
      <c r="H55" s="796"/>
      <c r="I55" s="796"/>
      <c r="J55" s="796"/>
      <c r="K55" s="796"/>
      <c r="L55" s="796"/>
      <c r="M55" s="796"/>
      <c r="N55" s="796"/>
      <c r="O55" s="796"/>
      <c r="P55" s="796"/>
      <c r="Q55" s="796"/>
      <c r="R55" s="796"/>
      <c r="S55" s="796"/>
      <c r="T55" s="796"/>
      <c r="U55" s="796"/>
      <c r="V55" s="796"/>
      <c r="W55" s="788"/>
      <c r="X55" s="797" t="s">
        <v>18</v>
      </c>
      <c r="Y55" s="795" t="s">
        <v>19</v>
      </c>
      <c r="Z55" s="796"/>
      <c r="AA55" s="796"/>
      <c r="AB55" s="796"/>
      <c r="AC55" s="796"/>
      <c r="AD55" s="796"/>
      <c r="AE55" s="796"/>
      <c r="AF55" s="796"/>
      <c r="AG55" s="796"/>
      <c r="AH55" s="796"/>
      <c r="AI55" s="796"/>
      <c r="AJ55" s="796"/>
      <c r="AK55" s="796"/>
      <c r="AL55" s="796"/>
      <c r="AM55" s="796"/>
      <c r="AN55" s="796"/>
      <c r="AO55" s="799"/>
      <c r="AP55" s="797" t="s">
        <v>18</v>
      </c>
      <c r="AQ55" s="795" t="s">
        <v>19</v>
      </c>
      <c r="AR55" s="796"/>
      <c r="AS55" s="796"/>
      <c r="AT55" s="796"/>
      <c r="AU55" s="796"/>
      <c r="AV55" s="796"/>
      <c r="AW55" s="796"/>
      <c r="AX55" s="796"/>
      <c r="AY55" s="796"/>
      <c r="AZ55" s="796"/>
      <c r="BA55" s="796"/>
      <c r="BB55" s="796"/>
      <c r="BC55" s="796"/>
      <c r="BD55" s="796"/>
      <c r="BE55" s="796"/>
      <c r="BF55" s="796"/>
      <c r="BG55" s="796"/>
      <c r="BH55" s="799"/>
      <c r="BI55" s="803"/>
      <c r="BJ55" s="804"/>
      <c r="BK55" s="804"/>
      <c r="BL55" s="804"/>
      <c r="BM55" s="804"/>
      <c r="BN55" s="804"/>
      <c r="BO55" s="804"/>
      <c r="BP55" s="804"/>
      <c r="BQ55" s="804"/>
      <c r="BR55" s="804"/>
      <c r="BS55" s="804"/>
      <c r="BT55" s="804"/>
      <c r="BU55" s="804"/>
      <c r="BV55" s="804"/>
      <c r="BW55" s="804"/>
      <c r="BX55" s="804"/>
      <c r="BY55" s="804"/>
      <c r="BZ55" s="805"/>
      <c r="CA55" s="788"/>
      <c r="CB55" s="788"/>
      <c r="CC55" s="791"/>
      <c r="CD55" s="84"/>
      <c r="CE55" s="17"/>
      <c r="CF55" s="777" t="e">
        <f>SUM(#REF!/60)</f>
        <v>#REF!</v>
      </c>
      <c r="CG55" s="777"/>
      <c r="CH55" s="777"/>
      <c r="CI55" s="17"/>
      <c r="CJ55" s="778" t="s">
        <v>230</v>
      </c>
      <c r="CK55" s="779"/>
      <c r="CL55" s="779"/>
      <c r="CM55" s="779"/>
      <c r="CN55" s="779"/>
      <c r="CO55" s="779"/>
      <c r="CP55" s="779"/>
      <c r="CQ55" s="779"/>
      <c r="CR55" s="779"/>
      <c r="CS55" s="779"/>
      <c r="CT55" s="779"/>
      <c r="CU55" s="779"/>
      <c r="CV55" s="780"/>
      <c r="CW55" s="781" t="s">
        <v>231</v>
      </c>
      <c r="CX55" s="782"/>
      <c r="CY55" s="782"/>
      <c r="CZ55" s="782"/>
      <c r="DA55" s="782"/>
      <c r="DB55" s="782"/>
      <c r="DC55" s="782"/>
      <c r="DD55" s="782"/>
      <c r="DE55" s="782"/>
      <c r="DF55" s="782"/>
      <c r="DG55" s="782"/>
      <c r="DH55" s="782"/>
      <c r="DI55" s="783"/>
    </row>
    <row r="56" spans="1:118" s="5" customFormat="1" ht="28.5" customHeight="1" x14ac:dyDescent="0.2">
      <c r="A56" s="815"/>
      <c r="B56" s="789"/>
      <c r="C56" s="789"/>
      <c r="D56" s="865"/>
      <c r="E56" s="20">
        <v>1</v>
      </c>
      <c r="F56" s="20">
        <v>2</v>
      </c>
      <c r="G56" s="20">
        <v>3</v>
      </c>
      <c r="H56" s="20">
        <v>4</v>
      </c>
      <c r="I56" s="20">
        <v>5</v>
      </c>
      <c r="J56" s="20">
        <v>6</v>
      </c>
      <c r="K56" s="20">
        <v>7</v>
      </c>
      <c r="L56" s="20">
        <v>8</v>
      </c>
      <c r="M56" s="20">
        <v>9</v>
      </c>
      <c r="N56" s="20">
        <v>10</v>
      </c>
      <c r="O56" s="20"/>
      <c r="P56" s="20"/>
      <c r="Q56" s="20"/>
      <c r="R56" s="20"/>
      <c r="S56" s="20"/>
      <c r="T56" s="20"/>
      <c r="U56" s="20">
        <v>11</v>
      </c>
      <c r="V56" s="20" t="s">
        <v>21</v>
      </c>
      <c r="W56" s="789"/>
      <c r="X56" s="798"/>
      <c r="Y56" s="312">
        <v>1</v>
      </c>
      <c r="Z56" s="20">
        <v>2</v>
      </c>
      <c r="AA56" s="20">
        <v>3</v>
      </c>
      <c r="AB56" s="20">
        <v>4</v>
      </c>
      <c r="AC56" s="20">
        <v>5</v>
      </c>
      <c r="AD56" s="20">
        <v>6</v>
      </c>
      <c r="AE56" s="20">
        <v>7</v>
      </c>
      <c r="AF56" s="20">
        <v>8</v>
      </c>
      <c r="AG56" s="20"/>
      <c r="AH56" s="20"/>
      <c r="AI56" s="20"/>
      <c r="AJ56" s="20"/>
      <c r="AK56" s="20"/>
      <c r="AL56" s="20">
        <v>9</v>
      </c>
      <c r="AM56" s="20">
        <v>10</v>
      </c>
      <c r="AN56" s="20">
        <v>11</v>
      </c>
      <c r="AO56" s="20">
        <v>12</v>
      </c>
      <c r="AP56" s="798"/>
      <c r="AQ56" s="20">
        <v>1</v>
      </c>
      <c r="AR56" s="20">
        <v>2</v>
      </c>
      <c r="AS56" s="20">
        <v>3</v>
      </c>
      <c r="AT56" s="20">
        <v>4</v>
      </c>
      <c r="AU56" s="20">
        <v>5</v>
      </c>
      <c r="AV56" s="20">
        <v>6</v>
      </c>
      <c r="AW56" s="20">
        <v>7</v>
      </c>
      <c r="AX56" s="20"/>
      <c r="AY56" s="20"/>
      <c r="AZ56" s="20"/>
      <c r="BA56" s="20"/>
      <c r="BB56" s="20"/>
      <c r="BC56" s="20"/>
      <c r="BD56" s="20">
        <v>8</v>
      </c>
      <c r="BE56" s="20">
        <v>9</v>
      </c>
      <c r="BF56" s="20">
        <v>10</v>
      </c>
      <c r="BG56" s="20">
        <v>11</v>
      </c>
      <c r="BH56" s="20" t="s">
        <v>13</v>
      </c>
      <c r="BI56" s="111">
        <v>1</v>
      </c>
      <c r="BJ56" s="111">
        <v>2</v>
      </c>
      <c r="BK56" s="111">
        <v>3</v>
      </c>
      <c r="BL56" s="111">
        <v>4</v>
      </c>
      <c r="BM56" s="111">
        <v>5</v>
      </c>
      <c r="BN56" s="111">
        <v>6</v>
      </c>
      <c r="BO56" s="111"/>
      <c r="BP56" s="111"/>
      <c r="BQ56" s="111"/>
      <c r="BR56" s="111"/>
      <c r="BS56" s="111"/>
      <c r="BT56" s="111"/>
      <c r="BU56" s="111"/>
      <c r="BV56" s="111">
        <v>7</v>
      </c>
      <c r="BW56" s="111">
        <v>8</v>
      </c>
      <c r="BX56" s="111">
        <v>9</v>
      </c>
      <c r="BY56" s="111">
        <v>10</v>
      </c>
      <c r="BZ56" s="20" t="s">
        <v>13</v>
      </c>
      <c r="CA56" s="789"/>
      <c r="CB56" s="789"/>
      <c r="CC56" s="792"/>
      <c r="CD56" s="6"/>
      <c r="CE56" s="21"/>
      <c r="CF56" s="784" t="s">
        <v>19</v>
      </c>
      <c r="CG56" s="785"/>
      <c r="CH56" s="786"/>
      <c r="CI56" s="337"/>
      <c r="CJ56" s="111">
        <v>1</v>
      </c>
      <c r="CK56" s="111">
        <v>2</v>
      </c>
      <c r="CL56" s="111">
        <v>3</v>
      </c>
      <c r="CM56" s="111">
        <v>4</v>
      </c>
      <c r="CN56" s="111">
        <v>5</v>
      </c>
      <c r="CO56" s="111">
        <v>6</v>
      </c>
      <c r="CP56" s="111">
        <v>7</v>
      </c>
      <c r="CQ56" s="111">
        <v>8</v>
      </c>
      <c r="CR56" s="111">
        <v>9</v>
      </c>
      <c r="CS56" s="111">
        <v>10</v>
      </c>
      <c r="CT56" s="111">
        <v>11</v>
      </c>
      <c r="CU56" s="111">
        <v>12</v>
      </c>
      <c r="CV56" s="20" t="s">
        <v>13</v>
      </c>
      <c r="CW56" s="111">
        <v>1</v>
      </c>
      <c r="CX56" s="111">
        <v>2</v>
      </c>
      <c r="CY56" s="111">
        <v>3</v>
      </c>
      <c r="CZ56" s="111">
        <v>4</v>
      </c>
      <c r="DA56" s="111">
        <v>5</v>
      </c>
      <c r="DB56" s="111">
        <v>6</v>
      </c>
      <c r="DC56" s="111">
        <v>7</v>
      </c>
      <c r="DD56" s="111">
        <v>8</v>
      </c>
      <c r="DE56" s="111">
        <v>9</v>
      </c>
      <c r="DF56" s="111">
        <v>10</v>
      </c>
      <c r="DG56" s="111">
        <v>11</v>
      </c>
      <c r="DH56" s="111">
        <v>12</v>
      </c>
      <c r="DI56" s="20" t="s">
        <v>13</v>
      </c>
    </row>
    <row r="57" spans="1:118" s="70" customFormat="1" ht="24.75" customHeight="1" thickBot="1" x14ac:dyDescent="0.25">
      <c r="A57" s="64">
        <v>1</v>
      </c>
      <c r="B57" s="90" t="s">
        <v>239</v>
      </c>
      <c r="C57" s="65" t="s">
        <v>144</v>
      </c>
      <c r="D57" s="61">
        <v>35</v>
      </c>
      <c r="E57" s="428">
        <v>0</v>
      </c>
      <c r="F57" s="653">
        <v>35</v>
      </c>
      <c r="G57" s="429"/>
      <c r="H57" s="429"/>
      <c r="I57" s="429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8">
        <f>SUM(E57:U57)</f>
        <v>35</v>
      </c>
      <c r="W57" s="117" t="s">
        <v>16</v>
      </c>
      <c r="X57" s="627">
        <v>195000</v>
      </c>
      <c r="Y57" s="651">
        <v>0</v>
      </c>
      <c r="Z57" s="631">
        <v>192000</v>
      </c>
      <c r="AA57" s="434"/>
      <c r="AB57" s="71"/>
      <c r="AC57" s="434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51">
        <f>D57*X57</f>
        <v>6825000</v>
      </c>
      <c r="AQ57" s="570">
        <f>E57*Y57</f>
        <v>0</v>
      </c>
      <c r="AR57" s="556">
        <f t="shared" ref="AR57:AW58" si="100">Z57*F57</f>
        <v>6720000</v>
      </c>
      <c r="AS57" s="570">
        <f t="shared" si="100"/>
        <v>0</v>
      </c>
      <c r="AT57" s="570">
        <f t="shared" si="100"/>
        <v>0</v>
      </c>
      <c r="AU57" s="570">
        <f t="shared" si="100"/>
        <v>0</v>
      </c>
      <c r="AV57" s="52">
        <f t="shared" si="100"/>
        <v>0</v>
      </c>
      <c r="AW57" s="52">
        <f t="shared" si="100"/>
        <v>0</v>
      </c>
      <c r="AX57" s="52"/>
      <c r="AY57" s="52"/>
      <c r="AZ57" s="52"/>
      <c r="BA57" s="52"/>
      <c r="BB57" s="52"/>
      <c r="BC57" s="52"/>
      <c r="BD57" s="52">
        <f>AF57*L57</f>
        <v>0</v>
      </c>
      <c r="BE57" s="52">
        <f>AL57*M57</f>
        <v>0</v>
      </c>
      <c r="BF57" s="52">
        <f>AM57*N57</f>
        <v>0</v>
      </c>
      <c r="BG57" s="52">
        <f>AN57*U57</f>
        <v>0</v>
      </c>
      <c r="BH57" s="53">
        <f>SUM(AQ57:BG57)</f>
        <v>6720000</v>
      </c>
      <c r="BI57" s="570">
        <f>AQ57*12.5%</f>
        <v>0</v>
      </c>
      <c r="BJ57" s="52">
        <f>SUM(AR57*12.5%)</f>
        <v>840000</v>
      </c>
      <c r="BK57" s="52">
        <f t="shared" ref="BK57:BN58" si="101">SUM(AS57*14%)</f>
        <v>0</v>
      </c>
      <c r="BL57" s="52">
        <f t="shared" si="101"/>
        <v>0</v>
      </c>
      <c r="BM57" s="52">
        <f t="shared" si="101"/>
        <v>0</v>
      </c>
      <c r="BN57" s="52">
        <f t="shared" si="101"/>
        <v>0</v>
      </c>
      <c r="BO57" s="52"/>
      <c r="BP57" s="52"/>
      <c r="BQ57" s="52"/>
      <c r="BR57" s="52"/>
      <c r="BS57" s="52"/>
      <c r="BT57" s="52"/>
      <c r="BU57" s="52"/>
      <c r="BV57" s="52">
        <f>SUM(AW57*14%)</f>
        <v>0</v>
      </c>
      <c r="BW57" s="52">
        <f t="shared" ref="BW57:BY58" si="102">SUM(BD57*14%)</f>
        <v>0</v>
      </c>
      <c r="BX57" s="52">
        <f t="shared" si="102"/>
        <v>0</v>
      </c>
      <c r="BY57" s="52">
        <f t="shared" si="102"/>
        <v>0</v>
      </c>
      <c r="BZ57" s="54">
        <f>SUM(BI57:BY57)</f>
        <v>840000</v>
      </c>
      <c r="CA57" s="72">
        <f>AP57-BH57</f>
        <v>105000</v>
      </c>
      <c r="CB57" s="73">
        <f>X57*D57</f>
        <v>6825000</v>
      </c>
      <c r="CC57" s="74">
        <f>CB57-BH57</f>
        <v>105000</v>
      </c>
      <c r="CD57" s="99">
        <f>SUM(V57/D57)</f>
        <v>1</v>
      </c>
      <c r="CE57" s="105"/>
      <c r="CF57" s="556"/>
      <c r="CG57" s="556"/>
      <c r="CH57" s="567"/>
      <c r="CI57" s="561"/>
      <c r="CJ57" s="323"/>
      <c r="CK57" s="323"/>
      <c r="CL57" s="556">
        <f t="shared" ref="CL57:CP59" si="103">SUM(AS57*12.5%)</f>
        <v>0</v>
      </c>
      <c r="CM57" s="323">
        <f t="shared" si="103"/>
        <v>0</v>
      </c>
      <c r="CN57" s="323">
        <f t="shared" si="103"/>
        <v>0</v>
      </c>
      <c r="CO57" s="323">
        <f t="shared" si="103"/>
        <v>0</v>
      </c>
      <c r="CP57" s="323">
        <f t="shared" si="103"/>
        <v>0</v>
      </c>
      <c r="CQ57" s="323">
        <f t="shared" ref="CQ57:CT59" si="104">SUM(BD57*12.5%)</f>
        <v>0</v>
      </c>
      <c r="CR57" s="323">
        <f t="shared" si="104"/>
        <v>0</v>
      </c>
      <c r="CS57" s="323">
        <f t="shared" si="104"/>
        <v>0</v>
      </c>
      <c r="CT57" s="323">
        <f t="shared" si="104"/>
        <v>0</v>
      </c>
      <c r="CU57" s="323" t="e">
        <f>SUM(#REF!*12.5%)</f>
        <v>#REF!</v>
      </c>
      <c r="CV57" s="55" t="e">
        <f t="shared" ref="CV57" si="105">SUM(CJ57:CU57)</f>
        <v>#REF!</v>
      </c>
      <c r="CW57" s="323"/>
      <c r="CX57" s="323"/>
      <c r="CY57" s="323"/>
      <c r="CZ57" s="323"/>
      <c r="DA57" s="323"/>
      <c r="DB57" s="323"/>
      <c r="DC57" s="323"/>
      <c r="DD57" s="323"/>
      <c r="DE57" s="323"/>
      <c r="DF57" s="323"/>
      <c r="DG57" s="323"/>
      <c r="DH57" s="323"/>
      <c r="DI57" s="55">
        <f t="shared" ref="DI57" si="106">SUM(CW57:DH57)</f>
        <v>0</v>
      </c>
    </row>
    <row r="58" spans="1:118" s="70" customFormat="1" ht="24.75" customHeight="1" thickBot="1" x14ac:dyDescent="0.25">
      <c r="A58" s="64">
        <v>2</v>
      </c>
      <c r="B58" s="90" t="s">
        <v>116</v>
      </c>
      <c r="C58" s="65" t="s">
        <v>144</v>
      </c>
      <c r="D58" s="61">
        <v>9</v>
      </c>
      <c r="E58" s="428">
        <v>2</v>
      </c>
      <c r="F58" s="653">
        <v>7</v>
      </c>
      <c r="G58" s="429"/>
      <c r="H58" s="429"/>
      <c r="I58" s="429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8">
        <f>SUM(E58:U58)</f>
        <v>9</v>
      </c>
      <c r="W58" s="117" t="s">
        <v>16</v>
      </c>
      <c r="X58" s="627">
        <v>1565000</v>
      </c>
      <c r="Y58" s="651">
        <v>1565000</v>
      </c>
      <c r="Z58" s="631">
        <v>1565000</v>
      </c>
      <c r="AA58" s="434"/>
      <c r="AB58" s="71"/>
      <c r="AC58" s="434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51">
        <f>D58*X58</f>
        <v>14085000</v>
      </c>
      <c r="AQ58" s="570">
        <f>Y58*E58</f>
        <v>3130000</v>
      </c>
      <c r="AR58" s="556">
        <f t="shared" si="100"/>
        <v>10955000</v>
      </c>
      <c r="AS58" s="570">
        <f t="shared" si="100"/>
        <v>0</v>
      </c>
      <c r="AT58" s="570">
        <f t="shared" si="100"/>
        <v>0</v>
      </c>
      <c r="AU58" s="570">
        <f t="shared" si="100"/>
        <v>0</v>
      </c>
      <c r="AV58" s="52">
        <f t="shared" si="100"/>
        <v>0</v>
      </c>
      <c r="AW58" s="52">
        <f t="shared" si="100"/>
        <v>0</v>
      </c>
      <c r="AX58" s="52"/>
      <c r="AY58" s="52"/>
      <c r="AZ58" s="52"/>
      <c r="BA58" s="52"/>
      <c r="BB58" s="52"/>
      <c r="BC58" s="52"/>
      <c r="BD58" s="52">
        <f>AF58*L58</f>
        <v>0</v>
      </c>
      <c r="BE58" s="52">
        <f>AL58*M58</f>
        <v>0</v>
      </c>
      <c r="BF58" s="52">
        <f>AM58*N58</f>
        <v>0</v>
      </c>
      <c r="BG58" s="52">
        <f>AN58*U58</f>
        <v>0</v>
      </c>
      <c r="BH58" s="53">
        <f>SUM(AQ58:BG58)</f>
        <v>14085000</v>
      </c>
      <c r="BI58" s="570">
        <f>AQ58*12.5%</f>
        <v>391250</v>
      </c>
      <c r="BJ58" s="52">
        <f>SUM(AR58*12.5%)</f>
        <v>1369375</v>
      </c>
      <c r="BK58" s="52">
        <f t="shared" si="101"/>
        <v>0</v>
      </c>
      <c r="BL58" s="52">
        <f t="shared" si="101"/>
        <v>0</v>
      </c>
      <c r="BM58" s="52">
        <f t="shared" si="101"/>
        <v>0</v>
      </c>
      <c r="BN58" s="52">
        <f t="shared" si="101"/>
        <v>0</v>
      </c>
      <c r="BO58" s="52"/>
      <c r="BP58" s="52"/>
      <c r="BQ58" s="52"/>
      <c r="BR58" s="52"/>
      <c r="BS58" s="52"/>
      <c r="BT58" s="52"/>
      <c r="BU58" s="52"/>
      <c r="BV58" s="52">
        <f>SUM(AW58*14%)</f>
        <v>0</v>
      </c>
      <c r="BW58" s="52">
        <f t="shared" si="102"/>
        <v>0</v>
      </c>
      <c r="BX58" s="52">
        <f t="shared" si="102"/>
        <v>0</v>
      </c>
      <c r="BY58" s="52">
        <f t="shared" si="102"/>
        <v>0</v>
      </c>
      <c r="BZ58" s="54">
        <f>SUM(BI58:BY58)</f>
        <v>1760625</v>
      </c>
      <c r="CA58" s="72">
        <f>AP58-BH58</f>
        <v>0</v>
      </c>
      <c r="CB58" s="73">
        <f>X58*D58</f>
        <v>14085000</v>
      </c>
      <c r="CC58" s="74">
        <f>CB58-BH58</f>
        <v>0</v>
      </c>
      <c r="CD58" s="99">
        <f>SUM(V58/D58)</f>
        <v>1</v>
      </c>
      <c r="CE58" s="105"/>
      <c r="CF58" s="556"/>
      <c r="CG58" s="556"/>
      <c r="CH58" s="567"/>
      <c r="CI58" s="561"/>
      <c r="CJ58" s="323"/>
      <c r="CK58" s="323"/>
      <c r="CL58" s="556">
        <f t="shared" si="103"/>
        <v>0</v>
      </c>
      <c r="CM58" s="323">
        <f t="shared" si="103"/>
        <v>0</v>
      </c>
      <c r="CN58" s="323">
        <f t="shared" si="103"/>
        <v>0</v>
      </c>
      <c r="CO58" s="323">
        <f t="shared" si="103"/>
        <v>0</v>
      </c>
      <c r="CP58" s="323">
        <f t="shared" si="103"/>
        <v>0</v>
      </c>
      <c r="CQ58" s="323">
        <f t="shared" si="104"/>
        <v>0</v>
      </c>
      <c r="CR58" s="323">
        <f t="shared" si="104"/>
        <v>0</v>
      </c>
      <c r="CS58" s="323">
        <f t="shared" si="104"/>
        <v>0</v>
      </c>
      <c r="CT58" s="323">
        <f t="shared" si="104"/>
        <v>0</v>
      </c>
      <c r="CU58" s="323" t="e">
        <f>SUM(#REF!*12.5%)</f>
        <v>#REF!</v>
      </c>
      <c r="CV58" s="55" t="e">
        <f t="shared" ref="CV58:CV59" si="107">SUM(CJ58:CU58)</f>
        <v>#REF!</v>
      </c>
      <c r="CW58" s="323"/>
      <c r="CX58" s="323"/>
      <c r="CY58" s="323"/>
      <c r="CZ58" s="323"/>
      <c r="DA58" s="323"/>
      <c r="DB58" s="323"/>
      <c r="DC58" s="323"/>
      <c r="DD58" s="323"/>
      <c r="DE58" s="323"/>
      <c r="DF58" s="323"/>
      <c r="DG58" s="323"/>
      <c r="DH58" s="323"/>
      <c r="DI58" s="55">
        <f t="shared" ref="DI58:DI59" si="108">SUM(CW58:DH58)</f>
        <v>0</v>
      </c>
    </row>
    <row r="59" spans="1:118" s="27" customFormat="1" ht="24.75" customHeight="1" thickBot="1" x14ac:dyDescent="0.25">
      <c r="A59" s="30"/>
      <c r="B59" s="31" t="s">
        <v>4</v>
      </c>
      <c r="C59" s="31"/>
      <c r="D59" s="1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4"/>
      <c r="W59" s="58"/>
      <c r="X59" s="76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8">
        <f>SUM(AP57:AP58)</f>
        <v>20910000</v>
      </c>
      <c r="AQ59" s="737">
        <f>SUM(AQ57:AQ58)</f>
        <v>3130000</v>
      </c>
      <c r="AR59" s="737">
        <f>SUM(AR57:AR58)</f>
        <v>17675000</v>
      </c>
      <c r="AS59" s="624">
        <f t="shared" ref="AS59:BG59" si="109">SUM(AS58:AS58)</f>
        <v>0</v>
      </c>
      <c r="AT59" s="78">
        <f t="shared" si="109"/>
        <v>0</v>
      </c>
      <c r="AU59" s="624">
        <f t="shared" si="109"/>
        <v>0</v>
      </c>
      <c r="AV59" s="78">
        <f t="shared" si="109"/>
        <v>0</v>
      </c>
      <c r="AW59" s="78">
        <f t="shared" si="109"/>
        <v>0</v>
      </c>
      <c r="AX59" s="78"/>
      <c r="AY59" s="78"/>
      <c r="AZ59" s="78"/>
      <c r="BA59" s="78"/>
      <c r="BB59" s="78"/>
      <c r="BC59" s="78"/>
      <c r="BD59" s="78">
        <f t="shared" si="109"/>
        <v>0</v>
      </c>
      <c r="BE59" s="78">
        <f t="shared" si="109"/>
        <v>0</v>
      </c>
      <c r="BF59" s="78">
        <f t="shared" si="109"/>
        <v>0</v>
      </c>
      <c r="BG59" s="78">
        <f t="shared" si="109"/>
        <v>0</v>
      </c>
      <c r="BH59" s="78">
        <f>SUM(BH57:BH58)</f>
        <v>20805000</v>
      </c>
      <c r="BI59" s="78">
        <f t="shared" ref="BI59:BZ59" si="110">SUM(BI57:BI58)</f>
        <v>391250</v>
      </c>
      <c r="BJ59" s="78">
        <f t="shared" si="110"/>
        <v>2209375</v>
      </c>
      <c r="BK59" s="78">
        <f t="shared" si="110"/>
        <v>0</v>
      </c>
      <c r="BL59" s="78">
        <f t="shared" si="110"/>
        <v>0</v>
      </c>
      <c r="BM59" s="78">
        <f t="shared" si="110"/>
        <v>0</v>
      </c>
      <c r="BN59" s="78">
        <f t="shared" si="110"/>
        <v>0</v>
      </c>
      <c r="BO59" s="78"/>
      <c r="BP59" s="78"/>
      <c r="BQ59" s="78"/>
      <c r="BR59" s="78"/>
      <c r="BS59" s="78"/>
      <c r="BT59" s="78"/>
      <c r="BU59" s="78"/>
      <c r="BV59" s="78">
        <f t="shared" si="110"/>
        <v>0</v>
      </c>
      <c r="BW59" s="78">
        <f t="shared" si="110"/>
        <v>0</v>
      </c>
      <c r="BX59" s="78">
        <f t="shared" si="110"/>
        <v>0</v>
      </c>
      <c r="BY59" s="78">
        <f t="shared" si="110"/>
        <v>0</v>
      </c>
      <c r="BZ59" s="78">
        <f t="shared" si="110"/>
        <v>2600625</v>
      </c>
      <c r="CA59" s="78">
        <f>SUM(CA57:CA58)</f>
        <v>105000</v>
      </c>
      <c r="CB59" s="78">
        <f t="shared" ref="CB59:CC59" si="111">SUM(CB57:CB58)</f>
        <v>20910000</v>
      </c>
      <c r="CC59" s="78">
        <f t="shared" si="111"/>
        <v>105000</v>
      </c>
      <c r="CD59" s="100">
        <v>1</v>
      </c>
      <c r="CE59" s="106"/>
      <c r="CF59" s="556"/>
      <c r="CG59" s="556"/>
      <c r="CH59" s="567"/>
      <c r="CI59" s="561"/>
      <c r="CJ59" s="323"/>
      <c r="CK59" s="323"/>
      <c r="CL59" s="556">
        <f t="shared" si="103"/>
        <v>0</v>
      </c>
      <c r="CM59" s="323">
        <f t="shared" si="103"/>
        <v>0</v>
      </c>
      <c r="CN59" s="323">
        <f t="shared" si="103"/>
        <v>0</v>
      </c>
      <c r="CO59" s="323">
        <f t="shared" si="103"/>
        <v>0</v>
      </c>
      <c r="CP59" s="323">
        <f t="shared" si="103"/>
        <v>0</v>
      </c>
      <c r="CQ59" s="323">
        <f t="shared" si="104"/>
        <v>0</v>
      </c>
      <c r="CR59" s="323">
        <f t="shared" si="104"/>
        <v>0</v>
      </c>
      <c r="CS59" s="323">
        <f t="shared" si="104"/>
        <v>0</v>
      </c>
      <c r="CT59" s="323">
        <f t="shared" si="104"/>
        <v>0</v>
      </c>
      <c r="CU59" s="323" t="e">
        <f>SUM(#REF!*12.5%)</f>
        <v>#REF!</v>
      </c>
      <c r="CV59" s="55" t="e">
        <f t="shared" si="107"/>
        <v>#REF!</v>
      </c>
      <c r="CW59" s="323"/>
      <c r="CX59" s="323"/>
      <c r="CY59" s="323"/>
      <c r="CZ59" s="323"/>
      <c r="DA59" s="323"/>
      <c r="DB59" s="323"/>
      <c r="DC59" s="323"/>
      <c r="DD59" s="323"/>
      <c r="DE59" s="323"/>
      <c r="DF59" s="323"/>
      <c r="DG59" s="323"/>
      <c r="DH59" s="323"/>
      <c r="DI59" s="55">
        <f t="shared" si="108"/>
        <v>0</v>
      </c>
    </row>
    <row r="60" spans="1:118" s="16" customFormat="1" ht="24.75" customHeight="1" x14ac:dyDescent="0.2">
      <c r="A60" s="37"/>
      <c r="D60" s="133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AO60" s="28"/>
      <c r="BH60" s="38"/>
      <c r="BZ60" s="39">
        <f>SUM(BH59+BZ59)</f>
        <v>23405625</v>
      </c>
      <c r="CA60" s="40"/>
      <c r="CB60" s="41">
        <f>SUM(CC59+BH59)</f>
        <v>20910000</v>
      </c>
      <c r="CC60" s="42">
        <f>SUM(CA59)</f>
        <v>105000</v>
      </c>
      <c r="CD60" s="28" t="s">
        <v>29</v>
      </c>
      <c r="CE60" s="107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</row>
    <row r="61" spans="1:118" s="5" customFormat="1" ht="15.75" x14ac:dyDescent="0.2">
      <c r="A61" s="45"/>
      <c r="C61" s="45"/>
      <c r="D61" s="14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37"/>
      <c r="W61" s="7"/>
      <c r="X61" s="6"/>
      <c r="AO61" s="47"/>
      <c r="AP61" s="46"/>
      <c r="BH61" s="48"/>
      <c r="BZ61" s="48"/>
      <c r="CA61" s="48"/>
      <c r="CB61" s="116"/>
      <c r="CC61" s="116"/>
      <c r="CE61" s="104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</row>
    <row r="62" spans="1:118" s="16" customFormat="1" ht="24.75" customHeight="1" x14ac:dyDescent="0.2">
      <c r="A62" s="811" t="s">
        <v>7</v>
      </c>
      <c r="B62" s="812"/>
      <c r="C62" s="83" t="s">
        <v>118</v>
      </c>
      <c r="D62" s="85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6"/>
      <c r="AP62" s="17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7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7"/>
      <c r="CA62" s="87"/>
      <c r="CB62" s="84"/>
      <c r="CC62" s="88"/>
      <c r="CD62" s="17"/>
      <c r="CE62" s="103"/>
      <c r="CF62" s="85"/>
      <c r="CG62" s="85"/>
      <c r="CH62" s="85"/>
      <c r="CI62" s="85"/>
      <c r="CJ62" s="86"/>
      <c r="CK62" s="85"/>
      <c r="CL62" s="85"/>
      <c r="CM62" s="85"/>
      <c r="CN62" s="85"/>
      <c r="CO62" s="85"/>
      <c r="CP62" s="87"/>
      <c r="CQ62" s="87"/>
      <c r="CR62" s="87"/>
      <c r="CS62" s="84"/>
      <c r="CT62" s="88"/>
      <c r="CU62" s="87"/>
      <c r="CV62" s="87"/>
      <c r="CW62" s="18"/>
      <c r="CX62" s="18"/>
      <c r="CY62" s="18"/>
      <c r="CZ62" s="18"/>
      <c r="DA62" s="18"/>
      <c r="DB62" s="89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</row>
    <row r="63" spans="1:118" s="7" customFormat="1" ht="48.75" customHeight="1" x14ac:dyDescent="0.2">
      <c r="A63" s="813" t="s">
        <v>8</v>
      </c>
      <c r="B63" s="787" t="s">
        <v>9</v>
      </c>
      <c r="C63" s="787" t="s">
        <v>22</v>
      </c>
      <c r="D63" s="806" t="s">
        <v>10</v>
      </c>
      <c r="E63" s="806"/>
      <c r="F63" s="806"/>
      <c r="G63" s="806"/>
      <c r="H63" s="806"/>
      <c r="I63" s="806"/>
      <c r="J63" s="806"/>
      <c r="K63" s="806"/>
      <c r="L63" s="806"/>
      <c r="M63" s="806"/>
      <c r="N63" s="806"/>
      <c r="O63" s="806"/>
      <c r="P63" s="806"/>
      <c r="Q63" s="806"/>
      <c r="R63" s="806"/>
      <c r="S63" s="806"/>
      <c r="T63" s="806"/>
      <c r="U63" s="806"/>
      <c r="V63" s="806"/>
      <c r="W63" s="787" t="s">
        <v>20</v>
      </c>
      <c r="X63" s="807" t="s">
        <v>17</v>
      </c>
      <c r="Y63" s="808"/>
      <c r="Z63" s="808"/>
      <c r="AA63" s="808"/>
      <c r="AB63" s="808"/>
      <c r="AC63" s="808"/>
      <c r="AD63" s="808"/>
      <c r="AE63" s="808"/>
      <c r="AF63" s="808"/>
      <c r="AG63" s="808"/>
      <c r="AH63" s="808"/>
      <c r="AI63" s="808"/>
      <c r="AJ63" s="808"/>
      <c r="AK63" s="808"/>
      <c r="AL63" s="808"/>
      <c r="AM63" s="808"/>
      <c r="AN63" s="808"/>
      <c r="AO63" s="809"/>
      <c r="AP63" s="810" t="s">
        <v>5</v>
      </c>
      <c r="AQ63" s="810"/>
      <c r="AR63" s="810"/>
      <c r="AS63" s="810"/>
      <c r="AT63" s="810"/>
      <c r="AU63" s="810"/>
      <c r="AV63" s="810"/>
      <c r="AW63" s="810"/>
      <c r="AX63" s="810"/>
      <c r="AY63" s="810"/>
      <c r="AZ63" s="810"/>
      <c r="BA63" s="810"/>
      <c r="BB63" s="810"/>
      <c r="BC63" s="810"/>
      <c r="BD63" s="810"/>
      <c r="BE63" s="810"/>
      <c r="BF63" s="810"/>
      <c r="BG63" s="810"/>
      <c r="BH63" s="810"/>
      <c r="BI63" s="800" t="s">
        <v>32</v>
      </c>
      <c r="BJ63" s="801"/>
      <c r="BK63" s="801"/>
      <c r="BL63" s="801"/>
      <c r="BM63" s="801"/>
      <c r="BN63" s="801"/>
      <c r="BO63" s="801"/>
      <c r="BP63" s="801"/>
      <c r="BQ63" s="801"/>
      <c r="BR63" s="801"/>
      <c r="BS63" s="801"/>
      <c r="BT63" s="801"/>
      <c r="BU63" s="801"/>
      <c r="BV63" s="801"/>
      <c r="BW63" s="801"/>
      <c r="BX63" s="801"/>
      <c r="BY63" s="801"/>
      <c r="BZ63" s="802"/>
      <c r="CA63" s="787" t="s">
        <v>29</v>
      </c>
      <c r="CB63" s="787" t="s">
        <v>57</v>
      </c>
      <c r="CC63" s="790" t="s">
        <v>30</v>
      </c>
      <c r="CD63" s="84"/>
      <c r="CE63" s="17"/>
      <c r="CF63" s="84"/>
      <c r="CG63" s="84"/>
      <c r="CH63" s="84"/>
      <c r="CI63" s="84"/>
      <c r="CJ63" s="774" t="s">
        <v>32</v>
      </c>
      <c r="CK63" s="775"/>
      <c r="CL63" s="775"/>
      <c r="CM63" s="775"/>
      <c r="CN63" s="775"/>
      <c r="CO63" s="775"/>
      <c r="CP63" s="775"/>
      <c r="CQ63" s="775"/>
      <c r="CR63" s="775"/>
      <c r="CS63" s="775"/>
      <c r="CT63" s="775"/>
      <c r="CU63" s="775"/>
      <c r="CV63" s="775"/>
      <c r="CW63" s="775"/>
      <c r="CX63" s="775"/>
      <c r="CY63" s="775"/>
      <c r="CZ63" s="775"/>
      <c r="DA63" s="775"/>
      <c r="DB63" s="775"/>
      <c r="DC63" s="775"/>
      <c r="DD63" s="775"/>
      <c r="DE63" s="775"/>
      <c r="DF63" s="775"/>
      <c r="DG63" s="775"/>
      <c r="DH63" s="775"/>
      <c r="DI63" s="776"/>
    </row>
    <row r="64" spans="1:118" s="7" customFormat="1" ht="48.75" customHeight="1" x14ac:dyDescent="0.2">
      <c r="A64" s="814"/>
      <c r="B64" s="788"/>
      <c r="C64" s="788"/>
      <c r="D64" s="864" t="s">
        <v>18</v>
      </c>
      <c r="E64" s="795" t="s">
        <v>19</v>
      </c>
      <c r="F64" s="796"/>
      <c r="G64" s="796"/>
      <c r="H64" s="796"/>
      <c r="I64" s="796"/>
      <c r="J64" s="796"/>
      <c r="K64" s="796"/>
      <c r="L64" s="796"/>
      <c r="M64" s="796"/>
      <c r="N64" s="796"/>
      <c r="O64" s="796"/>
      <c r="P64" s="796"/>
      <c r="Q64" s="796"/>
      <c r="R64" s="796"/>
      <c r="S64" s="796"/>
      <c r="T64" s="796"/>
      <c r="U64" s="796"/>
      <c r="V64" s="796"/>
      <c r="W64" s="788"/>
      <c r="X64" s="797" t="s">
        <v>18</v>
      </c>
      <c r="Y64" s="795" t="s">
        <v>19</v>
      </c>
      <c r="Z64" s="796"/>
      <c r="AA64" s="796"/>
      <c r="AB64" s="796"/>
      <c r="AC64" s="796"/>
      <c r="AD64" s="796"/>
      <c r="AE64" s="796"/>
      <c r="AF64" s="796"/>
      <c r="AG64" s="796"/>
      <c r="AH64" s="796"/>
      <c r="AI64" s="796"/>
      <c r="AJ64" s="796"/>
      <c r="AK64" s="796"/>
      <c r="AL64" s="796"/>
      <c r="AM64" s="796"/>
      <c r="AN64" s="796"/>
      <c r="AO64" s="799"/>
      <c r="AP64" s="797" t="s">
        <v>18</v>
      </c>
      <c r="AQ64" s="795" t="s">
        <v>19</v>
      </c>
      <c r="AR64" s="796"/>
      <c r="AS64" s="796"/>
      <c r="AT64" s="796"/>
      <c r="AU64" s="796"/>
      <c r="AV64" s="796"/>
      <c r="AW64" s="796"/>
      <c r="AX64" s="796"/>
      <c r="AY64" s="796"/>
      <c r="AZ64" s="796"/>
      <c r="BA64" s="796"/>
      <c r="BB64" s="796"/>
      <c r="BC64" s="796"/>
      <c r="BD64" s="796"/>
      <c r="BE64" s="796"/>
      <c r="BF64" s="796"/>
      <c r="BG64" s="796"/>
      <c r="BH64" s="799"/>
      <c r="BI64" s="803"/>
      <c r="BJ64" s="804"/>
      <c r="BK64" s="804"/>
      <c r="BL64" s="804"/>
      <c r="BM64" s="804"/>
      <c r="BN64" s="804"/>
      <c r="BO64" s="804"/>
      <c r="BP64" s="804"/>
      <c r="BQ64" s="804"/>
      <c r="BR64" s="804"/>
      <c r="BS64" s="804"/>
      <c r="BT64" s="804"/>
      <c r="BU64" s="804"/>
      <c r="BV64" s="804"/>
      <c r="BW64" s="804"/>
      <c r="BX64" s="804"/>
      <c r="BY64" s="804"/>
      <c r="BZ64" s="805"/>
      <c r="CA64" s="788"/>
      <c r="CB64" s="788"/>
      <c r="CC64" s="791"/>
      <c r="CD64" s="84"/>
      <c r="CE64" s="17"/>
      <c r="CF64" s="777">
        <f>SUM(CF66/60)</f>
        <v>0</v>
      </c>
      <c r="CG64" s="777"/>
      <c r="CH64" s="777"/>
      <c r="CI64" s="17"/>
      <c r="CJ64" s="778" t="s">
        <v>230</v>
      </c>
      <c r="CK64" s="779"/>
      <c r="CL64" s="779"/>
      <c r="CM64" s="779"/>
      <c r="CN64" s="779"/>
      <c r="CO64" s="779"/>
      <c r="CP64" s="779"/>
      <c r="CQ64" s="779"/>
      <c r="CR64" s="779"/>
      <c r="CS64" s="779"/>
      <c r="CT64" s="779"/>
      <c r="CU64" s="779"/>
      <c r="CV64" s="780"/>
      <c r="CW64" s="781" t="s">
        <v>231</v>
      </c>
      <c r="CX64" s="782"/>
      <c r="CY64" s="782"/>
      <c r="CZ64" s="782"/>
      <c r="DA64" s="782"/>
      <c r="DB64" s="782"/>
      <c r="DC64" s="782"/>
      <c r="DD64" s="782"/>
      <c r="DE64" s="782"/>
      <c r="DF64" s="782"/>
      <c r="DG64" s="782"/>
      <c r="DH64" s="782"/>
      <c r="DI64" s="783"/>
    </row>
    <row r="65" spans="1:113" s="5" customFormat="1" ht="28.5" customHeight="1" x14ac:dyDescent="0.2">
      <c r="A65" s="815"/>
      <c r="B65" s="789"/>
      <c r="C65" s="789"/>
      <c r="D65" s="865"/>
      <c r="E65" s="20">
        <v>1</v>
      </c>
      <c r="F65" s="20">
        <v>2</v>
      </c>
      <c r="G65" s="20">
        <v>3</v>
      </c>
      <c r="H65" s="20">
        <v>4</v>
      </c>
      <c r="I65" s="20">
        <v>5</v>
      </c>
      <c r="J65" s="20">
        <v>6</v>
      </c>
      <c r="K65" s="20">
        <v>7</v>
      </c>
      <c r="L65" s="20">
        <v>8</v>
      </c>
      <c r="M65" s="20">
        <v>9</v>
      </c>
      <c r="N65" s="20">
        <v>10</v>
      </c>
      <c r="O65" s="20"/>
      <c r="P65" s="20"/>
      <c r="Q65" s="20"/>
      <c r="R65" s="20"/>
      <c r="S65" s="20"/>
      <c r="T65" s="20"/>
      <c r="U65" s="20">
        <v>11</v>
      </c>
      <c r="V65" s="20" t="s">
        <v>21</v>
      </c>
      <c r="W65" s="789"/>
      <c r="X65" s="798"/>
      <c r="Y65" s="20">
        <v>1</v>
      </c>
      <c r="Z65" s="20">
        <v>2</v>
      </c>
      <c r="AA65" s="20">
        <v>3</v>
      </c>
      <c r="AB65" s="20">
        <v>4</v>
      </c>
      <c r="AC65" s="20">
        <v>5</v>
      </c>
      <c r="AD65" s="20">
        <v>6</v>
      </c>
      <c r="AE65" s="20">
        <v>7</v>
      </c>
      <c r="AF65" s="20">
        <v>8</v>
      </c>
      <c r="AG65" s="20"/>
      <c r="AH65" s="20"/>
      <c r="AI65" s="20"/>
      <c r="AJ65" s="20"/>
      <c r="AK65" s="20"/>
      <c r="AL65" s="20">
        <v>9</v>
      </c>
      <c r="AM65" s="20">
        <v>10</v>
      </c>
      <c r="AN65" s="20">
        <v>11</v>
      </c>
      <c r="AO65" s="20">
        <v>12</v>
      </c>
      <c r="AP65" s="798"/>
      <c r="AQ65" s="20">
        <v>1</v>
      </c>
      <c r="AR65" s="20">
        <v>2</v>
      </c>
      <c r="AS65" s="20">
        <v>3</v>
      </c>
      <c r="AT65" s="20">
        <v>4</v>
      </c>
      <c r="AU65" s="20">
        <v>5</v>
      </c>
      <c r="AV65" s="20">
        <v>6</v>
      </c>
      <c r="AW65" s="20">
        <v>7</v>
      </c>
      <c r="AX65" s="20"/>
      <c r="AY65" s="20"/>
      <c r="AZ65" s="20"/>
      <c r="BA65" s="20"/>
      <c r="BB65" s="20"/>
      <c r="BC65" s="20"/>
      <c r="BD65" s="20">
        <v>8</v>
      </c>
      <c r="BE65" s="20">
        <v>9</v>
      </c>
      <c r="BF65" s="20">
        <v>10</v>
      </c>
      <c r="BG65" s="20">
        <v>11</v>
      </c>
      <c r="BH65" s="20" t="s">
        <v>13</v>
      </c>
      <c r="BI65" s="111">
        <v>1</v>
      </c>
      <c r="BJ65" s="111">
        <v>2</v>
      </c>
      <c r="BK65" s="111">
        <v>3</v>
      </c>
      <c r="BL65" s="111">
        <v>4</v>
      </c>
      <c r="BM65" s="111">
        <v>5</v>
      </c>
      <c r="BN65" s="111">
        <v>6</v>
      </c>
      <c r="BO65" s="111"/>
      <c r="BP65" s="111"/>
      <c r="BQ65" s="111"/>
      <c r="BR65" s="111"/>
      <c r="BS65" s="111"/>
      <c r="BT65" s="111"/>
      <c r="BU65" s="111"/>
      <c r="BV65" s="111">
        <v>7</v>
      </c>
      <c r="BW65" s="111">
        <v>8</v>
      </c>
      <c r="BX65" s="111">
        <v>9</v>
      </c>
      <c r="BY65" s="111">
        <v>10</v>
      </c>
      <c r="BZ65" s="20" t="s">
        <v>13</v>
      </c>
      <c r="CA65" s="789"/>
      <c r="CB65" s="789"/>
      <c r="CC65" s="792"/>
      <c r="CD65" s="6"/>
      <c r="CE65" s="21"/>
      <c r="CF65" s="784" t="s">
        <v>19</v>
      </c>
      <c r="CG65" s="785"/>
      <c r="CH65" s="786"/>
      <c r="CI65" s="337"/>
      <c r="CJ65" s="111">
        <v>1</v>
      </c>
      <c r="CK65" s="111">
        <v>2</v>
      </c>
      <c r="CL65" s="111">
        <v>3</v>
      </c>
      <c r="CM65" s="111">
        <v>4</v>
      </c>
      <c r="CN65" s="111">
        <v>5</v>
      </c>
      <c r="CO65" s="111">
        <v>6</v>
      </c>
      <c r="CP65" s="111">
        <v>7</v>
      </c>
      <c r="CQ65" s="111">
        <v>8</v>
      </c>
      <c r="CR65" s="111">
        <v>9</v>
      </c>
      <c r="CS65" s="111">
        <v>10</v>
      </c>
      <c r="CT65" s="111">
        <v>11</v>
      </c>
      <c r="CU65" s="111">
        <v>12</v>
      </c>
      <c r="CV65" s="20" t="s">
        <v>13</v>
      </c>
      <c r="CW65" s="111">
        <v>1</v>
      </c>
      <c r="CX65" s="111">
        <v>2</v>
      </c>
      <c r="CY65" s="111">
        <v>3</v>
      </c>
      <c r="CZ65" s="111">
        <v>4</v>
      </c>
      <c r="DA65" s="111">
        <v>5</v>
      </c>
      <c r="DB65" s="111">
        <v>6</v>
      </c>
      <c r="DC65" s="111">
        <v>7</v>
      </c>
      <c r="DD65" s="111">
        <v>8</v>
      </c>
      <c r="DE65" s="111">
        <v>9</v>
      </c>
      <c r="DF65" s="111">
        <v>10</v>
      </c>
      <c r="DG65" s="111">
        <v>11</v>
      </c>
      <c r="DH65" s="111">
        <v>12</v>
      </c>
      <c r="DI65" s="20" t="s">
        <v>13</v>
      </c>
    </row>
    <row r="66" spans="1:113" s="70" customFormat="1" ht="31.5" customHeight="1" x14ac:dyDescent="0.2">
      <c r="A66" s="64"/>
      <c r="B66" s="640" t="s">
        <v>261</v>
      </c>
      <c r="C66" s="65"/>
      <c r="D66" s="148"/>
      <c r="E66" s="429"/>
      <c r="F66" s="65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8"/>
      <c r="W66" s="114"/>
      <c r="X66" s="96"/>
      <c r="Y66" s="651"/>
      <c r="Z66" s="63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51"/>
      <c r="AQ66" s="570"/>
      <c r="AR66" s="556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3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4"/>
      <c r="CA66" s="72"/>
      <c r="CB66" s="73"/>
      <c r="CC66" s="74"/>
      <c r="CD66" s="99"/>
      <c r="CE66" s="105"/>
      <c r="CF66" s="556"/>
      <c r="CG66" s="556"/>
      <c r="CH66" s="567"/>
      <c r="CI66" s="561"/>
      <c r="CJ66" s="323"/>
      <c r="CK66" s="323"/>
      <c r="CL66" s="556"/>
      <c r="CM66" s="323"/>
      <c r="CN66" s="323"/>
      <c r="CO66" s="323"/>
      <c r="CP66" s="323"/>
      <c r="CQ66" s="323"/>
      <c r="CR66" s="323"/>
      <c r="CS66" s="323"/>
      <c r="CT66" s="323"/>
      <c r="CU66" s="323"/>
      <c r="CV66" s="55"/>
      <c r="CW66" s="323"/>
      <c r="CX66" s="323"/>
      <c r="CY66" s="323"/>
      <c r="CZ66" s="323"/>
      <c r="DA66" s="323"/>
      <c r="DB66" s="323"/>
      <c r="DC66" s="323"/>
      <c r="DD66" s="323"/>
      <c r="DE66" s="323"/>
      <c r="DF66" s="323"/>
      <c r="DG66" s="323"/>
      <c r="DH66" s="323"/>
      <c r="DI66" s="55"/>
    </row>
    <row r="67" spans="1:113" s="70" customFormat="1" ht="31.5" customHeight="1" x14ac:dyDescent="0.2">
      <c r="A67" s="64">
        <v>1</v>
      </c>
      <c r="B67" s="120" t="s">
        <v>262</v>
      </c>
      <c r="C67" s="65" t="s">
        <v>246</v>
      </c>
      <c r="D67" s="148">
        <v>10</v>
      </c>
      <c r="E67" s="429"/>
      <c r="F67" s="653">
        <v>10</v>
      </c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8">
        <f>SUM(E67:U67)</f>
        <v>10</v>
      </c>
      <c r="W67" s="114" t="s">
        <v>26</v>
      </c>
      <c r="X67" s="96">
        <v>10300</v>
      </c>
      <c r="Y67" s="651"/>
      <c r="Z67" s="657">
        <v>10300</v>
      </c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51">
        <f t="shared" ref="AP67:AP79" si="112">D67*X67</f>
        <v>103000</v>
      </c>
      <c r="AQ67" s="570">
        <f t="shared" ref="AQ67:AW71" si="113">Y67*E67</f>
        <v>0</v>
      </c>
      <c r="AR67" s="556">
        <f t="shared" si="113"/>
        <v>103000</v>
      </c>
      <c r="AS67" s="52">
        <f t="shared" si="113"/>
        <v>0</v>
      </c>
      <c r="AT67" s="52">
        <f t="shared" si="113"/>
        <v>0</v>
      </c>
      <c r="AU67" s="52">
        <f t="shared" si="113"/>
        <v>0</v>
      </c>
      <c r="AV67" s="52">
        <f t="shared" si="113"/>
        <v>0</v>
      </c>
      <c r="AW67" s="52">
        <f t="shared" si="113"/>
        <v>0</v>
      </c>
      <c r="AX67" s="52"/>
      <c r="AY67" s="52"/>
      <c r="AZ67" s="52"/>
      <c r="BA67" s="52"/>
      <c r="BB67" s="52"/>
      <c r="BC67" s="52"/>
      <c r="BD67" s="52">
        <f>AF67*L67</f>
        <v>0</v>
      </c>
      <c r="BE67" s="52">
        <f t="shared" ref="BE67:BF71" si="114">AL67*M67</f>
        <v>0</v>
      </c>
      <c r="BF67" s="52">
        <f t="shared" si="114"/>
        <v>0</v>
      </c>
      <c r="BG67" s="52">
        <f>AN67*U67</f>
        <v>0</v>
      </c>
      <c r="BH67" s="53">
        <f>SUM(AQ67:BG67)</f>
        <v>103000</v>
      </c>
      <c r="BI67" s="52">
        <f>SUM(AQ67*4%)</f>
        <v>0</v>
      </c>
      <c r="BJ67" s="52">
        <f>SUM(AR67*12%)</f>
        <v>12360</v>
      </c>
      <c r="BK67" s="52">
        <f t="shared" ref="BK67:BN71" si="115">SUM(AS67*14%)</f>
        <v>0</v>
      </c>
      <c r="BL67" s="52">
        <f t="shared" si="115"/>
        <v>0</v>
      </c>
      <c r="BM67" s="52">
        <f t="shared" si="115"/>
        <v>0</v>
      </c>
      <c r="BN67" s="52">
        <f t="shared" si="115"/>
        <v>0</v>
      </c>
      <c r="BO67" s="52"/>
      <c r="BP67" s="52"/>
      <c r="BQ67" s="52"/>
      <c r="BR67" s="52"/>
      <c r="BS67" s="52"/>
      <c r="BT67" s="52"/>
      <c r="BU67" s="52"/>
      <c r="BV67" s="52">
        <f>SUM(AW67*14%)</f>
        <v>0</v>
      </c>
      <c r="BW67" s="52">
        <f t="shared" ref="BW67:BY71" si="116">SUM(BD67*14%)</f>
        <v>0</v>
      </c>
      <c r="BX67" s="52">
        <f t="shared" si="116"/>
        <v>0</v>
      </c>
      <c r="BY67" s="52">
        <f t="shared" si="116"/>
        <v>0</v>
      </c>
      <c r="BZ67" s="54">
        <f>SUM(BI67:BY67)</f>
        <v>12360</v>
      </c>
      <c r="CA67" s="72">
        <f t="shared" ref="CA67:CA79" si="117">AP67-BH67</f>
        <v>0</v>
      </c>
      <c r="CB67" s="73">
        <f>X67*D67</f>
        <v>103000</v>
      </c>
      <c r="CC67" s="74">
        <f t="shared" ref="CC67:CC79" si="118">CB67-BH67</f>
        <v>0</v>
      </c>
      <c r="CD67" s="99">
        <f>SUM(V67/D67)</f>
        <v>1</v>
      </c>
      <c r="CE67" s="105">
        <v>1</v>
      </c>
      <c r="CF67" s="556"/>
      <c r="CG67" s="556"/>
      <c r="CH67" s="567"/>
      <c r="CI67" s="561"/>
      <c r="CJ67" s="323"/>
      <c r="CK67" s="323"/>
      <c r="CL67" s="556">
        <f t="shared" ref="CL67:CP71" si="119">SUM(AS67*12.5%)</f>
        <v>0</v>
      </c>
      <c r="CM67" s="323">
        <f t="shared" si="119"/>
        <v>0</v>
      </c>
      <c r="CN67" s="323">
        <f t="shared" si="119"/>
        <v>0</v>
      </c>
      <c r="CO67" s="323">
        <f t="shared" si="119"/>
        <v>0</v>
      </c>
      <c r="CP67" s="323">
        <f t="shared" si="119"/>
        <v>0</v>
      </c>
      <c r="CQ67" s="323">
        <f t="shared" ref="CQ67:CT71" si="120">SUM(BD67*12.5%)</f>
        <v>0</v>
      </c>
      <c r="CR67" s="323">
        <f t="shared" si="120"/>
        <v>0</v>
      </c>
      <c r="CS67" s="323">
        <f t="shared" si="120"/>
        <v>0</v>
      </c>
      <c r="CT67" s="323">
        <f t="shared" si="120"/>
        <v>0</v>
      </c>
      <c r="CU67" s="323" t="e">
        <f>SUM(#REF!*12.5%)</f>
        <v>#REF!</v>
      </c>
      <c r="CV67" s="55" t="e">
        <f t="shared" ref="CV67" si="121">SUM(CJ67:CU67)</f>
        <v>#REF!</v>
      </c>
      <c r="CW67" s="323"/>
      <c r="CX67" s="323"/>
      <c r="CY67" s="323"/>
      <c r="CZ67" s="323"/>
      <c r="DA67" s="323"/>
      <c r="DB67" s="323"/>
      <c r="DC67" s="323"/>
      <c r="DD67" s="323"/>
      <c r="DE67" s="323"/>
      <c r="DF67" s="323"/>
      <c r="DG67" s="323"/>
      <c r="DH67" s="323"/>
      <c r="DI67" s="55">
        <f t="shared" ref="DI67" si="122">SUM(CW67:DH67)</f>
        <v>0</v>
      </c>
    </row>
    <row r="68" spans="1:113" s="70" customFormat="1" ht="31.5" customHeight="1" x14ac:dyDescent="0.2">
      <c r="A68" s="64">
        <v>2</v>
      </c>
      <c r="B68" s="120" t="s">
        <v>263</v>
      </c>
      <c r="C68" s="65" t="s">
        <v>246</v>
      </c>
      <c r="D68" s="148">
        <v>20</v>
      </c>
      <c r="E68" s="429"/>
      <c r="F68" s="653">
        <v>20</v>
      </c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8">
        <f>SUM(E68:U68)</f>
        <v>20</v>
      </c>
      <c r="W68" s="114" t="s">
        <v>26</v>
      </c>
      <c r="X68" s="96">
        <v>28500</v>
      </c>
      <c r="Y68" s="651"/>
      <c r="Z68" s="657">
        <v>28000</v>
      </c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51">
        <f t="shared" si="112"/>
        <v>570000</v>
      </c>
      <c r="AQ68" s="570">
        <f t="shared" si="113"/>
        <v>0</v>
      </c>
      <c r="AR68" s="556">
        <f t="shared" si="113"/>
        <v>560000</v>
      </c>
      <c r="AS68" s="52">
        <f t="shared" si="113"/>
        <v>0</v>
      </c>
      <c r="AT68" s="52">
        <f t="shared" si="113"/>
        <v>0</v>
      </c>
      <c r="AU68" s="52">
        <f t="shared" si="113"/>
        <v>0</v>
      </c>
      <c r="AV68" s="52">
        <f t="shared" si="113"/>
        <v>0</v>
      </c>
      <c r="AW68" s="52">
        <f t="shared" si="113"/>
        <v>0</v>
      </c>
      <c r="AX68" s="52"/>
      <c r="AY68" s="52"/>
      <c r="AZ68" s="52"/>
      <c r="BA68" s="52"/>
      <c r="BB68" s="52"/>
      <c r="BC68" s="52"/>
      <c r="BD68" s="52">
        <f>AF68*L68</f>
        <v>0</v>
      </c>
      <c r="BE68" s="52">
        <f t="shared" si="114"/>
        <v>0</v>
      </c>
      <c r="BF68" s="52">
        <f t="shared" si="114"/>
        <v>0</v>
      </c>
      <c r="BG68" s="52">
        <f>AN68*U68</f>
        <v>0</v>
      </c>
      <c r="BH68" s="53">
        <f>SUM(AQ68:BG68)</f>
        <v>560000</v>
      </c>
      <c r="BI68" s="52">
        <f>SUM(AQ68*4%)</f>
        <v>0</v>
      </c>
      <c r="BJ68" s="52">
        <f>SUM(AR68*12%)</f>
        <v>67200</v>
      </c>
      <c r="BK68" s="52">
        <f t="shared" si="115"/>
        <v>0</v>
      </c>
      <c r="BL68" s="52">
        <f t="shared" si="115"/>
        <v>0</v>
      </c>
      <c r="BM68" s="52">
        <f t="shared" si="115"/>
        <v>0</v>
      </c>
      <c r="BN68" s="52">
        <f t="shared" si="115"/>
        <v>0</v>
      </c>
      <c r="BO68" s="52"/>
      <c r="BP68" s="52"/>
      <c r="BQ68" s="52"/>
      <c r="BR68" s="52"/>
      <c r="BS68" s="52"/>
      <c r="BT68" s="52"/>
      <c r="BU68" s="52"/>
      <c r="BV68" s="52">
        <f>SUM(AW68*14%)</f>
        <v>0</v>
      </c>
      <c r="BW68" s="52">
        <f t="shared" si="116"/>
        <v>0</v>
      </c>
      <c r="BX68" s="52">
        <f t="shared" si="116"/>
        <v>0</v>
      </c>
      <c r="BY68" s="52">
        <f t="shared" si="116"/>
        <v>0</v>
      </c>
      <c r="BZ68" s="54">
        <f>SUM(BI68:BY68)</f>
        <v>67200</v>
      </c>
      <c r="CA68" s="72">
        <f t="shared" si="117"/>
        <v>10000</v>
      </c>
      <c r="CB68" s="73">
        <f>X68*D68</f>
        <v>570000</v>
      </c>
      <c r="CC68" s="74">
        <f t="shared" si="118"/>
        <v>10000</v>
      </c>
      <c r="CD68" s="99">
        <f>SUM(V68/D68)</f>
        <v>1</v>
      </c>
      <c r="CE68" s="105">
        <v>1</v>
      </c>
      <c r="CF68" s="556"/>
      <c r="CG68" s="556"/>
      <c r="CH68" s="567"/>
      <c r="CI68" s="561"/>
      <c r="CJ68" s="323"/>
      <c r="CK68" s="323"/>
      <c r="CL68" s="556">
        <f t="shared" si="119"/>
        <v>0</v>
      </c>
      <c r="CM68" s="323">
        <f t="shared" si="119"/>
        <v>0</v>
      </c>
      <c r="CN68" s="323">
        <f t="shared" si="119"/>
        <v>0</v>
      </c>
      <c r="CO68" s="323">
        <f t="shared" si="119"/>
        <v>0</v>
      </c>
      <c r="CP68" s="323">
        <f t="shared" si="119"/>
        <v>0</v>
      </c>
      <c r="CQ68" s="323">
        <f t="shared" si="120"/>
        <v>0</v>
      </c>
      <c r="CR68" s="323">
        <f t="shared" si="120"/>
        <v>0</v>
      </c>
      <c r="CS68" s="323">
        <f t="shared" si="120"/>
        <v>0</v>
      </c>
      <c r="CT68" s="323">
        <f t="shared" si="120"/>
        <v>0</v>
      </c>
      <c r="CU68" s="323" t="e">
        <f>SUM(#REF!*12.5%)</f>
        <v>#REF!</v>
      </c>
      <c r="CV68" s="55" t="e">
        <f t="shared" ref="CV68" si="123">SUM(CJ68:CU68)</f>
        <v>#REF!</v>
      </c>
      <c r="CW68" s="323"/>
      <c r="CX68" s="323"/>
      <c r="CY68" s="323"/>
      <c r="CZ68" s="323"/>
      <c r="DA68" s="323"/>
      <c r="DB68" s="323"/>
      <c r="DC68" s="323"/>
      <c r="DD68" s="323"/>
      <c r="DE68" s="323"/>
      <c r="DF68" s="323"/>
      <c r="DG68" s="323"/>
      <c r="DH68" s="323"/>
      <c r="DI68" s="55">
        <f t="shared" ref="DI68:DI80" si="124">SUM(CW68:DH68)</f>
        <v>0</v>
      </c>
    </row>
    <row r="69" spans="1:113" s="70" customFormat="1" ht="31.5" customHeight="1" x14ac:dyDescent="0.2">
      <c r="A69" s="64">
        <v>3</v>
      </c>
      <c r="B69" s="120" t="s">
        <v>264</v>
      </c>
      <c r="C69" s="65" t="s">
        <v>246</v>
      </c>
      <c r="D69" s="148">
        <v>2</v>
      </c>
      <c r="E69" s="429"/>
      <c r="F69" s="653">
        <v>2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8">
        <f>SUM(E69:U69)</f>
        <v>2</v>
      </c>
      <c r="W69" s="114" t="s">
        <v>273</v>
      </c>
      <c r="X69" s="96">
        <v>200000</v>
      </c>
      <c r="Y69" s="651"/>
      <c r="Z69" s="657">
        <v>155000</v>
      </c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51">
        <f t="shared" si="112"/>
        <v>400000</v>
      </c>
      <c r="AQ69" s="570">
        <f t="shared" si="113"/>
        <v>0</v>
      </c>
      <c r="AR69" s="556">
        <f t="shared" si="113"/>
        <v>310000</v>
      </c>
      <c r="AS69" s="52">
        <f t="shared" si="113"/>
        <v>0</v>
      </c>
      <c r="AT69" s="52">
        <f t="shared" si="113"/>
        <v>0</v>
      </c>
      <c r="AU69" s="52">
        <f t="shared" si="113"/>
        <v>0</v>
      </c>
      <c r="AV69" s="52">
        <f t="shared" si="113"/>
        <v>0</v>
      </c>
      <c r="AW69" s="52">
        <f t="shared" si="113"/>
        <v>0</v>
      </c>
      <c r="AX69" s="52"/>
      <c r="AY69" s="52"/>
      <c r="AZ69" s="52"/>
      <c r="BA69" s="52"/>
      <c r="BB69" s="52"/>
      <c r="BC69" s="52"/>
      <c r="BD69" s="52">
        <f>AF69*L69</f>
        <v>0</v>
      </c>
      <c r="BE69" s="52">
        <f t="shared" si="114"/>
        <v>0</v>
      </c>
      <c r="BF69" s="52">
        <f t="shared" si="114"/>
        <v>0</v>
      </c>
      <c r="BG69" s="52">
        <f>AN69*U69</f>
        <v>0</v>
      </c>
      <c r="BH69" s="53">
        <f>SUM(AQ69:BG69)</f>
        <v>310000</v>
      </c>
      <c r="BI69" s="52">
        <v>0</v>
      </c>
      <c r="BJ69" s="52">
        <f>SUM(AR69*2%)</f>
        <v>6200</v>
      </c>
      <c r="BK69" s="52">
        <f t="shared" si="115"/>
        <v>0</v>
      </c>
      <c r="BL69" s="52">
        <f t="shared" si="115"/>
        <v>0</v>
      </c>
      <c r="BM69" s="52">
        <f t="shared" si="115"/>
        <v>0</v>
      </c>
      <c r="BN69" s="52">
        <f t="shared" si="115"/>
        <v>0</v>
      </c>
      <c r="BO69" s="52"/>
      <c r="BP69" s="52"/>
      <c r="BQ69" s="52"/>
      <c r="BR69" s="52"/>
      <c r="BS69" s="52"/>
      <c r="BT69" s="52"/>
      <c r="BU69" s="52"/>
      <c r="BV69" s="52">
        <f>SUM(AW69*14%)</f>
        <v>0</v>
      </c>
      <c r="BW69" s="52">
        <f t="shared" si="116"/>
        <v>0</v>
      </c>
      <c r="BX69" s="52">
        <f t="shared" si="116"/>
        <v>0</v>
      </c>
      <c r="BY69" s="52">
        <f t="shared" si="116"/>
        <v>0</v>
      </c>
      <c r="BZ69" s="54">
        <f>SUM(BI69:BY69)</f>
        <v>6200</v>
      </c>
      <c r="CA69" s="72">
        <f t="shared" si="117"/>
        <v>90000</v>
      </c>
      <c r="CB69" s="73">
        <f>X69*D69</f>
        <v>400000</v>
      </c>
      <c r="CC69" s="74">
        <f t="shared" si="118"/>
        <v>90000</v>
      </c>
      <c r="CD69" s="99">
        <f>SUM(V69/D69)</f>
        <v>1</v>
      </c>
      <c r="CE69" s="105">
        <v>1</v>
      </c>
      <c r="CF69" s="556"/>
      <c r="CG69" s="556"/>
      <c r="CH69" s="567"/>
      <c r="CI69" s="561"/>
      <c r="CJ69" s="323"/>
      <c r="CK69" s="323"/>
      <c r="CL69" s="556">
        <f t="shared" si="119"/>
        <v>0</v>
      </c>
      <c r="CM69" s="323">
        <f t="shared" si="119"/>
        <v>0</v>
      </c>
      <c r="CN69" s="323">
        <f t="shared" si="119"/>
        <v>0</v>
      </c>
      <c r="CO69" s="323">
        <f t="shared" si="119"/>
        <v>0</v>
      </c>
      <c r="CP69" s="323">
        <f t="shared" si="119"/>
        <v>0</v>
      </c>
      <c r="CQ69" s="323">
        <f t="shared" si="120"/>
        <v>0</v>
      </c>
      <c r="CR69" s="323">
        <f t="shared" si="120"/>
        <v>0</v>
      </c>
      <c r="CS69" s="323">
        <f t="shared" si="120"/>
        <v>0</v>
      </c>
      <c r="CT69" s="323">
        <f t="shared" si="120"/>
        <v>0</v>
      </c>
      <c r="CU69" s="323" t="e">
        <f>SUM(#REF!*12.5%)</f>
        <v>#REF!</v>
      </c>
      <c r="CV69" s="55" t="e">
        <f t="shared" ref="CV69:CV80" si="125">SUM(CJ69:CU69)</f>
        <v>#REF!</v>
      </c>
      <c r="CW69" s="323"/>
      <c r="CX69" s="323"/>
      <c r="CY69" s="323"/>
      <c r="CZ69" s="323"/>
      <c r="DA69" s="323"/>
      <c r="DB69" s="323"/>
      <c r="DC69" s="323"/>
      <c r="DD69" s="323"/>
      <c r="DE69" s="323"/>
      <c r="DF69" s="323"/>
      <c r="DG69" s="323"/>
      <c r="DH69" s="323"/>
      <c r="DI69" s="55">
        <f t="shared" si="124"/>
        <v>0</v>
      </c>
    </row>
    <row r="70" spans="1:113" s="70" customFormat="1" ht="32.25" customHeight="1" x14ac:dyDescent="0.2">
      <c r="A70" s="64">
        <v>4</v>
      </c>
      <c r="B70" s="120" t="s">
        <v>265</v>
      </c>
      <c r="C70" s="65" t="s">
        <v>246</v>
      </c>
      <c r="D70" s="148">
        <v>1</v>
      </c>
      <c r="E70" s="429"/>
      <c r="F70" s="653">
        <v>1</v>
      </c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8">
        <f>SUM(E70:U70)</f>
        <v>1</v>
      </c>
      <c r="W70" s="114" t="s">
        <v>15</v>
      </c>
      <c r="X70" s="96">
        <v>250000</v>
      </c>
      <c r="Y70" s="651"/>
      <c r="Z70" s="657">
        <v>250000</v>
      </c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51">
        <f t="shared" si="112"/>
        <v>250000</v>
      </c>
      <c r="AQ70" s="570">
        <f t="shared" si="113"/>
        <v>0</v>
      </c>
      <c r="AR70" s="556">
        <f t="shared" si="113"/>
        <v>250000</v>
      </c>
      <c r="AS70" s="52">
        <f t="shared" si="113"/>
        <v>0</v>
      </c>
      <c r="AT70" s="52">
        <f t="shared" si="113"/>
        <v>0</v>
      </c>
      <c r="AU70" s="52">
        <f t="shared" si="113"/>
        <v>0</v>
      </c>
      <c r="AV70" s="52">
        <f t="shared" si="113"/>
        <v>0</v>
      </c>
      <c r="AW70" s="52">
        <f t="shared" si="113"/>
        <v>0</v>
      </c>
      <c r="AX70" s="52"/>
      <c r="AY70" s="52"/>
      <c r="AZ70" s="52"/>
      <c r="BA70" s="52"/>
      <c r="BB70" s="52"/>
      <c r="BC70" s="52"/>
      <c r="BD70" s="52">
        <f>AF70*L70</f>
        <v>0</v>
      </c>
      <c r="BE70" s="52">
        <f t="shared" si="114"/>
        <v>0</v>
      </c>
      <c r="BF70" s="52">
        <f t="shared" si="114"/>
        <v>0</v>
      </c>
      <c r="BG70" s="52">
        <f>AN70*U70</f>
        <v>0</v>
      </c>
      <c r="BH70" s="53">
        <f>SUM(AQ70:BG70)</f>
        <v>250000</v>
      </c>
      <c r="BI70" s="52">
        <f>SUM(AQ70*4%)</f>
        <v>0</v>
      </c>
      <c r="BJ70" s="52">
        <f>SUM(AR70*14%)</f>
        <v>35000</v>
      </c>
      <c r="BK70" s="52">
        <f t="shared" si="115"/>
        <v>0</v>
      </c>
      <c r="BL70" s="52">
        <f t="shared" si="115"/>
        <v>0</v>
      </c>
      <c r="BM70" s="52">
        <f t="shared" si="115"/>
        <v>0</v>
      </c>
      <c r="BN70" s="52">
        <f t="shared" si="115"/>
        <v>0</v>
      </c>
      <c r="BO70" s="52"/>
      <c r="BP70" s="52"/>
      <c r="BQ70" s="52"/>
      <c r="BR70" s="52"/>
      <c r="BS70" s="52"/>
      <c r="BT70" s="52"/>
      <c r="BU70" s="52"/>
      <c r="BV70" s="52">
        <f>SUM(AW70*14%)</f>
        <v>0</v>
      </c>
      <c r="BW70" s="52">
        <f t="shared" si="116"/>
        <v>0</v>
      </c>
      <c r="BX70" s="52">
        <f t="shared" si="116"/>
        <v>0</v>
      </c>
      <c r="BY70" s="52">
        <f t="shared" si="116"/>
        <v>0</v>
      </c>
      <c r="BZ70" s="54">
        <f>SUM(BI70:BY70)</f>
        <v>35000</v>
      </c>
      <c r="CA70" s="72">
        <f t="shared" si="117"/>
        <v>0</v>
      </c>
      <c r="CB70" s="73">
        <f>X70*D70</f>
        <v>250000</v>
      </c>
      <c r="CC70" s="74">
        <f t="shared" si="118"/>
        <v>0</v>
      </c>
      <c r="CD70" s="99">
        <f>SUM(V70/D70)</f>
        <v>1</v>
      </c>
      <c r="CE70" s="105">
        <v>2</v>
      </c>
      <c r="CF70" s="556"/>
      <c r="CG70" s="556"/>
      <c r="CH70" s="567"/>
      <c r="CI70" s="561"/>
      <c r="CJ70" s="323"/>
      <c r="CK70" s="323"/>
      <c r="CL70" s="556">
        <f t="shared" si="119"/>
        <v>0</v>
      </c>
      <c r="CM70" s="323">
        <f t="shared" si="119"/>
        <v>0</v>
      </c>
      <c r="CN70" s="323">
        <f t="shared" si="119"/>
        <v>0</v>
      </c>
      <c r="CO70" s="323">
        <f t="shared" si="119"/>
        <v>0</v>
      </c>
      <c r="CP70" s="323">
        <f t="shared" si="119"/>
        <v>0</v>
      </c>
      <c r="CQ70" s="323">
        <f t="shared" si="120"/>
        <v>0</v>
      </c>
      <c r="CR70" s="323">
        <f t="shared" si="120"/>
        <v>0</v>
      </c>
      <c r="CS70" s="323">
        <f t="shared" si="120"/>
        <v>0</v>
      </c>
      <c r="CT70" s="323">
        <f t="shared" si="120"/>
        <v>0</v>
      </c>
      <c r="CU70" s="323" t="e">
        <f>SUM(#REF!*12.5%)</f>
        <v>#REF!</v>
      </c>
      <c r="CV70" s="55" t="e">
        <f t="shared" si="125"/>
        <v>#REF!</v>
      </c>
      <c r="CW70" s="323"/>
      <c r="CX70" s="323"/>
      <c r="CY70" s="323"/>
      <c r="CZ70" s="323"/>
      <c r="DA70" s="323"/>
      <c r="DB70" s="323"/>
      <c r="DC70" s="323"/>
      <c r="DD70" s="323"/>
      <c r="DE70" s="323"/>
      <c r="DF70" s="323"/>
      <c r="DG70" s="323"/>
      <c r="DH70" s="323"/>
      <c r="DI70" s="55">
        <f t="shared" si="124"/>
        <v>0</v>
      </c>
    </row>
    <row r="71" spans="1:113" s="70" customFormat="1" ht="24" customHeight="1" x14ac:dyDescent="0.2">
      <c r="A71" s="64">
        <v>5</v>
      </c>
      <c r="B71" s="118" t="s">
        <v>266</v>
      </c>
      <c r="C71" s="65" t="s">
        <v>246</v>
      </c>
      <c r="D71" s="148">
        <v>5</v>
      </c>
      <c r="E71" s="429"/>
      <c r="F71" s="653">
        <v>5</v>
      </c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8">
        <f>SUM(E71:U71)</f>
        <v>5</v>
      </c>
      <c r="W71" s="117" t="s">
        <v>6</v>
      </c>
      <c r="X71" s="223">
        <v>113500</v>
      </c>
      <c r="Y71" s="651"/>
      <c r="Z71" s="658">
        <v>110000</v>
      </c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51">
        <f t="shared" si="112"/>
        <v>567500</v>
      </c>
      <c r="AQ71" s="570">
        <f t="shared" si="113"/>
        <v>0</v>
      </c>
      <c r="AR71" s="556">
        <f t="shared" si="113"/>
        <v>550000</v>
      </c>
      <c r="AS71" s="52">
        <f t="shared" si="113"/>
        <v>0</v>
      </c>
      <c r="AT71" s="52">
        <f t="shared" si="113"/>
        <v>0</v>
      </c>
      <c r="AU71" s="52">
        <f t="shared" si="113"/>
        <v>0</v>
      </c>
      <c r="AV71" s="52">
        <f t="shared" si="113"/>
        <v>0</v>
      </c>
      <c r="AW71" s="52">
        <f t="shared" si="113"/>
        <v>0</v>
      </c>
      <c r="AX71" s="52"/>
      <c r="AY71" s="52"/>
      <c r="AZ71" s="52"/>
      <c r="BA71" s="52"/>
      <c r="BB71" s="52"/>
      <c r="BC71" s="52"/>
      <c r="BD71" s="52">
        <f>AF71*L71</f>
        <v>0</v>
      </c>
      <c r="BE71" s="52">
        <f t="shared" si="114"/>
        <v>0</v>
      </c>
      <c r="BF71" s="52">
        <f t="shared" si="114"/>
        <v>0</v>
      </c>
      <c r="BG71" s="52">
        <f>AN71*U71</f>
        <v>0</v>
      </c>
      <c r="BH71" s="53">
        <f>SUM(AQ71:BG71)</f>
        <v>550000</v>
      </c>
      <c r="BI71" s="52"/>
      <c r="BJ71" s="52">
        <f>SUM(AR71*12.5%)</f>
        <v>68750</v>
      </c>
      <c r="BK71" s="52">
        <f t="shared" si="115"/>
        <v>0</v>
      </c>
      <c r="BL71" s="52">
        <f t="shared" si="115"/>
        <v>0</v>
      </c>
      <c r="BM71" s="52">
        <f t="shared" si="115"/>
        <v>0</v>
      </c>
      <c r="BN71" s="52">
        <f t="shared" si="115"/>
        <v>0</v>
      </c>
      <c r="BO71" s="52"/>
      <c r="BP71" s="52"/>
      <c r="BQ71" s="52"/>
      <c r="BR71" s="52"/>
      <c r="BS71" s="52"/>
      <c r="BT71" s="52"/>
      <c r="BU71" s="52"/>
      <c r="BV71" s="52">
        <f>SUM(AW71*14%)</f>
        <v>0</v>
      </c>
      <c r="BW71" s="52">
        <f t="shared" si="116"/>
        <v>0</v>
      </c>
      <c r="BX71" s="52">
        <f t="shared" si="116"/>
        <v>0</v>
      </c>
      <c r="BY71" s="52">
        <f t="shared" si="116"/>
        <v>0</v>
      </c>
      <c r="BZ71" s="54">
        <f>SUM(BI71:BY71)</f>
        <v>68750</v>
      </c>
      <c r="CA71" s="72">
        <f t="shared" si="117"/>
        <v>17500</v>
      </c>
      <c r="CB71" s="73">
        <f>X71*D71</f>
        <v>567500</v>
      </c>
      <c r="CC71" s="74">
        <f t="shared" si="118"/>
        <v>17500</v>
      </c>
      <c r="CD71" s="99">
        <f>SUM(V71/D71)</f>
        <v>1</v>
      </c>
      <c r="CE71" s="105">
        <v>3</v>
      </c>
      <c r="CF71" s="556"/>
      <c r="CG71" s="556"/>
      <c r="CH71" s="567"/>
      <c r="CI71" s="561"/>
      <c r="CJ71" s="323"/>
      <c r="CK71" s="323"/>
      <c r="CL71" s="556">
        <f t="shared" si="119"/>
        <v>0</v>
      </c>
      <c r="CM71" s="323">
        <f t="shared" si="119"/>
        <v>0</v>
      </c>
      <c r="CN71" s="323">
        <f t="shared" si="119"/>
        <v>0</v>
      </c>
      <c r="CO71" s="323">
        <f t="shared" si="119"/>
        <v>0</v>
      </c>
      <c r="CP71" s="323">
        <f t="shared" si="119"/>
        <v>0</v>
      </c>
      <c r="CQ71" s="323">
        <f t="shared" si="120"/>
        <v>0</v>
      </c>
      <c r="CR71" s="323">
        <f t="shared" si="120"/>
        <v>0</v>
      </c>
      <c r="CS71" s="323">
        <f t="shared" si="120"/>
        <v>0</v>
      </c>
      <c r="CT71" s="323">
        <f t="shared" si="120"/>
        <v>0</v>
      </c>
      <c r="CU71" s="323" t="e">
        <f>SUM(#REF!*12.5%)</f>
        <v>#REF!</v>
      </c>
      <c r="CV71" s="55" t="e">
        <f t="shared" si="125"/>
        <v>#REF!</v>
      </c>
      <c r="CW71" s="323"/>
      <c r="CX71" s="323"/>
      <c r="CY71" s="323"/>
      <c r="CZ71" s="323"/>
      <c r="DA71" s="323"/>
      <c r="DB71" s="323"/>
      <c r="DC71" s="323"/>
      <c r="DD71" s="323"/>
      <c r="DE71" s="323"/>
      <c r="DF71" s="323"/>
      <c r="DG71" s="323"/>
      <c r="DH71" s="323"/>
      <c r="DI71" s="55">
        <f t="shared" si="124"/>
        <v>0</v>
      </c>
    </row>
    <row r="72" spans="1:113" s="70" customFormat="1" ht="31.5" customHeight="1" x14ac:dyDescent="0.2">
      <c r="A72" s="64"/>
      <c r="B72" s="640" t="s">
        <v>267</v>
      </c>
      <c r="C72" s="65"/>
      <c r="D72" s="148"/>
      <c r="E72" s="429"/>
      <c r="F72" s="653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8"/>
      <c r="W72" s="114"/>
      <c r="X72" s="96"/>
      <c r="Y72" s="651"/>
      <c r="Z72" s="63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51">
        <f t="shared" si="112"/>
        <v>0</v>
      </c>
      <c r="AQ72" s="570"/>
      <c r="AR72" s="556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3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4"/>
      <c r="CA72" s="72">
        <f t="shared" si="117"/>
        <v>0</v>
      </c>
      <c r="CB72" s="73"/>
      <c r="CC72" s="74">
        <f t="shared" si="118"/>
        <v>0</v>
      </c>
      <c r="CD72" s="99"/>
      <c r="CE72" s="105"/>
      <c r="CF72" s="556"/>
      <c r="CG72" s="556"/>
      <c r="CH72" s="567"/>
      <c r="CI72" s="561"/>
      <c r="CJ72" s="323"/>
      <c r="CK72" s="323"/>
      <c r="CL72" s="556"/>
      <c r="CM72" s="323"/>
      <c r="CN72" s="323"/>
      <c r="CO72" s="323"/>
      <c r="CP72" s="323"/>
      <c r="CQ72" s="323"/>
      <c r="CR72" s="323"/>
      <c r="CS72" s="323"/>
      <c r="CT72" s="323"/>
      <c r="CU72" s="323"/>
      <c r="CV72" s="55"/>
      <c r="CW72" s="323"/>
      <c r="CX72" s="323"/>
      <c r="CY72" s="323"/>
      <c r="CZ72" s="323"/>
      <c r="DA72" s="323"/>
      <c r="DB72" s="323"/>
      <c r="DC72" s="323"/>
      <c r="DD72" s="323"/>
      <c r="DE72" s="323"/>
      <c r="DF72" s="323"/>
      <c r="DG72" s="323"/>
      <c r="DH72" s="323"/>
      <c r="DI72" s="55"/>
    </row>
    <row r="73" spans="1:113" s="70" customFormat="1" ht="24.75" customHeight="1" x14ac:dyDescent="0.2">
      <c r="A73" s="64">
        <v>1</v>
      </c>
      <c r="B73" s="121" t="s">
        <v>272</v>
      </c>
      <c r="C73" s="65" t="s">
        <v>246</v>
      </c>
      <c r="D73" s="148">
        <v>12</v>
      </c>
      <c r="E73" s="429">
        <v>2</v>
      </c>
      <c r="F73" s="653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8">
        <f t="shared" ref="V73:V79" si="126">SUM(E73:U73)</f>
        <v>2</v>
      </c>
      <c r="W73" s="119" t="s">
        <v>26</v>
      </c>
      <c r="X73" s="96">
        <v>28500</v>
      </c>
      <c r="Y73" s="652">
        <v>28000</v>
      </c>
      <c r="Z73" s="63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51">
        <f t="shared" si="112"/>
        <v>342000</v>
      </c>
      <c r="AQ73" s="570">
        <f t="shared" ref="AQ73:AW79" si="127">Y73*E73</f>
        <v>56000</v>
      </c>
      <c r="AR73" s="556">
        <f t="shared" si="127"/>
        <v>0</v>
      </c>
      <c r="AS73" s="52">
        <f t="shared" si="127"/>
        <v>0</v>
      </c>
      <c r="AT73" s="52">
        <f t="shared" si="127"/>
        <v>0</v>
      </c>
      <c r="AU73" s="52">
        <f t="shared" si="127"/>
        <v>0</v>
      </c>
      <c r="AV73" s="52">
        <f t="shared" si="127"/>
        <v>0</v>
      </c>
      <c r="AW73" s="52">
        <f t="shared" si="127"/>
        <v>0</v>
      </c>
      <c r="AX73" s="52"/>
      <c r="AY73" s="52"/>
      <c r="AZ73" s="52"/>
      <c r="BA73" s="52"/>
      <c r="BB73" s="52"/>
      <c r="BC73" s="52"/>
      <c r="BD73" s="52">
        <f t="shared" ref="BD73:BD79" si="128">AF73*L73</f>
        <v>0</v>
      </c>
      <c r="BE73" s="52">
        <f t="shared" ref="BE73:BF79" si="129">AL73*M73</f>
        <v>0</v>
      </c>
      <c r="BF73" s="52">
        <f t="shared" si="129"/>
        <v>0</v>
      </c>
      <c r="BG73" s="52">
        <f t="shared" ref="BG73:BG79" si="130">AN73*U73</f>
        <v>0</v>
      </c>
      <c r="BH73" s="53">
        <f t="shared" ref="BH73:BH79" si="131">SUM(AQ73:BG73)</f>
        <v>56000</v>
      </c>
      <c r="BI73" s="52">
        <f>SUM(AQ73*12%)</f>
        <v>6720</v>
      </c>
      <c r="BJ73" s="52">
        <f t="shared" ref="BJ73:BN79" si="132">SUM(AR73*14%)</f>
        <v>0</v>
      </c>
      <c r="BK73" s="52">
        <f t="shared" si="132"/>
        <v>0</v>
      </c>
      <c r="BL73" s="52">
        <f t="shared" si="132"/>
        <v>0</v>
      </c>
      <c r="BM73" s="52">
        <f t="shared" si="132"/>
        <v>0</v>
      </c>
      <c r="BN73" s="52">
        <f t="shared" si="132"/>
        <v>0</v>
      </c>
      <c r="BO73" s="52"/>
      <c r="BP73" s="52"/>
      <c r="BQ73" s="52"/>
      <c r="BR73" s="52"/>
      <c r="BS73" s="52"/>
      <c r="BT73" s="52"/>
      <c r="BU73" s="52"/>
      <c r="BV73" s="52">
        <f t="shared" ref="BV73:BV79" si="133">SUM(AW73*14%)</f>
        <v>0</v>
      </c>
      <c r="BW73" s="52">
        <f t="shared" ref="BW73:BY79" si="134">SUM(BD73*14%)</f>
        <v>0</v>
      </c>
      <c r="BX73" s="52">
        <f t="shared" si="134"/>
        <v>0</v>
      </c>
      <c r="BY73" s="52">
        <f t="shared" si="134"/>
        <v>0</v>
      </c>
      <c r="BZ73" s="54">
        <f t="shared" ref="BZ73:BZ79" si="135">SUM(BI73:BY73)</f>
        <v>6720</v>
      </c>
      <c r="CA73" s="72">
        <f t="shared" si="117"/>
        <v>286000</v>
      </c>
      <c r="CB73" s="73">
        <f t="shared" ref="CB73:CB79" si="136">X73*D73</f>
        <v>342000</v>
      </c>
      <c r="CC73" s="74">
        <f t="shared" si="118"/>
        <v>286000</v>
      </c>
      <c r="CD73" s="99">
        <f t="shared" ref="CD73:CD79" si="137">SUM(V73/D73)</f>
        <v>0.16666666666666666</v>
      </c>
      <c r="CE73" s="105">
        <v>5</v>
      </c>
      <c r="CF73" s="556"/>
      <c r="CG73" s="556"/>
      <c r="CH73" s="567"/>
      <c r="CI73" s="561"/>
      <c r="CJ73" s="323"/>
      <c r="CK73" s="323"/>
      <c r="CL73" s="556">
        <f t="shared" ref="CL73:CP80" si="138">SUM(AS73*12.5%)</f>
        <v>0</v>
      </c>
      <c r="CM73" s="323">
        <f t="shared" si="138"/>
        <v>0</v>
      </c>
      <c r="CN73" s="323">
        <f t="shared" si="138"/>
        <v>0</v>
      </c>
      <c r="CO73" s="323">
        <f t="shared" si="138"/>
        <v>0</v>
      </c>
      <c r="CP73" s="323">
        <f t="shared" si="138"/>
        <v>0</v>
      </c>
      <c r="CQ73" s="323">
        <f t="shared" ref="CQ73:CT80" si="139">SUM(BD73*12.5%)</f>
        <v>0</v>
      </c>
      <c r="CR73" s="323">
        <f t="shared" si="139"/>
        <v>0</v>
      </c>
      <c r="CS73" s="323">
        <f t="shared" si="139"/>
        <v>0</v>
      </c>
      <c r="CT73" s="323">
        <f t="shared" si="139"/>
        <v>0</v>
      </c>
      <c r="CU73" s="323" t="e">
        <f>SUM(#REF!*12.5%)</f>
        <v>#REF!</v>
      </c>
      <c r="CV73" s="55" t="e">
        <f t="shared" ref="CV73:CV75" si="140">SUM(CJ73:CU73)</f>
        <v>#REF!</v>
      </c>
      <c r="CW73" s="323"/>
      <c r="CX73" s="323"/>
      <c r="CY73" s="323"/>
      <c r="CZ73" s="323"/>
      <c r="DA73" s="323"/>
      <c r="DB73" s="323"/>
      <c r="DC73" s="323"/>
      <c r="DD73" s="323"/>
      <c r="DE73" s="323"/>
      <c r="DF73" s="323"/>
      <c r="DG73" s="323"/>
      <c r="DH73" s="323"/>
      <c r="DI73" s="55">
        <f t="shared" ref="DI73:DI75" si="141">SUM(CW73:DH73)</f>
        <v>0</v>
      </c>
    </row>
    <row r="74" spans="1:113" s="70" customFormat="1" ht="24.75" customHeight="1" x14ac:dyDescent="0.2">
      <c r="A74" s="64">
        <v>2</v>
      </c>
      <c r="B74" s="121" t="s">
        <v>138</v>
      </c>
      <c r="C74" s="65" t="s">
        <v>246</v>
      </c>
      <c r="D74" s="148">
        <v>1</v>
      </c>
      <c r="E74" s="429">
        <v>1</v>
      </c>
      <c r="F74" s="653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8">
        <f t="shared" si="126"/>
        <v>1</v>
      </c>
      <c r="W74" s="119" t="s">
        <v>0</v>
      </c>
      <c r="X74" s="96">
        <v>32100</v>
      </c>
      <c r="Y74" s="652">
        <v>30000</v>
      </c>
      <c r="Z74" s="63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51">
        <f t="shared" si="112"/>
        <v>32100</v>
      </c>
      <c r="AQ74" s="570">
        <f t="shared" si="127"/>
        <v>30000</v>
      </c>
      <c r="AR74" s="556">
        <f t="shared" si="127"/>
        <v>0</v>
      </c>
      <c r="AS74" s="52">
        <f t="shared" si="127"/>
        <v>0</v>
      </c>
      <c r="AT74" s="52">
        <f t="shared" si="127"/>
        <v>0</v>
      </c>
      <c r="AU74" s="52">
        <f t="shared" si="127"/>
        <v>0</v>
      </c>
      <c r="AV74" s="52">
        <f t="shared" si="127"/>
        <v>0</v>
      </c>
      <c r="AW74" s="52">
        <f t="shared" si="127"/>
        <v>0</v>
      </c>
      <c r="AX74" s="52"/>
      <c r="AY74" s="52"/>
      <c r="AZ74" s="52"/>
      <c r="BA74" s="52"/>
      <c r="BB74" s="52"/>
      <c r="BC74" s="52"/>
      <c r="BD74" s="52">
        <f t="shared" si="128"/>
        <v>0</v>
      </c>
      <c r="BE74" s="52">
        <f t="shared" si="129"/>
        <v>0</v>
      </c>
      <c r="BF74" s="52">
        <f t="shared" si="129"/>
        <v>0</v>
      </c>
      <c r="BG74" s="52">
        <f t="shared" si="130"/>
        <v>0</v>
      </c>
      <c r="BH74" s="53">
        <f t="shared" si="131"/>
        <v>30000</v>
      </c>
      <c r="BI74" s="52"/>
      <c r="BJ74" s="52">
        <f t="shared" si="132"/>
        <v>0</v>
      </c>
      <c r="BK74" s="52">
        <f t="shared" si="132"/>
        <v>0</v>
      </c>
      <c r="BL74" s="52">
        <f t="shared" si="132"/>
        <v>0</v>
      </c>
      <c r="BM74" s="52">
        <f t="shared" si="132"/>
        <v>0</v>
      </c>
      <c r="BN74" s="52">
        <f t="shared" si="132"/>
        <v>0</v>
      </c>
      <c r="BO74" s="52"/>
      <c r="BP74" s="52"/>
      <c r="BQ74" s="52"/>
      <c r="BR74" s="52"/>
      <c r="BS74" s="52"/>
      <c r="BT74" s="52"/>
      <c r="BU74" s="52"/>
      <c r="BV74" s="52">
        <f t="shared" si="133"/>
        <v>0</v>
      </c>
      <c r="BW74" s="52">
        <f t="shared" si="134"/>
        <v>0</v>
      </c>
      <c r="BX74" s="52">
        <f t="shared" si="134"/>
        <v>0</v>
      </c>
      <c r="BY74" s="52">
        <f t="shared" si="134"/>
        <v>0</v>
      </c>
      <c r="BZ74" s="54">
        <f t="shared" si="135"/>
        <v>0</v>
      </c>
      <c r="CA74" s="72">
        <f t="shared" si="117"/>
        <v>2100</v>
      </c>
      <c r="CB74" s="73">
        <f t="shared" si="136"/>
        <v>32100</v>
      </c>
      <c r="CC74" s="74">
        <f t="shared" si="118"/>
        <v>2100</v>
      </c>
      <c r="CD74" s="99">
        <f t="shared" si="137"/>
        <v>1</v>
      </c>
      <c r="CE74" s="105">
        <v>5</v>
      </c>
      <c r="CF74" s="556"/>
      <c r="CG74" s="556"/>
      <c r="CH74" s="567"/>
      <c r="CI74" s="561"/>
      <c r="CJ74" s="323"/>
      <c r="CK74" s="323"/>
      <c r="CL74" s="556">
        <f t="shared" si="138"/>
        <v>0</v>
      </c>
      <c r="CM74" s="323">
        <f t="shared" si="138"/>
        <v>0</v>
      </c>
      <c r="CN74" s="323">
        <f t="shared" si="138"/>
        <v>0</v>
      </c>
      <c r="CO74" s="323">
        <f t="shared" si="138"/>
        <v>0</v>
      </c>
      <c r="CP74" s="323">
        <f t="shared" si="138"/>
        <v>0</v>
      </c>
      <c r="CQ74" s="323">
        <f t="shared" si="139"/>
        <v>0</v>
      </c>
      <c r="CR74" s="323">
        <f t="shared" si="139"/>
        <v>0</v>
      </c>
      <c r="CS74" s="323">
        <f t="shared" si="139"/>
        <v>0</v>
      </c>
      <c r="CT74" s="323">
        <f t="shared" si="139"/>
        <v>0</v>
      </c>
      <c r="CU74" s="323" t="e">
        <f>SUM(#REF!*12.5%)</f>
        <v>#REF!</v>
      </c>
      <c r="CV74" s="55" t="e">
        <f t="shared" si="140"/>
        <v>#REF!</v>
      </c>
      <c r="CW74" s="323"/>
      <c r="CX74" s="323"/>
      <c r="CY74" s="323"/>
      <c r="CZ74" s="323"/>
      <c r="DA74" s="323"/>
      <c r="DB74" s="323"/>
      <c r="DC74" s="323"/>
      <c r="DD74" s="323"/>
      <c r="DE74" s="323"/>
      <c r="DF74" s="323"/>
      <c r="DG74" s="323"/>
      <c r="DH74" s="323"/>
      <c r="DI74" s="55">
        <f t="shared" si="141"/>
        <v>0</v>
      </c>
    </row>
    <row r="75" spans="1:113" s="70" customFormat="1" ht="24.75" customHeight="1" x14ac:dyDescent="0.2">
      <c r="A75" s="64">
        <v>3</v>
      </c>
      <c r="B75" s="121" t="s">
        <v>264</v>
      </c>
      <c r="C75" s="65" t="s">
        <v>246</v>
      </c>
      <c r="D75" s="148">
        <v>1</v>
      </c>
      <c r="E75" s="429">
        <v>1</v>
      </c>
      <c r="F75" s="653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8">
        <f t="shared" si="126"/>
        <v>1</v>
      </c>
      <c r="W75" s="119" t="s">
        <v>274</v>
      </c>
      <c r="X75" s="96">
        <v>200000</v>
      </c>
      <c r="Y75" s="652">
        <v>155000</v>
      </c>
      <c r="Z75" s="63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51">
        <f t="shared" si="112"/>
        <v>200000</v>
      </c>
      <c r="AQ75" s="570">
        <f t="shared" si="127"/>
        <v>155000</v>
      </c>
      <c r="AR75" s="556">
        <f t="shared" si="127"/>
        <v>0</v>
      </c>
      <c r="AS75" s="52">
        <f t="shared" si="127"/>
        <v>0</v>
      </c>
      <c r="AT75" s="52">
        <f t="shared" si="127"/>
        <v>0</v>
      </c>
      <c r="AU75" s="52">
        <f t="shared" si="127"/>
        <v>0</v>
      </c>
      <c r="AV75" s="52">
        <f t="shared" si="127"/>
        <v>0</v>
      </c>
      <c r="AW75" s="52">
        <f t="shared" si="127"/>
        <v>0</v>
      </c>
      <c r="AX75" s="52"/>
      <c r="AY75" s="52"/>
      <c r="AZ75" s="52"/>
      <c r="BA75" s="52"/>
      <c r="BB75" s="52"/>
      <c r="BC75" s="52"/>
      <c r="BD75" s="52">
        <f t="shared" si="128"/>
        <v>0</v>
      </c>
      <c r="BE75" s="52">
        <f t="shared" si="129"/>
        <v>0</v>
      </c>
      <c r="BF75" s="52">
        <f t="shared" si="129"/>
        <v>0</v>
      </c>
      <c r="BG75" s="52">
        <f t="shared" si="130"/>
        <v>0</v>
      </c>
      <c r="BH75" s="53">
        <f t="shared" si="131"/>
        <v>155000</v>
      </c>
      <c r="BI75" s="52">
        <f>SUM(AQ75*2%)</f>
        <v>3100</v>
      </c>
      <c r="BJ75" s="52">
        <f t="shared" si="132"/>
        <v>0</v>
      </c>
      <c r="BK75" s="52">
        <f t="shared" si="132"/>
        <v>0</v>
      </c>
      <c r="BL75" s="52">
        <f t="shared" si="132"/>
        <v>0</v>
      </c>
      <c r="BM75" s="52">
        <f t="shared" si="132"/>
        <v>0</v>
      </c>
      <c r="BN75" s="52">
        <f t="shared" si="132"/>
        <v>0</v>
      </c>
      <c r="BO75" s="52"/>
      <c r="BP75" s="52"/>
      <c r="BQ75" s="52"/>
      <c r="BR75" s="52"/>
      <c r="BS75" s="52"/>
      <c r="BT75" s="52"/>
      <c r="BU75" s="52"/>
      <c r="BV75" s="52">
        <f t="shared" si="133"/>
        <v>0</v>
      </c>
      <c r="BW75" s="52">
        <f t="shared" si="134"/>
        <v>0</v>
      </c>
      <c r="BX75" s="52">
        <f t="shared" si="134"/>
        <v>0</v>
      </c>
      <c r="BY75" s="52">
        <f t="shared" si="134"/>
        <v>0</v>
      </c>
      <c r="BZ75" s="54">
        <f t="shared" si="135"/>
        <v>3100</v>
      </c>
      <c r="CA75" s="72">
        <f t="shared" si="117"/>
        <v>45000</v>
      </c>
      <c r="CB75" s="73">
        <f t="shared" si="136"/>
        <v>200000</v>
      </c>
      <c r="CC75" s="74">
        <f t="shared" si="118"/>
        <v>45000</v>
      </c>
      <c r="CD75" s="99">
        <f t="shared" si="137"/>
        <v>1</v>
      </c>
      <c r="CE75" s="105">
        <v>5</v>
      </c>
      <c r="CF75" s="556"/>
      <c r="CG75" s="556"/>
      <c r="CH75" s="567"/>
      <c r="CI75" s="561"/>
      <c r="CJ75" s="323"/>
      <c r="CK75" s="323"/>
      <c r="CL75" s="556">
        <f t="shared" si="138"/>
        <v>0</v>
      </c>
      <c r="CM75" s="323">
        <f t="shared" si="138"/>
        <v>0</v>
      </c>
      <c r="CN75" s="323">
        <f t="shared" si="138"/>
        <v>0</v>
      </c>
      <c r="CO75" s="323">
        <f t="shared" si="138"/>
        <v>0</v>
      </c>
      <c r="CP75" s="323">
        <f t="shared" si="138"/>
        <v>0</v>
      </c>
      <c r="CQ75" s="323">
        <f t="shared" si="139"/>
        <v>0</v>
      </c>
      <c r="CR75" s="323">
        <f t="shared" si="139"/>
        <v>0</v>
      </c>
      <c r="CS75" s="323">
        <f t="shared" si="139"/>
        <v>0</v>
      </c>
      <c r="CT75" s="323">
        <f t="shared" si="139"/>
        <v>0</v>
      </c>
      <c r="CU75" s="323" t="e">
        <f>SUM(#REF!*12.5%)</f>
        <v>#REF!</v>
      </c>
      <c r="CV75" s="55" t="e">
        <f t="shared" si="140"/>
        <v>#REF!</v>
      </c>
      <c r="CW75" s="323"/>
      <c r="CX75" s="323"/>
      <c r="CY75" s="323"/>
      <c r="CZ75" s="323"/>
      <c r="DA75" s="323"/>
      <c r="DB75" s="323"/>
      <c r="DC75" s="323"/>
      <c r="DD75" s="323"/>
      <c r="DE75" s="323"/>
      <c r="DF75" s="323"/>
      <c r="DG75" s="323"/>
      <c r="DH75" s="323"/>
      <c r="DI75" s="55">
        <f t="shared" si="141"/>
        <v>0</v>
      </c>
    </row>
    <row r="76" spans="1:113" s="70" customFormat="1" ht="24.75" customHeight="1" x14ac:dyDescent="0.2">
      <c r="A76" s="64">
        <v>4</v>
      </c>
      <c r="B76" s="121" t="s">
        <v>268</v>
      </c>
      <c r="C76" s="65" t="s">
        <v>246</v>
      </c>
      <c r="D76" s="148">
        <v>1</v>
      </c>
      <c r="E76" s="429">
        <v>1</v>
      </c>
      <c r="F76" s="653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8">
        <f t="shared" si="126"/>
        <v>1</v>
      </c>
      <c r="W76" s="119" t="s">
        <v>134</v>
      </c>
      <c r="X76" s="96">
        <v>220000</v>
      </c>
      <c r="Y76" s="652">
        <v>220000</v>
      </c>
      <c r="Z76" s="63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51">
        <f t="shared" si="112"/>
        <v>220000</v>
      </c>
      <c r="AQ76" s="570">
        <f t="shared" si="127"/>
        <v>220000</v>
      </c>
      <c r="AR76" s="556">
        <f t="shared" si="127"/>
        <v>0</v>
      </c>
      <c r="AS76" s="52">
        <f t="shared" si="127"/>
        <v>0</v>
      </c>
      <c r="AT76" s="52">
        <f t="shared" si="127"/>
        <v>0</v>
      </c>
      <c r="AU76" s="52">
        <f t="shared" si="127"/>
        <v>0</v>
      </c>
      <c r="AV76" s="52">
        <f t="shared" si="127"/>
        <v>0</v>
      </c>
      <c r="AW76" s="52">
        <f t="shared" si="127"/>
        <v>0</v>
      </c>
      <c r="AX76" s="52"/>
      <c r="AY76" s="52"/>
      <c r="AZ76" s="52"/>
      <c r="BA76" s="52"/>
      <c r="BB76" s="52"/>
      <c r="BC76" s="52"/>
      <c r="BD76" s="52">
        <f t="shared" si="128"/>
        <v>0</v>
      </c>
      <c r="BE76" s="52">
        <f t="shared" si="129"/>
        <v>0</v>
      </c>
      <c r="BF76" s="52">
        <f t="shared" si="129"/>
        <v>0</v>
      </c>
      <c r="BG76" s="52">
        <f t="shared" si="130"/>
        <v>0</v>
      </c>
      <c r="BH76" s="53">
        <f t="shared" si="131"/>
        <v>220000</v>
      </c>
      <c r="BI76" s="52"/>
      <c r="BJ76" s="52">
        <f t="shared" si="132"/>
        <v>0</v>
      </c>
      <c r="BK76" s="52">
        <f t="shared" si="132"/>
        <v>0</v>
      </c>
      <c r="BL76" s="52">
        <f t="shared" si="132"/>
        <v>0</v>
      </c>
      <c r="BM76" s="52">
        <f t="shared" si="132"/>
        <v>0</v>
      </c>
      <c r="BN76" s="52">
        <f t="shared" si="132"/>
        <v>0</v>
      </c>
      <c r="BO76" s="52"/>
      <c r="BP76" s="52"/>
      <c r="BQ76" s="52"/>
      <c r="BR76" s="52"/>
      <c r="BS76" s="52"/>
      <c r="BT76" s="52"/>
      <c r="BU76" s="52"/>
      <c r="BV76" s="52">
        <f t="shared" si="133"/>
        <v>0</v>
      </c>
      <c r="BW76" s="52">
        <f t="shared" si="134"/>
        <v>0</v>
      </c>
      <c r="BX76" s="52">
        <f t="shared" si="134"/>
        <v>0</v>
      </c>
      <c r="BY76" s="52">
        <f t="shared" si="134"/>
        <v>0</v>
      </c>
      <c r="BZ76" s="54">
        <f t="shared" si="135"/>
        <v>0</v>
      </c>
      <c r="CA76" s="72">
        <f t="shared" si="117"/>
        <v>0</v>
      </c>
      <c r="CB76" s="73">
        <f t="shared" si="136"/>
        <v>220000</v>
      </c>
      <c r="CC76" s="74">
        <f t="shared" si="118"/>
        <v>0</v>
      </c>
      <c r="CD76" s="99">
        <f t="shared" si="137"/>
        <v>1</v>
      </c>
      <c r="CE76" s="105">
        <v>5</v>
      </c>
      <c r="CF76" s="556"/>
      <c r="CG76" s="556"/>
      <c r="CH76" s="567"/>
      <c r="CI76" s="561"/>
      <c r="CJ76" s="323"/>
      <c r="CK76" s="323"/>
      <c r="CL76" s="556">
        <f t="shared" si="138"/>
        <v>0</v>
      </c>
      <c r="CM76" s="323">
        <f t="shared" si="138"/>
        <v>0</v>
      </c>
      <c r="CN76" s="323">
        <f t="shared" si="138"/>
        <v>0</v>
      </c>
      <c r="CO76" s="323">
        <f t="shared" si="138"/>
        <v>0</v>
      </c>
      <c r="CP76" s="323">
        <f t="shared" si="138"/>
        <v>0</v>
      </c>
      <c r="CQ76" s="323">
        <f t="shared" si="139"/>
        <v>0</v>
      </c>
      <c r="CR76" s="323">
        <f t="shared" si="139"/>
        <v>0</v>
      </c>
      <c r="CS76" s="323">
        <f t="shared" si="139"/>
        <v>0</v>
      </c>
      <c r="CT76" s="323">
        <f t="shared" si="139"/>
        <v>0</v>
      </c>
      <c r="CU76" s="323" t="e">
        <f>SUM(#REF!*12.5%)</f>
        <v>#REF!</v>
      </c>
      <c r="CV76" s="55" t="e">
        <f t="shared" ref="CV76" si="142">SUM(CJ76:CU76)</f>
        <v>#REF!</v>
      </c>
      <c r="CW76" s="323"/>
      <c r="CX76" s="323"/>
      <c r="CY76" s="323"/>
      <c r="CZ76" s="323"/>
      <c r="DA76" s="323"/>
      <c r="DB76" s="323"/>
      <c r="DC76" s="323"/>
      <c r="DD76" s="323"/>
      <c r="DE76" s="323"/>
      <c r="DF76" s="323"/>
      <c r="DG76" s="323"/>
      <c r="DH76" s="323"/>
      <c r="DI76" s="55">
        <f t="shared" ref="DI76" si="143">SUM(CW76:DH76)</f>
        <v>0</v>
      </c>
    </row>
    <row r="77" spans="1:113" s="70" customFormat="1" ht="24.75" customHeight="1" x14ac:dyDescent="0.2">
      <c r="A77" s="64">
        <v>5</v>
      </c>
      <c r="B77" s="121" t="s">
        <v>269</v>
      </c>
      <c r="C77" s="65" t="s">
        <v>246</v>
      </c>
      <c r="D77" s="148">
        <v>1</v>
      </c>
      <c r="E77" s="429">
        <v>0</v>
      </c>
      <c r="F77" s="653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8">
        <f t="shared" si="126"/>
        <v>0</v>
      </c>
      <c r="W77" s="119" t="s">
        <v>15</v>
      </c>
      <c r="X77" s="96">
        <v>400000</v>
      </c>
      <c r="Y77" s="652"/>
      <c r="Z77" s="63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51">
        <f t="shared" si="112"/>
        <v>400000</v>
      </c>
      <c r="AQ77" s="570">
        <f t="shared" si="127"/>
        <v>0</v>
      </c>
      <c r="AR77" s="556">
        <f t="shared" si="127"/>
        <v>0</v>
      </c>
      <c r="AS77" s="52">
        <f t="shared" si="127"/>
        <v>0</v>
      </c>
      <c r="AT77" s="52">
        <f t="shared" si="127"/>
        <v>0</v>
      </c>
      <c r="AU77" s="52">
        <f t="shared" si="127"/>
        <v>0</v>
      </c>
      <c r="AV77" s="52">
        <f t="shared" si="127"/>
        <v>0</v>
      </c>
      <c r="AW77" s="52">
        <f t="shared" si="127"/>
        <v>0</v>
      </c>
      <c r="AX77" s="52"/>
      <c r="AY77" s="52"/>
      <c r="AZ77" s="52"/>
      <c r="BA77" s="52"/>
      <c r="BB77" s="52"/>
      <c r="BC77" s="52"/>
      <c r="BD77" s="52">
        <f t="shared" si="128"/>
        <v>0</v>
      </c>
      <c r="BE77" s="52">
        <f t="shared" si="129"/>
        <v>0</v>
      </c>
      <c r="BF77" s="52">
        <f t="shared" si="129"/>
        <v>0</v>
      </c>
      <c r="BG77" s="52">
        <f t="shared" si="130"/>
        <v>0</v>
      </c>
      <c r="BH77" s="53">
        <f t="shared" si="131"/>
        <v>0</v>
      </c>
      <c r="BI77" s="52">
        <f>SUM(AQ77*2%)</f>
        <v>0</v>
      </c>
      <c r="BJ77" s="52">
        <f t="shared" si="132"/>
        <v>0</v>
      </c>
      <c r="BK77" s="52">
        <f t="shared" si="132"/>
        <v>0</v>
      </c>
      <c r="BL77" s="52">
        <f t="shared" si="132"/>
        <v>0</v>
      </c>
      <c r="BM77" s="52">
        <f t="shared" si="132"/>
        <v>0</v>
      </c>
      <c r="BN77" s="52">
        <f t="shared" si="132"/>
        <v>0</v>
      </c>
      <c r="BO77" s="52"/>
      <c r="BP77" s="52"/>
      <c r="BQ77" s="52"/>
      <c r="BR77" s="52"/>
      <c r="BS77" s="52"/>
      <c r="BT77" s="52"/>
      <c r="BU77" s="52"/>
      <c r="BV77" s="52">
        <f t="shared" si="133"/>
        <v>0</v>
      </c>
      <c r="BW77" s="52">
        <f t="shared" si="134"/>
        <v>0</v>
      </c>
      <c r="BX77" s="52">
        <f t="shared" si="134"/>
        <v>0</v>
      </c>
      <c r="BY77" s="52">
        <f t="shared" si="134"/>
        <v>0</v>
      </c>
      <c r="BZ77" s="54">
        <f t="shared" si="135"/>
        <v>0</v>
      </c>
      <c r="CA77" s="72">
        <f t="shared" si="117"/>
        <v>400000</v>
      </c>
      <c r="CB77" s="73">
        <f t="shared" si="136"/>
        <v>400000</v>
      </c>
      <c r="CC77" s="74">
        <f t="shared" si="118"/>
        <v>400000</v>
      </c>
      <c r="CD77" s="99">
        <f t="shared" si="137"/>
        <v>0</v>
      </c>
      <c r="CE77" s="105">
        <v>5</v>
      </c>
      <c r="CF77" s="556"/>
      <c r="CG77" s="556"/>
      <c r="CH77" s="567"/>
      <c r="CI77" s="561"/>
      <c r="CJ77" s="323"/>
      <c r="CK77" s="323"/>
      <c r="CL77" s="556">
        <f t="shared" si="138"/>
        <v>0</v>
      </c>
      <c r="CM77" s="323">
        <f t="shared" si="138"/>
        <v>0</v>
      </c>
      <c r="CN77" s="323">
        <f t="shared" si="138"/>
        <v>0</v>
      </c>
      <c r="CO77" s="323">
        <f t="shared" si="138"/>
        <v>0</v>
      </c>
      <c r="CP77" s="323">
        <f t="shared" si="138"/>
        <v>0</v>
      </c>
      <c r="CQ77" s="323">
        <f t="shared" si="139"/>
        <v>0</v>
      </c>
      <c r="CR77" s="323">
        <f t="shared" si="139"/>
        <v>0</v>
      </c>
      <c r="CS77" s="323">
        <f t="shared" si="139"/>
        <v>0</v>
      </c>
      <c r="CT77" s="323">
        <f t="shared" si="139"/>
        <v>0</v>
      </c>
      <c r="CU77" s="323" t="e">
        <f>SUM(#REF!*12.5%)</f>
        <v>#REF!</v>
      </c>
      <c r="CV77" s="55" t="e">
        <f t="shared" ref="CV77:CV78" si="144">SUM(CJ77:CU77)</f>
        <v>#REF!</v>
      </c>
      <c r="CW77" s="323"/>
      <c r="CX77" s="323"/>
      <c r="CY77" s="323"/>
      <c r="CZ77" s="323"/>
      <c r="DA77" s="323"/>
      <c r="DB77" s="323"/>
      <c r="DC77" s="323"/>
      <c r="DD77" s="323"/>
      <c r="DE77" s="323"/>
      <c r="DF77" s="323"/>
      <c r="DG77" s="323"/>
      <c r="DH77" s="323"/>
      <c r="DI77" s="55">
        <f t="shared" ref="DI77:DI78" si="145">SUM(CW77:DH77)</f>
        <v>0</v>
      </c>
    </row>
    <row r="78" spans="1:113" s="70" customFormat="1" ht="24.75" customHeight="1" x14ac:dyDescent="0.2">
      <c r="A78" s="64">
        <v>6</v>
      </c>
      <c r="B78" s="121" t="s">
        <v>270</v>
      </c>
      <c r="C78" s="65" t="s">
        <v>246</v>
      </c>
      <c r="D78" s="148">
        <v>1</v>
      </c>
      <c r="E78" s="429">
        <v>1</v>
      </c>
      <c r="F78" s="653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8">
        <f t="shared" si="126"/>
        <v>1</v>
      </c>
      <c r="W78" s="119" t="s">
        <v>15</v>
      </c>
      <c r="X78" s="96">
        <v>200000</v>
      </c>
      <c r="Y78" s="652">
        <v>120000</v>
      </c>
      <c r="Z78" s="63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51">
        <f t="shared" si="112"/>
        <v>200000</v>
      </c>
      <c r="AQ78" s="570">
        <f t="shared" si="127"/>
        <v>120000</v>
      </c>
      <c r="AR78" s="556">
        <f t="shared" si="127"/>
        <v>0</v>
      </c>
      <c r="AS78" s="52">
        <f t="shared" si="127"/>
        <v>0</v>
      </c>
      <c r="AT78" s="52">
        <f t="shared" si="127"/>
        <v>0</v>
      </c>
      <c r="AU78" s="52">
        <f t="shared" si="127"/>
        <v>0</v>
      </c>
      <c r="AV78" s="52">
        <f t="shared" si="127"/>
        <v>0</v>
      </c>
      <c r="AW78" s="52">
        <f t="shared" si="127"/>
        <v>0</v>
      </c>
      <c r="AX78" s="52"/>
      <c r="AY78" s="52"/>
      <c r="AZ78" s="52"/>
      <c r="BA78" s="52"/>
      <c r="BB78" s="52"/>
      <c r="BC78" s="52"/>
      <c r="BD78" s="52">
        <f t="shared" si="128"/>
        <v>0</v>
      </c>
      <c r="BE78" s="52">
        <f t="shared" si="129"/>
        <v>0</v>
      </c>
      <c r="BF78" s="52">
        <f t="shared" si="129"/>
        <v>0</v>
      </c>
      <c r="BG78" s="52">
        <f t="shared" si="130"/>
        <v>0</v>
      </c>
      <c r="BH78" s="53">
        <f t="shared" si="131"/>
        <v>120000</v>
      </c>
      <c r="BI78" s="52">
        <f>SUM(AQ78*2%)</f>
        <v>2400</v>
      </c>
      <c r="BJ78" s="52">
        <f t="shared" si="132"/>
        <v>0</v>
      </c>
      <c r="BK78" s="52">
        <f t="shared" si="132"/>
        <v>0</v>
      </c>
      <c r="BL78" s="52">
        <f t="shared" si="132"/>
        <v>0</v>
      </c>
      <c r="BM78" s="52">
        <f t="shared" si="132"/>
        <v>0</v>
      </c>
      <c r="BN78" s="52">
        <f t="shared" si="132"/>
        <v>0</v>
      </c>
      <c r="BO78" s="52"/>
      <c r="BP78" s="52"/>
      <c r="BQ78" s="52"/>
      <c r="BR78" s="52"/>
      <c r="BS78" s="52"/>
      <c r="BT78" s="52"/>
      <c r="BU78" s="52"/>
      <c r="BV78" s="52">
        <f t="shared" si="133"/>
        <v>0</v>
      </c>
      <c r="BW78" s="52">
        <f t="shared" si="134"/>
        <v>0</v>
      </c>
      <c r="BX78" s="52">
        <f t="shared" si="134"/>
        <v>0</v>
      </c>
      <c r="BY78" s="52">
        <f t="shared" si="134"/>
        <v>0</v>
      </c>
      <c r="BZ78" s="54">
        <f t="shared" si="135"/>
        <v>2400</v>
      </c>
      <c r="CA78" s="72">
        <f t="shared" si="117"/>
        <v>80000</v>
      </c>
      <c r="CB78" s="73">
        <f t="shared" si="136"/>
        <v>200000</v>
      </c>
      <c r="CC78" s="74">
        <f t="shared" si="118"/>
        <v>80000</v>
      </c>
      <c r="CD78" s="99">
        <f t="shared" si="137"/>
        <v>1</v>
      </c>
      <c r="CE78" s="105">
        <v>5</v>
      </c>
      <c r="CF78" s="556"/>
      <c r="CG78" s="556"/>
      <c r="CH78" s="567"/>
      <c r="CI78" s="561"/>
      <c r="CJ78" s="323"/>
      <c r="CK78" s="323"/>
      <c r="CL78" s="556">
        <f t="shared" si="138"/>
        <v>0</v>
      </c>
      <c r="CM78" s="323">
        <f t="shared" si="138"/>
        <v>0</v>
      </c>
      <c r="CN78" s="323">
        <f t="shared" si="138"/>
        <v>0</v>
      </c>
      <c r="CO78" s="323">
        <f t="shared" si="138"/>
        <v>0</v>
      </c>
      <c r="CP78" s="323">
        <f t="shared" si="138"/>
        <v>0</v>
      </c>
      <c r="CQ78" s="323">
        <f t="shared" si="139"/>
        <v>0</v>
      </c>
      <c r="CR78" s="323">
        <f t="shared" si="139"/>
        <v>0</v>
      </c>
      <c r="CS78" s="323">
        <f t="shared" si="139"/>
        <v>0</v>
      </c>
      <c r="CT78" s="323">
        <f t="shared" si="139"/>
        <v>0</v>
      </c>
      <c r="CU78" s="323" t="e">
        <f>SUM(#REF!*12.5%)</f>
        <v>#REF!</v>
      </c>
      <c r="CV78" s="55" t="e">
        <f t="shared" si="144"/>
        <v>#REF!</v>
      </c>
      <c r="CW78" s="323"/>
      <c r="CX78" s="323"/>
      <c r="CY78" s="323"/>
      <c r="CZ78" s="323"/>
      <c r="DA78" s="323"/>
      <c r="DB78" s="323"/>
      <c r="DC78" s="323"/>
      <c r="DD78" s="323"/>
      <c r="DE78" s="323"/>
      <c r="DF78" s="323"/>
      <c r="DG78" s="323"/>
      <c r="DH78" s="323"/>
      <c r="DI78" s="55">
        <f t="shared" si="145"/>
        <v>0</v>
      </c>
    </row>
    <row r="79" spans="1:113" s="70" customFormat="1" ht="24.75" customHeight="1" thickBot="1" x14ac:dyDescent="0.25">
      <c r="A79" s="64">
        <v>7</v>
      </c>
      <c r="B79" s="121" t="s">
        <v>271</v>
      </c>
      <c r="C79" s="65" t="s">
        <v>246</v>
      </c>
      <c r="D79" s="148">
        <v>1</v>
      </c>
      <c r="E79" s="429">
        <v>0</v>
      </c>
      <c r="F79" s="653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8">
        <f t="shared" si="126"/>
        <v>0</v>
      </c>
      <c r="W79" s="119" t="s">
        <v>15</v>
      </c>
      <c r="X79" s="96">
        <v>150000</v>
      </c>
      <c r="Y79" s="652"/>
      <c r="Z79" s="63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51">
        <f t="shared" si="112"/>
        <v>150000</v>
      </c>
      <c r="AQ79" s="570">
        <f t="shared" si="127"/>
        <v>0</v>
      </c>
      <c r="AR79" s="556">
        <f t="shared" si="127"/>
        <v>0</v>
      </c>
      <c r="AS79" s="52">
        <f t="shared" si="127"/>
        <v>0</v>
      </c>
      <c r="AT79" s="52">
        <f t="shared" si="127"/>
        <v>0</v>
      </c>
      <c r="AU79" s="52">
        <f t="shared" si="127"/>
        <v>0</v>
      </c>
      <c r="AV79" s="52">
        <f t="shared" si="127"/>
        <v>0</v>
      </c>
      <c r="AW79" s="52">
        <f t="shared" si="127"/>
        <v>0</v>
      </c>
      <c r="AX79" s="52"/>
      <c r="AY79" s="52"/>
      <c r="AZ79" s="52"/>
      <c r="BA79" s="52"/>
      <c r="BB79" s="52"/>
      <c r="BC79" s="52"/>
      <c r="BD79" s="52">
        <f t="shared" si="128"/>
        <v>0</v>
      </c>
      <c r="BE79" s="52">
        <f t="shared" si="129"/>
        <v>0</v>
      </c>
      <c r="BF79" s="52">
        <f t="shared" si="129"/>
        <v>0</v>
      </c>
      <c r="BG79" s="52">
        <f t="shared" si="130"/>
        <v>0</v>
      </c>
      <c r="BH79" s="53">
        <f t="shared" si="131"/>
        <v>0</v>
      </c>
      <c r="BI79" s="52"/>
      <c r="BJ79" s="52">
        <f t="shared" si="132"/>
        <v>0</v>
      </c>
      <c r="BK79" s="52">
        <f t="shared" si="132"/>
        <v>0</v>
      </c>
      <c r="BL79" s="52">
        <f t="shared" si="132"/>
        <v>0</v>
      </c>
      <c r="BM79" s="52">
        <f t="shared" si="132"/>
        <v>0</v>
      </c>
      <c r="BN79" s="52">
        <f t="shared" si="132"/>
        <v>0</v>
      </c>
      <c r="BO79" s="52"/>
      <c r="BP79" s="52"/>
      <c r="BQ79" s="52"/>
      <c r="BR79" s="52"/>
      <c r="BS79" s="52"/>
      <c r="BT79" s="52"/>
      <c r="BU79" s="52"/>
      <c r="BV79" s="52">
        <f t="shared" si="133"/>
        <v>0</v>
      </c>
      <c r="BW79" s="52">
        <f t="shared" si="134"/>
        <v>0</v>
      </c>
      <c r="BX79" s="52">
        <f t="shared" si="134"/>
        <v>0</v>
      </c>
      <c r="BY79" s="52">
        <f t="shared" si="134"/>
        <v>0</v>
      </c>
      <c r="BZ79" s="54">
        <f t="shared" si="135"/>
        <v>0</v>
      </c>
      <c r="CA79" s="72">
        <f t="shared" si="117"/>
        <v>150000</v>
      </c>
      <c r="CB79" s="73">
        <f t="shared" si="136"/>
        <v>150000</v>
      </c>
      <c r="CC79" s="74">
        <f t="shared" si="118"/>
        <v>150000</v>
      </c>
      <c r="CD79" s="99">
        <f t="shared" si="137"/>
        <v>0</v>
      </c>
      <c r="CE79" s="105">
        <v>5</v>
      </c>
      <c r="CF79" s="556"/>
      <c r="CG79" s="556"/>
      <c r="CH79" s="567"/>
      <c r="CI79" s="561"/>
      <c r="CJ79" s="323"/>
      <c r="CK79" s="323"/>
      <c r="CL79" s="556">
        <f t="shared" si="138"/>
        <v>0</v>
      </c>
      <c r="CM79" s="323">
        <f t="shared" si="138"/>
        <v>0</v>
      </c>
      <c r="CN79" s="323">
        <f t="shared" si="138"/>
        <v>0</v>
      </c>
      <c r="CO79" s="323">
        <f t="shared" si="138"/>
        <v>0</v>
      </c>
      <c r="CP79" s="323">
        <f t="shared" si="138"/>
        <v>0</v>
      </c>
      <c r="CQ79" s="323">
        <f t="shared" si="139"/>
        <v>0</v>
      </c>
      <c r="CR79" s="323">
        <f t="shared" si="139"/>
        <v>0</v>
      </c>
      <c r="CS79" s="323">
        <f t="shared" si="139"/>
        <v>0</v>
      </c>
      <c r="CT79" s="323">
        <f t="shared" si="139"/>
        <v>0</v>
      </c>
      <c r="CU79" s="323" t="e">
        <f>SUM(#REF!*12.5%)</f>
        <v>#REF!</v>
      </c>
      <c r="CV79" s="55" t="e">
        <f t="shared" si="125"/>
        <v>#REF!</v>
      </c>
      <c r="CW79" s="323"/>
      <c r="CX79" s="323"/>
      <c r="CY79" s="323"/>
      <c r="CZ79" s="323"/>
      <c r="DA79" s="323"/>
      <c r="DB79" s="323"/>
      <c r="DC79" s="323"/>
      <c r="DD79" s="323"/>
      <c r="DE79" s="323"/>
      <c r="DF79" s="323"/>
      <c r="DG79" s="323"/>
      <c r="DH79" s="323"/>
      <c r="DI79" s="55">
        <f t="shared" si="124"/>
        <v>0</v>
      </c>
    </row>
    <row r="80" spans="1:113" s="27" customFormat="1" ht="24.75" customHeight="1" thickBot="1" x14ac:dyDescent="0.25">
      <c r="A80" s="30"/>
      <c r="B80" s="31" t="s">
        <v>4</v>
      </c>
      <c r="C80" s="31"/>
      <c r="D80" s="132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4"/>
      <c r="W80" s="58"/>
      <c r="X80" s="76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8">
        <f t="shared" ref="AP80:CC80" si="146">SUM(AP66:AP79)</f>
        <v>3434600</v>
      </c>
      <c r="AQ80" s="738">
        <f t="shared" si="146"/>
        <v>581000</v>
      </c>
      <c r="AR80" s="737">
        <f>SUM(AR66:AR79)</f>
        <v>1773000</v>
      </c>
      <c r="AS80" s="78">
        <f t="shared" si="146"/>
        <v>0</v>
      </c>
      <c r="AT80" s="78">
        <f t="shared" si="146"/>
        <v>0</v>
      </c>
      <c r="AU80" s="78">
        <f t="shared" si="146"/>
        <v>0</v>
      </c>
      <c r="AV80" s="78">
        <f t="shared" si="146"/>
        <v>0</v>
      </c>
      <c r="AW80" s="78">
        <f t="shared" si="146"/>
        <v>0</v>
      </c>
      <c r="AX80" s="78"/>
      <c r="AY80" s="78"/>
      <c r="AZ80" s="78"/>
      <c r="BA80" s="78"/>
      <c r="BB80" s="78"/>
      <c r="BC80" s="78"/>
      <c r="BD80" s="78">
        <f t="shared" si="146"/>
        <v>0</v>
      </c>
      <c r="BE80" s="78">
        <f t="shared" si="146"/>
        <v>0</v>
      </c>
      <c r="BF80" s="78">
        <f t="shared" si="146"/>
        <v>0</v>
      </c>
      <c r="BG80" s="78">
        <f t="shared" si="146"/>
        <v>0</v>
      </c>
      <c r="BH80" s="78">
        <f t="shared" si="146"/>
        <v>2354000</v>
      </c>
      <c r="BI80" s="78">
        <f t="shared" si="146"/>
        <v>12220</v>
      </c>
      <c r="BJ80" s="78">
        <f t="shared" si="146"/>
        <v>189510</v>
      </c>
      <c r="BK80" s="78">
        <f t="shared" si="146"/>
        <v>0</v>
      </c>
      <c r="BL80" s="78">
        <f t="shared" si="146"/>
        <v>0</v>
      </c>
      <c r="BM80" s="78">
        <f t="shared" si="146"/>
        <v>0</v>
      </c>
      <c r="BN80" s="78">
        <f t="shared" si="146"/>
        <v>0</v>
      </c>
      <c r="BO80" s="78"/>
      <c r="BP80" s="78"/>
      <c r="BQ80" s="78"/>
      <c r="BR80" s="78"/>
      <c r="BS80" s="78"/>
      <c r="BT80" s="78"/>
      <c r="BU80" s="78"/>
      <c r="BV80" s="78">
        <f t="shared" si="146"/>
        <v>0</v>
      </c>
      <c r="BW80" s="78">
        <f t="shared" si="146"/>
        <v>0</v>
      </c>
      <c r="BX80" s="78">
        <f t="shared" si="146"/>
        <v>0</v>
      </c>
      <c r="BY80" s="78">
        <f t="shared" si="146"/>
        <v>0</v>
      </c>
      <c r="BZ80" s="78">
        <f t="shared" si="146"/>
        <v>201730</v>
      </c>
      <c r="CA80" s="79">
        <f t="shared" si="146"/>
        <v>1080600</v>
      </c>
      <c r="CB80" s="78">
        <f t="shared" si="146"/>
        <v>3434600</v>
      </c>
      <c r="CC80" s="78">
        <f t="shared" si="146"/>
        <v>1080600</v>
      </c>
      <c r="CD80" s="100">
        <v>1</v>
      </c>
      <c r="CE80" s="106"/>
      <c r="CF80" s="556"/>
      <c r="CG80" s="556"/>
      <c r="CH80" s="567"/>
      <c r="CI80" s="561"/>
      <c r="CJ80" s="323"/>
      <c r="CK80" s="323"/>
      <c r="CL80" s="556">
        <f t="shared" si="138"/>
        <v>0</v>
      </c>
      <c r="CM80" s="323">
        <f t="shared" si="138"/>
        <v>0</v>
      </c>
      <c r="CN80" s="323">
        <f t="shared" si="138"/>
        <v>0</v>
      </c>
      <c r="CO80" s="323">
        <f t="shared" si="138"/>
        <v>0</v>
      </c>
      <c r="CP80" s="323">
        <f t="shared" si="138"/>
        <v>0</v>
      </c>
      <c r="CQ80" s="323">
        <f t="shared" si="139"/>
        <v>0</v>
      </c>
      <c r="CR80" s="323">
        <f t="shared" si="139"/>
        <v>0</v>
      </c>
      <c r="CS80" s="323">
        <f t="shared" si="139"/>
        <v>0</v>
      </c>
      <c r="CT80" s="323">
        <f t="shared" si="139"/>
        <v>0</v>
      </c>
      <c r="CU80" s="323" t="e">
        <f>SUM(#REF!*12.5%)</f>
        <v>#REF!</v>
      </c>
      <c r="CV80" s="55" t="e">
        <f t="shared" si="125"/>
        <v>#REF!</v>
      </c>
      <c r="CW80" s="323"/>
      <c r="CX80" s="323"/>
      <c r="CY80" s="323"/>
      <c r="CZ80" s="323"/>
      <c r="DA80" s="323"/>
      <c r="DB80" s="323"/>
      <c r="DC80" s="323"/>
      <c r="DD80" s="323"/>
      <c r="DE80" s="323"/>
      <c r="DF80" s="323"/>
      <c r="DG80" s="323"/>
      <c r="DH80" s="323"/>
      <c r="DI80" s="55">
        <f t="shared" si="124"/>
        <v>0</v>
      </c>
    </row>
    <row r="81" spans="1:118" s="16" customFormat="1" ht="24.75" customHeight="1" x14ac:dyDescent="0.2">
      <c r="A81" s="37"/>
      <c r="D81" s="133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AO81" s="28"/>
      <c r="BH81" s="38"/>
      <c r="BZ81" s="39">
        <f>SUM(BH80+BZ80)</f>
        <v>2555730</v>
      </c>
      <c r="CA81" s="40">
        <f>AP80-BH80</f>
        <v>1080600</v>
      </c>
      <c r="CB81" s="41">
        <f>SUM(CC80+BH80)</f>
        <v>3434600</v>
      </c>
      <c r="CC81" s="42">
        <f>SUM(CA80)</f>
        <v>1080600</v>
      </c>
      <c r="CD81" s="28" t="s">
        <v>29</v>
      </c>
      <c r="CE81" s="107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</row>
    <row r="82" spans="1:118" s="16" customFormat="1" ht="24.75" customHeight="1" x14ac:dyDescent="0.2">
      <c r="A82" s="37"/>
      <c r="D82" s="133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AO82" s="28"/>
      <c r="BH82" s="28"/>
      <c r="BI82" s="82"/>
      <c r="BJ82" s="82">
        <f>SUM(AR80+BJ80)</f>
        <v>1962510</v>
      </c>
      <c r="BK82" s="82">
        <f>SUM(AS80+BK80)</f>
        <v>0</v>
      </c>
      <c r="BL82" s="82">
        <f>SUM(AT80+BL80)</f>
        <v>0</v>
      </c>
      <c r="BM82" s="82">
        <f>SUM(AU80+BM80)</f>
        <v>0</v>
      </c>
      <c r="BN82" s="82">
        <f>SUM(AV80+BN80)</f>
        <v>0</v>
      </c>
      <c r="BO82" s="82"/>
      <c r="BP82" s="82"/>
      <c r="BQ82" s="82"/>
      <c r="BR82" s="82"/>
      <c r="BS82" s="82"/>
      <c r="BT82" s="82"/>
      <c r="BU82" s="82"/>
      <c r="BV82" s="82">
        <f>SUM(AW80+BV80)</f>
        <v>0</v>
      </c>
      <c r="BW82" s="82">
        <f>SUM(BD80+BW80)</f>
        <v>0</v>
      </c>
      <c r="BX82" s="82">
        <f>SUM(BE80+BX80)</f>
        <v>0</v>
      </c>
      <c r="BY82" s="82">
        <f>SUM(BF80+BY80)</f>
        <v>0</v>
      </c>
      <c r="BZ82" s="82">
        <f>SUM(BI82:BY82)</f>
        <v>1962510</v>
      </c>
      <c r="CA82" s="28"/>
      <c r="CB82" s="43"/>
      <c r="CC82" s="44">
        <f>SUM(CC80-CC81)</f>
        <v>0</v>
      </c>
      <c r="CD82" s="28" t="s">
        <v>28</v>
      </c>
      <c r="CE82" s="107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</row>
    <row r="83" spans="1:118" s="16" customFormat="1" ht="24.75" customHeight="1" x14ac:dyDescent="0.2">
      <c r="A83" s="811" t="s">
        <v>7</v>
      </c>
      <c r="B83" s="812"/>
      <c r="C83" s="83" t="s">
        <v>87</v>
      </c>
      <c r="D83" s="85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6"/>
      <c r="AP83" s="17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7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7"/>
      <c r="CA83" s="87"/>
      <c r="CB83" s="84"/>
      <c r="CC83" s="88"/>
      <c r="CD83" s="17"/>
      <c r="CE83" s="103"/>
      <c r="CF83" s="85"/>
      <c r="CG83" s="85"/>
      <c r="CH83" s="85"/>
      <c r="CI83" s="85"/>
      <c r="CJ83" s="86"/>
      <c r="CK83" s="85"/>
      <c r="CL83" s="85"/>
      <c r="CM83" s="85"/>
      <c r="CN83" s="85"/>
      <c r="CO83" s="85"/>
      <c r="CP83" s="87"/>
      <c r="CQ83" s="87"/>
      <c r="CR83" s="87"/>
      <c r="CS83" s="84"/>
      <c r="CT83" s="88"/>
      <c r="CU83" s="87"/>
      <c r="CV83" s="87"/>
      <c r="CW83" s="18"/>
      <c r="CX83" s="18"/>
      <c r="CY83" s="18"/>
      <c r="CZ83" s="18"/>
      <c r="DA83" s="18"/>
      <c r="DB83" s="89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</row>
    <row r="84" spans="1:118" s="7" customFormat="1" ht="48.75" customHeight="1" x14ac:dyDescent="0.2">
      <c r="A84" s="813" t="s">
        <v>8</v>
      </c>
      <c r="B84" s="787" t="s">
        <v>9</v>
      </c>
      <c r="C84" s="787" t="s">
        <v>22</v>
      </c>
      <c r="D84" s="806" t="s">
        <v>10</v>
      </c>
      <c r="E84" s="806"/>
      <c r="F84" s="806"/>
      <c r="G84" s="806"/>
      <c r="H84" s="806"/>
      <c r="I84" s="806"/>
      <c r="J84" s="806"/>
      <c r="K84" s="806"/>
      <c r="L84" s="806"/>
      <c r="M84" s="806"/>
      <c r="N84" s="806"/>
      <c r="O84" s="806"/>
      <c r="P84" s="806"/>
      <c r="Q84" s="806"/>
      <c r="R84" s="806"/>
      <c r="S84" s="806"/>
      <c r="T84" s="806"/>
      <c r="U84" s="806"/>
      <c r="V84" s="806"/>
      <c r="W84" s="787" t="s">
        <v>20</v>
      </c>
      <c r="X84" s="807" t="s">
        <v>17</v>
      </c>
      <c r="Y84" s="808"/>
      <c r="Z84" s="808"/>
      <c r="AA84" s="808"/>
      <c r="AB84" s="808"/>
      <c r="AC84" s="808"/>
      <c r="AD84" s="808"/>
      <c r="AE84" s="808"/>
      <c r="AF84" s="808"/>
      <c r="AG84" s="808"/>
      <c r="AH84" s="808"/>
      <c r="AI84" s="808"/>
      <c r="AJ84" s="808"/>
      <c r="AK84" s="808"/>
      <c r="AL84" s="808"/>
      <c r="AM84" s="808"/>
      <c r="AN84" s="808"/>
      <c r="AO84" s="809"/>
      <c r="AP84" s="810" t="s">
        <v>5</v>
      </c>
      <c r="AQ84" s="810"/>
      <c r="AR84" s="810"/>
      <c r="AS84" s="810"/>
      <c r="AT84" s="810"/>
      <c r="AU84" s="810"/>
      <c r="AV84" s="810"/>
      <c r="AW84" s="810"/>
      <c r="AX84" s="810"/>
      <c r="AY84" s="810"/>
      <c r="AZ84" s="810"/>
      <c r="BA84" s="810"/>
      <c r="BB84" s="810"/>
      <c r="BC84" s="810"/>
      <c r="BD84" s="810"/>
      <c r="BE84" s="810"/>
      <c r="BF84" s="810"/>
      <c r="BG84" s="810"/>
      <c r="BH84" s="810"/>
      <c r="BI84" s="800" t="s">
        <v>32</v>
      </c>
      <c r="BJ84" s="801"/>
      <c r="BK84" s="801"/>
      <c r="BL84" s="801"/>
      <c r="BM84" s="801"/>
      <c r="BN84" s="801"/>
      <c r="BO84" s="801"/>
      <c r="BP84" s="801"/>
      <c r="BQ84" s="801"/>
      <c r="BR84" s="801"/>
      <c r="BS84" s="801"/>
      <c r="BT84" s="801"/>
      <c r="BU84" s="801"/>
      <c r="BV84" s="801"/>
      <c r="BW84" s="801"/>
      <c r="BX84" s="801"/>
      <c r="BY84" s="801"/>
      <c r="BZ84" s="802"/>
      <c r="CA84" s="787" t="s">
        <v>29</v>
      </c>
      <c r="CB84" s="787" t="s">
        <v>57</v>
      </c>
      <c r="CC84" s="790" t="s">
        <v>30</v>
      </c>
      <c r="CD84" s="84"/>
      <c r="CE84" s="17"/>
      <c r="CF84" s="84"/>
      <c r="CG84" s="84"/>
      <c r="CH84" s="84"/>
      <c r="CI84" s="84"/>
      <c r="CJ84" s="774" t="s">
        <v>32</v>
      </c>
      <c r="CK84" s="775"/>
      <c r="CL84" s="775"/>
      <c r="CM84" s="775"/>
      <c r="CN84" s="775"/>
      <c r="CO84" s="775"/>
      <c r="CP84" s="775"/>
      <c r="CQ84" s="775"/>
      <c r="CR84" s="775"/>
      <c r="CS84" s="775"/>
      <c r="CT84" s="775"/>
      <c r="CU84" s="775"/>
      <c r="CV84" s="775"/>
      <c r="CW84" s="775"/>
      <c r="CX84" s="775"/>
      <c r="CY84" s="775"/>
      <c r="CZ84" s="775"/>
      <c r="DA84" s="775"/>
      <c r="DB84" s="775"/>
      <c r="DC84" s="775"/>
      <c r="DD84" s="775"/>
      <c r="DE84" s="775"/>
      <c r="DF84" s="775"/>
      <c r="DG84" s="775"/>
      <c r="DH84" s="775"/>
      <c r="DI84" s="776"/>
    </row>
    <row r="85" spans="1:118" s="7" customFormat="1" ht="48.75" customHeight="1" x14ac:dyDescent="0.2">
      <c r="A85" s="814"/>
      <c r="B85" s="788"/>
      <c r="C85" s="788"/>
      <c r="D85" s="864" t="s">
        <v>18</v>
      </c>
      <c r="E85" s="795" t="s">
        <v>19</v>
      </c>
      <c r="F85" s="796"/>
      <c r="G85" s="796"/>
      <c r="H85" s="796"/>
      <c r="I85" s="796"/>
      <c r="J85" s="796"/>
      <c r="K85" s="796"/>
      <c r="L85" s="796"/>
      <c r="M85" s="796"/>
      <c r="N85" s="796"/>
      <c r="O85" s="796"/>
      <c r="P85" s="796"/>
      <c r="Q85" s="796"/>
      <c r="R85" s="796"/>
      <c r="S85" s="796"/>
      <c r="T85" s="796"/>
      <c r="U85" s="796"/>
      <c r="V85" s="796"/>
      <c r="W85" s="788"/>
      <c r="X85" s="797" t="s">
        <v>18</v>
      </c>
      <c r="Y85" s="795" t="s">
        <v>19</v>
      </c>
      <c r="Z85" s="796"/>
      <c r="AA85" s="796"/>
      <c r="AB85" s="796"/>
      <c r="AC85" s="796"/>
      <c r="AD85" s="796"/>
      <c r="AE85" s="796"/>
      <c r="AF85" s="796"/>
      <c r="AG85" s="796"/>
      <c r="AH85" s="796"/>
      <c r="AI85" s="796"/>
      <c r="AJ85" s="796"/>
      <c r="AK85" s="796"/>
      <c r="AL85" s="796"/>
      <c r="AM85" s="796"/>
      <c r="AN85" s="796"/>
      <c r="AO85" s="799"/>
      <c r="AP85" s="797" t="s">
        <v>18</v>
      </c>
      <c r="AQ85" s="795" t="s">
        <v>19</v>
      </c>
      <c r="AR85" s="796"/>
      <c r="AS85" s="796"/>
      <c r="AT85" s="796"/>
      <c r="AU85" s="796"/>
      <c r="AV85" s="796"/>
      <c r="AW85" s="796"/>
      <c r="AX85" s="796"/>
      <c r="AY85" s="796"/>
      <c r="AZ85" s="796"/>
      <c r="BA85" s="796"/>
      <c r="BB85" s="796"/>
      <c r="BC85" s="796"/>
      <c r="BD85" s="796"/>
      <c r="BE85" s="796"/>
      <c r="BF85" s="796"/>
      <c r="BG85" s="796"/>
      <c r="BH85" s="799"/>
      <c r="BI85" s="803"/>
      <c r="BJ85" s="804"/>
      <c r="BK85" s="804"/>
      <c r="BL85" s="804"/>
      <c r="BM85" s="804"/>
      <c r="BN85" s="804"/>
      <c r="BO85" s="804"/>
      <c r="BP85" s="804"/>
      <c r="BQ85" s="804"/>
      <c r="BR85" s="804"/>
      <c r="BS85" s="804"/>
      <c r="BT85" s="804"/>
      <c r="BU85" s="804"/>
      <c r="BV85" s="804"/>
      <c r="BW85" s="804"/>
      <c r="BX85" s="804"/>
      <c r="BY85" s="804"/>
      <c r="BZ85" s="805"/>
      <c r="CA85" s="788"/>
      <c r="CB85" s="788"/>
      <c r="CC85" s="791"/>
      <c r="CD85" s="84"/>
      <c r="CE85" s="17"/>
      <c r="CF85" s="777">
        <f>SUM(CF88/60)</f>
        <v>0</v>
      </c>
      <c r="CG85" s="777"/>
      <c r="CH85" s="777"/>
      <c r="CI85" s="17"/>
      <c r="CJ85" s="778" t="s">
        <v>230</v>
      </c>
      <c r="CK85" s="779"/>
      <c r="CL85" s="779"/>
      <c r="CM85" s="779"/>
      <c r="CN85" s="779"/>
      <c r="CO85" s="779"/>
      <c r="CP85" s="779"/>
      <c r="CQ85" s="779"/>
      <c r="CR85" s="779"/>
      <c r="CS85" s="779"/>
      <c r="CT85" s="779"/>
      <c r="CU85" s="779"/>
      <c r="CV85" s="780"/>
      <c r="CW85" s="781" t="s">
        <v>231</v>
      </c>
      <c r="CX85" s="782"/>
      <c r="CY85" s="782"/>
      <c r="CZ85" s="782"/>
      <c r="DA85" s="782"/>
      <c r="DB85" s="782"/>
      <c r="DC85" s="782"/>
      <c r="DD85" s="782"/>
      <c r="DE85" s="782"/>
      <c r="DF85" s="782"/>
      <c r="DG85" s="782"/>
      <c r="DH85" s="782"/>
      <c r="DI85" s="783"/>
    </row>
    <row r="86" spans="1:118" s="5" customFormat="1" ht="28.5" customHeight="1" x14ac:dyDescent="0.2">
      <c r="A86" s="815"/>
      <c r="B86" s="789"/>
      <c r="C86" s="789"/>
      <c r="D86" s="865"/>
      <c r="E86" s="20">
        <v>1</v>
      </c>
      <c r="F86" s="20">
        <v>2</v>
      </c>
      <c r="G86" s="20">
        <v>3</v>
      </c>
      <c r="H86" s="20">
        <v>4</v>
      </c>
      <c r="I86" s="20">
        <v>5</v>
      </c>
      <c r="J86" s="20">
        <v>6</v>
      </c>
      <c r="K86" s="20">
        <v>7</v>
      </c>
      <c r="L86" s="20">
        <v>8</v>
      </c>
      <c r="M86" s="20">
        <v>9</v>
      </c>
      <c r="N86" s="20">
        <v>10</v>
      </c>
      <c r="O86" s="20"/>
      <c r="P86" s="20"/>
      <c r="Q86" s="20"/>
      <c r="R86" s="20"/>
      <c r="S86" s="20"/>
      <c r="T86" s="20"/>
      <c r="U86" s="20">
        <v>11</v>
      </c>
      <c r="V86" s="20" t="s">
        <v>21</v>
      </c>
      <c r="W86" s="789"/>
      <c r="X86" s="798"/>
      <c r="Y86" s="312">
        <v>1</v>
      </c>
      <c r="Z86" s="20">
        <v>2</v>
      </c>
      <c r="AA86" s="20">
        <v>3</v>
      </c>
      <c r="AB86" s="20">
        <v>4</v>
      </c>
      <c r="AC86" s="20">
        <v>5</v>
      </c>
      <c r="AD86" s="20">
        <v>6</v>
      </c>
      <c r="AE86" s="20">
        <v>7</v>
      </c>
      <c r="AF86" s="20">
        <v>8</v>
      </c>
      <c r="AG86" s="20"/>
      <c r="AH86" s="20"/>
      <c r="AI86" s="20"/>
      <c r="AJ86" s="20"/>
      <c r="AK86" s="20"/>
      <c r="AL86" s="20">
        <v>9</v>
      </c>
      <c r="AM86" s="20">
        <v>10</v>
      </c>
      <c r="AN86" s="20">
        <v>11</v>
      </c>
      <c r="AO86" s="20">
        <v>12</v>
      </c>
      <c r="AP86" s="798"/>
      <c r="AQ86" s="20">
        <v>1</v>
      </c>
      <c r="AR86" s="20">
        <v>2</v>
      </c>
      <c r="AS86" s="20">
        <v>3</v>
      </c>
      <c r="AT86" s="20">
        <v>4</v>
      </c>
      <c r="AU86" s="20">
        <v>5</v>
      </c>
      <c r="AV86" s="20">
        <v>6</v>
      </c>
      <c r="AW86" s="20">
        <v>7</v>
      </c>
      <c r="AX86" s="20"/>
      <c r="AY86" s="20"/>
      <c r="AZ86" s="20"/>
      <c r="BA86" s="20"/>
      <c r="BB86" s="20"/>
      <c r="BC86" s="20"/>
      <c r="BD86" s="20">
        <v>8</v>
      </c>
      <c r="BE86" s="20">
        <v>9</v>
      </c>
      <c r="BF86" s="20">
        <v>10</v>
      </c>
      <c r="BG86" s="20">
        <v>11</v>
      </c>
      <c r="BH86" s="20" t="s">
        <v>13</v>
      </c>
      <c r="BI86" s="111">
        <v>1</v>
      </c>
      <c r="BJ86" s="111">
        <v>2</v>
      </c>
      <c r="BK86" s="111">
        <v>3</v>
      </c>
      <c r="BL86" s="111">
        <v>4</v>
      </c>
      <c r="BM86" s="111">
        <v>5</v>
      </c>
      <c r="BN86" s="111">
        <v>6</v>
      </c>
      <c r="BO86" s="111"/>
      <c r="BP86" s="111"/>
      <c r="BQ86" s="111"/>
      <c r="BR86" s="111"/>
      <c r="BS86" s="111"/>
      <c r="BT86" s="111"/>
      <c r="BU86" s="111"/>
      <c r="BV86" s="111">
        <v>7</v>
      </c>
      <c r="BW86" s="111">
        <v>8</v>
      </c>
      <c r="BX86" s="111">
        <v>9</v>
      </c>
      <c r="BY86" s="111">
        <v>10</v>
      </c>
      <c r="BZ86" s="20" t="s">
        <v>13</v>
      </c>
      <c r="CA86" s="789"/>
      <c r="CB86" s="789"/>
      <c r="CC86" s="792"/>
      <c r="CD86" s="6"/>
      <c r="CE86" s="21"/>
      <c r="CF86" s="784" t="s">
        <v>19</v>
      </c>
      <c r="CG86" s="785"/>
      <c r="CH86" s="786"/>
      <c r="CI86" s="337"/>
      <c r="CJ86" s="111">
        <v>1</v>
      </c>
      <c r="CK86" s="111">
        <v>2</v>
      </c>
      <c r="CL86" s="111">
        <v>3</v>
      </c>
      <c r="CM86" s="111">
        <v>4</v>
      </c>
      <c r="CN86" s="111">
        <v>5</v>
      </c>
      <c r="CO86" s="111">
        <v>6</v>
      </c>
      <c r="CP86" s="111">
        <v>7</v>
      </c>
      <c r="CQ86" s="111">
        <v>8</v>
      </c>
      <c r="CR86" s="111">
        <v>9</v>
      </c>
      <c r="CS86" s="111">
        <v>10</v>
      </c>
      <c r="CT86" s="111">
        <v>11</v>
      </c>
      <c r="CU86" s="111">
        <v>12</v>
      </c>
      <c r="CV86" s="20" t="s">
        <v>13</v>
      </c>
      <c r="CW86" s="111">
        <v>1</v>
      </c>
      <c r="CX86" s="111">
        <v>2</v>
      </c>
      <c r="CY86" s="111">
        <v>3</v>
      </c>
      <c r="CZ86" s="111">
        <v>4</v>
      </c>
      <c r="DA86" s="111">
        <v>5</v>
      </c>
      <c r="DB86" s="111">
        <v>6</v>
      </c>
      <c r="DC86" s="111">
        <v>7</v>
      </c>
      <c r="DD86" s="111">
        <v>8</v>
      </c>
      <c r="DE86" s="111">
        <v>9</v>
      </c>
      <c r="DF86" s="111">
        <v>10</v>
      </c>
      <c r="DG86" s="111">
        <v>11</v>
      </c>
      <c r="DH86" s="111">
        <v>12</v>
      </c>
      <c r="DI86" s="20" t="s">
        <v>13</v>
      </c>
    </row>
    <row r="87" spans="1:118" s="70" customFormat="1" ht="24.75" customHeight="1" thickBot="1" x14ac:dyDescent="0.25">
      <c r="A87" s="64"/>
      <c r="B87" s="500" t="s">
        <v>281</v>
      </c>
      <c r="C87" s="65"/>
      <c r="D87" s="61"/>
      <c r="E87" s="428"/>
      <c r="F87" s="67"/>
      <c r="G87" s="618"/>
      <c r="H87" s="429"/>
      <c r="I87" s="429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8"/>
      <c r="W87" s="117"/>
      <c r="X87" s="510"/>
      <c r="Y87" s="115"/>
      <c r="Z87" s="71"/>
      <c r="AA87" s="71"/>
      <c r="AB87" s="434"/>
      <c r="AC87" s="510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51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3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4"/>
      <c r="CA87" s="72"/>
      <c r="CB87" s="73"/>
      <c r="CC87" s="74"/>
      <c r="CD87" s="99"/>
      <c r="CE87" s="105"/>
      <c r="CF87" s="556"/>
      <c r="CG87" s="556"/>
      <c r="CH87" s="567"/>
      <c r="CI87" s="561"/>
      <c r="CJ87" s="323"/>
      <c r="CK87" s="323"/>
      <c r="CL87" s="570"/>
      <c r="CM87" s="323"/>
      <c r="CN87" s="323"/>
      <c r="CO87" s="323"/>
      <c r="CP87" s="323"/>
      <c r="CQ87" s="323"/>
      <c r="CR87" s="323"/>
      <c r="CS87" s="323"/>
      <c r="CT87" s="323"/>
      <c r="CU87" s="323"/>
      <c r="CV87" s="55"/>
      <c r="CW87" s="323"/>
      <c r="CX87" s="323"/>
      <c r="CY87" s="323"/>
      <c r="CZ87" s="323"/>
      <c r="DA87" s="323"/>
      <c r="DB87" s="323"/>
      <c r="DC87" s="323"/>
      <c r="DD87" s="323"/>
      <c r="DE87" s="323"/>
      <c r="DF87" s="323"/>
      <c r="DG87" s="323"/>
      <c r="DH87" s="323"/>
      <c r="DI87" s="55"/>
    </row>
    <row r="88" spans="1:118" s="70" customFormat="1" ht="24.75" customHeight="1" thickBot="1" x14ac:dyDescent="0.25">
      <c r="A88" s="64">
        <v>1</v>
      </c>
      <c r="B88" s="90" t="s">
        <v>276</v>
      </c>
      <c r="C88" s="65" t="s">
        <v>275</v>
      </c>
      <c r="D88" s="61">
        <v>10</v>
      </c>
      <c r="E88" s="654">
        <v>10</v>
      </c>
      <c r="F88" s="67"/>
      <c r="G88" s="618"/>
      <c r="H88" s="429"/>
      <c r="I88" s="429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8">
        <f>SUM(E88:U88)</f>
        <v>10</v>
      </c>
      <c r="W88" s="117" t="s">
        <v>26</v>
      </c>
      <c r="X88" s="510">
        <v>10300</v>
      </c>
      <c r="Y88" s="659">
        <v>10300</v>
      </c>
      <c r="Z88" s="71"/>
      <c r="AA88" s="71"/>
      <c r="AB88" s="434"/>
      <c r="AC88" s="510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51">
        <f>D88*X88</f>
        <v>103000</v>
      </c>
      <c r="AQ88" s="556">
        <f t="shared" ref="AQ88:AW92" si="147">Y88*E88</f>
        <v>103000</v>
      </c>
      <c r="AR88" s="52">
        <f t="shared" si="147"/>
        <v>0</v>
      </c>
      <c r="AS88" s="52">
        <f t="shared" si="147"/>
        <v>0</v>
      </c>
      <c r="AT88" s="52">
        <f t="shared" si="147"/>
        <v>0</v>
      </c>
      <c r="AU88" s="52">
        <f t="shared" si="147"/>
        <v>0</v>
      </c>
      <c r="AV88" s="52">
        <f t="shared" si="147"/>
        <v>0</v>
      </c>
      <c r="AW88" s="52">
        <f t="shared" si="147"/>
        <v>0</v>
      </c>
      <c r="AX88" s="52"/>
      <c r="AY88" s="52"/>
      <c r="AZ88" s="52"/>
      <c r="BA88" s="52"/>
      <c r="BB88" s="52"/>
      <c r="BC88" s="52"/>
      <c r="BD88" s="52">
        <f>AF88*L88</f>
        <v>0</v>
      </c>
      <c r="BE88" s="52">
        <f t="shared" ref="BE88:BF92" si="148">AL88*M88</f>
        <v>0</v>
      </c>
      <c r="BF88" s="52">
        <f t="shared" si="148"/>
        <v>0</v>
      </c>
      <c r="BG88" s="52">
        <f>AN88*U88</f>
        <v>0</v>
      </c>
      <c r="BH88" s="53">
        <f>SUM(AQ88:BG88)</f>
        <v>103000</v>
      </c>
      <c r="BI88" s="52">
        <f>SUM(AQ88*12%)</f>
        <v>12360</v>
      </c>
      <c r="BJ88" s="52"/>
      <c r="BK88" s="52"/>
      <c r="BL88" s="52">
        <f>SUM(AT88*14%)</f>
        <v>0</v>
      </c>
      <c r="BM88" s="52"/>
      <c r="BN88" s="52">
        <f>SUM(AV88*14%)</f>
        <v>0</v>
      </c>
      <c r="BO88" s="52"/>
      <c r="BP88" s="52"/>
      <c r="BQ88" s="52"/>
      <c r="BR88" s="52"/>
      <c r="BS88" s="52"/>
      <c r="BT88" s="52"/>
      <c r="BU88" s="52"/>
      <c r="BV88" s="52">
        <f>SUM(AW88*14%)</f>
        <v>0</v>
      </c>
      <c r="BW88" s="52">
        <f t="shared" ref="BW88:BY92" si="149">SUM(BD88*14%)</f>
        <v>0</v>
      </c>
      <c r="BX88" s="52">
        <f t="shared" si="149"/>
        <v>0</v>
      </c>
      <c r="BY88" s="52">
        <f t="shared" si="149"/>
        <v>0</v>
      </c>
      <c r="BZ88" s="54">
        <f>SUM(BI88:BY88)</f>
        <v>12360</v>
      </c>
      <c r="CA88" s="72">
        <f>AP88-BH88</f>
        <v>0</v>
      </c>
      <c r="CB88" s="73">
        <f>X88*D88</f>
        <v>103000</v>
      </c>
      <c r="CC88" s="74">
        <f>CB88-BH88</f>
        <v>0</v>
      </c>
      <c r="CD88" s="99">
        <f>SUM(V88/D88)</f>
        <v>1</v>
      </c>
      <c r="CE88" s="105"/>
      <c r="CF88" s="556"/>
      <c r="CG88" s="556"/>
      <c r="CH88" s="567"/>
      <c r="CI88" s="561"/>
      <c r="CJ88" s="323"/>
      <c r="CK88" s="323"/>
      <c r="CL88" s="570">
        <f t="shared" ref="CL88:CP93" si="150">SUM(AS88*12.5%)</f>
        <v>0</v>
      </c>
      <c r="CM88" s="323">
        <f t="shared" si="150"/>
        <v>0</v>
      </c>
      <c r="CN88" s="323">
        <f t="shared" si="150"/>
        <v>0</v>
      </c>
      <c r="CO88" s="323">
        <f t="shared" si="150"/>
        <v>0</v>
      </c>
      <c r="CP88" s="323">
        <f t="shared" si="150"/>
        <v>0</v>
      </c>
      <c r="CQ88" s="323">
        <f t="shared" ref="CQ88:CT93" si="151">SUM(BD88*12.5%)</f>
        <v>0</v>
      </c>
      <c r="CR88" s="323">
        <f t="shared" si="151"/>
        <v>0</v>
      </c>
      <c r="CS88" s="323">
        <f t="shared" si="151"/>
        <v>0</v>
      </c>
      <c r="CT88" s="323">
        <f t="shared" si="151"/>
        <v>0</v>
      </c>
      <c r="CU88" s="323" t="e">
        <f>SUM(#REF!*12.5%)</f>
        <v>#REF!</v>
      </c>
      <c r="CV88" s="55" t="e">
        <f t="shared" ref="CV88" si="152">SUM(CJ88:CU88)</f>
        <v>#REF!</v>
      </c>
      <c r="CW88" s="323"/>
      <c r="CX88" s="323"/>
      <c r="CY88" s="323"/>
      <c r="CZ88" s="323"/>
      <c r="DA88" s="323"/>
      <c r="DB88" s="323"/>
      <c r="DC88" s="323"/>
      <c r="DD88" s="323"/>
      <c r="DE88" s="323"/>
      <c r="DF88" s="323"/>
      <c r="DG88" s="323"/>
      <c r="DH88" s="323"/>
      <c r="DI88" s="55">
        <f t="shared" ref="DI88:DI93" si="153">SUM(CW88:DH88)</f>
        <v>0</v>
      </c>
    </row>
    <row r="89" spans="1:118" s="70" customFormat="1" ht="24.75" customHeight="1" thickBot="1" x14ac:dyDescent="0.25">
      <c r="A89" s="64">
        <v>2</v>
      </c>
      <c r="B89" s="90" t="s">
        <v>277</v>
      </c>
      <c r="C89" s="65" t="s">
        <v>275</v>
      </c>
      <c r="D89" s="61">
        <v>20</v>
      </c>
      <c r="E89" s="654">
        <v>20</v>
      </c>
      <c r="F89" s="67"/>
      <c r="G89" s="618"/>
      <c r="H89" s="429"/>
      <c r="I89" s="429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8">
        <f>SUM(E89:U89)</f>
        <v>20</v>
      </c>
      <c r="W89" s="117" t="s">
        <v>26</v>
      </c>
      <c r="X89" s="510">
        <v>28500</v>
      </c>
      <c r="Y89" s="659">
        <v>28000</v>
      </c>
      <c r="Z89" s="71"/>
      <c r="AA89" s="71"/>
      <c r="AB89" s="434"/>
      <c r="AC89" s="510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51">
        <f>D89*X89</f>
        <v>570000</v>
      </c>
      <c r="AQ89" s="556">
        <f t="shared" si="147"/>
        <v>560000</v>
      </c>
      <c r="AR89" s="52">
        <f t="shared" si="147"/>
        <v>0</v>
      </c>
      <c r="AS89" s="52">
        <f t="shared" si="147"/>
        <v>0</v>
      </c>
      <c r="AT89" s="52">
        <f t="shared" si="147"/>
        <v>0</v>
      </c>
      <c r="AU89" s="52">
        <f t="shared" si="147"/>
        <v>0</v>
      </c>
      <c r="AV89" s="52">
        <f t="shared" si="147"/>
        <v>0</v>
      </c>
      <c r="AW89" s="52">
        <f t="shared" si="147"/>
        <v>0</v>
      </c>
      <c r="AX89" s="52"/>
      <c r="AY89" s="52"/>
      <c r="AZ89" s="52"/>
      <c r="BA89" s="52"/>
      <c r="BB89" s="52"/>
      <c r="BC89" s="52"/>
      <c r="BD89" s="52">
        <f>AF89*L89</f>
        <v>0</v>
      </c>
      <c r="BE89" s="52">
        <f t="shared" si="148"/>
        <v>0</v>
      </c>
      <c r="BF89" s="52">
        <f t="shared" si="148"/>
        <v>0</v>
      </c>
      <c r="BG89" s="52">
        <f>AN89*U89</f>
        <v>0</v>
      </c>
      <c r="BH89" s="53">
        <f>SUM(AQ89:BG89)</f>
        <v>560000</v>
      </c>
      <c r="BI89" s="52">
        <f>SUM(AQ89*12%)</f>
        <v>67200</v>
      </c>
      <c r="BJ89" s="52">
        <f>SUM(AR89*14%)</f>
        <v>0</v>
      </c>
      <c r="BK89" s="52">
        <f>SUM(AS89*14%)</f>
        <v>0</v>
      </c>
      <c r="BL89" s="52">
        <f>SUM(AT89*14%)</f>
        <v>0</v>
      </c>
      <c r="BM89" s="52"/>
      <c r="BN89" s="52">
        <f>SUM(AV89*14%)</f>
        <v>0</v>
      </c>
      <c r="BO89" s="52"/>
      <c r="BP89" s="52"/>
      <c r="BQ89" s="52"/>
      <c r="BR89" s="52"/>
      <c r="BS89" s="52"/>
      <c r="BT89" s="52"/>
      <c r="BU89" s="52"/>
      <c r="BV89" s="52">
        <f>SUM(AW89*14%)</f>
        <v>0</v>
      </c>
      <c r="BW89" s="52">
        <f t="shared" si="149"/>
        <v>0</v>
      </c>
      <c r="BX89" s="52">
        <f t="shared" si="149"/>
        <v>0</v>
      </c>
      <c r="BY89" s="52">
        <f t="shared" si="149"/>
        <v>0</v>
      </c>
      <c r="BZ89" s="54">
        <f>SUM(BI89:BY89)</f>
        <v>67200</v>
      </c>
      <c r="CA89" s="72">
        <f>AP89-BH89</f>
        <v>10000</v>
      </c>
      <c r="CB89" s="73">
        <f>X89*D89</f>
        <v>570000</v>
      </c>
      <c r="CC89" s="74">
        <f>CB89-BH89</f>
        <v>10000</v>
      </c>
      <c r="CD89" s="99">
        <f>SUM(V89/D89)</f>
        <v>1</v>
      </c>
      <c r="CE89" s="105"/>
      <c r="CF89" s="556"/>
      <c r="CG89" s="556"/>
      <c r="CH89" s="567"/>
      <c r="CI89" s="561"/>
      <c r="CJ89" s="323"/>
      <c r="CK89" s="323"/>
      <c r="CL89" s="570">
        <f t="shared" si="150"/>
        <v>0</v>
      </c>
      <c r="CM89" s="323">
        <f t="shared" si="150"/>
        <v>0</v>
      </c>
      <c r="CN89" s="323">
        <f t="shared" si="150"/>
        <v>0</v>
      </c>
      <c r="CO89" s="323">
        <f t="shared" si="150"/>
        <v>0</v>
      </c>
      <c r="CP89" s="323">
        <f t="shared" si="150"/>
        <v>0</v>
      </c>
      <c r="CQ89" s="323">
        <f t="shared" si="151"/>
        <v>0</v>
      </c>
      <c r="CR89" s="323">
        <f t="shared" si="151"/>
        <v>0</v>
      </c>
      <c r="CS89" s="323">
        <f t="shared" si="151"/>
        <v>0</v>
      </c>
      <c r="CT89" s="323">
        <f t="shared" si="151"/>
        <v>0</v>
      </c>
      <c r="CU89" s="323" t="e">
        <f>SUM(#REF!*12.5%)</f>
        <v>#REF!</v>
      </c>
      <c r="CV89" s="55" t="e">
        <f t="shared" ref="CV89" si="154">SUM(CJ89:CU89)</f>
        <v>#REF!</v>
      </c>
      <c r="CW89" s="323"/>
      <c r="CX89" s="323"/>
      <c r="CY89" s="323"/>
      <c r="CZ89" s="323"/>
      <c r="DA89" s="323"/>
      <c r="DB89" s="323"/>
      <c r="DC89" s="323"/>
      <c r="DD89" s="323"/>
      <c r="DE89" s="323"/>
      <c r="DF89" s="323"/>
      <c r="DG89" s="323"/>
      <c r="DH89" s="323"/>
      <c r="DI89" s="55">
        <f t="shared" si="153"/>
        <v>0</v>
      </c>
    </row>
    <row r="90" spans="1:118" s="70" customFormat="1" ht="24.75" customHeight="1" thickBot="1" x14ac:dyDescent="0.25">
      <c r="A90" s="64">
        <v>3</v>
      </c>
      <c r="B90" s="90" t="s">
        <v>278</v>
      </c>
      <c r="C90" s="65" t="s">
        <v>275</v>
      </c>
      <c r="D90" s="61">
        <v>1</v>
      </c>
      <c r="E90" s="654">
        <v>1</v>
      </c>
      <c r="F90" s="67"/>
      <c r="G90" s="618"/>
      <c r="H90" s="429"/>
      <c r="I90" s="429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8">
        <f>SUM(E90:U90)</f>
        <v>1</v>
      </c>
      <c r="W90" s="117" t="s">
        <v>280</v>
      </c>
      <c r="X90" s="510">
        <v>42000</v>
      </c>
      <c r="Y90" s="659">
        <v>30000</v>
      </c>
      <c r="Z90" s="71"/>
      <c r="AA90" s="71"/>
      <c r="AB90" s="434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51">
        <f>D90*X90</f>
        <v>42000</v>
      </c>
      <c r="AQ90" s="556">
        <f t="shared" si="147"/>
        <v>30000</v>
      </c>
      <c r="AR90" s="52">
        <f t="shared" si="147"/>
        <v>0</v>
      </c>
      <c r="AS90" s="52">
        <f t="shared" si="147"/>
        <v>0</v>
      </c>
      <c r="AT90" s="52">
        <f t="shared" si="147"/>
        <v>0</v>
      </c>
      <c r="AU90" s="52">
        <f t="shared" si="147"/>
        <v>0</v>
      </c>
      <c r="AV90" s="52">
        <f t="shared" si="147"/>
        <v>0</v>
      </c>
      <c r="AW90" s="52">
        <f t="shared" si="147"/>
        <v>0</v>
      </c>
      <c r="AX90" s="52"/>
      <c r="AY90" s="52"/>
      <c r="AZ90" s="52"/>
      <c r="BA90" s="52"/>
      <c r="BB90" s="52"/>
      <c r="BC90" s="52"/>
      <c r="BD90" s="52">
        <f>AF90*L90</f>
        <v>0</v>
      </c>
      <c r="BE90" s="52">
        <f t="shared" si="148"/>
        <v>0</v>
      </c>
      <c r="BF90" s="52">
        <f t="shared" si="148"/>
        <v>0</v>
      </c>
      <c r="BG90" s="52">
        <f>AN90*U90</f>
        <v>0</v>
      </c>
      <c r="BH90" s="53">
        <f>SUM(AQ90:BG90)</f>
        <v>30000</v>
      </c>
      <c r="BI90" s="52"/>
      <c r="BJ90" s="52"/>
      <c r="BK90" s="52"/>
      <c r="BL90" s="52">
        <f>SUM(AT90*14%)</f>
        <v>0</v>
      </c>
      <c r="BM90" s="52">
        <f>SUM(AU90*14%)</f>
        <v>0</v>
      </c>
      <c r="BN90" s="52">
        <f>SUM(AV90*14%)</f>
        <v>0</v>
      </c>
      <c r="BO90" s="52"/>
      <c r="BP90" s="52"/>
      <c r="BQ90" s="52"/>
      <c r="BR90" s="52"/>
      <c r="BS90" s="52"/>
      <c r="BT90" s="52"/>
      <c r="BU90" s="52"/>
      <c r="BV90" s="52">
        <f>SUM(AW90*14%)</f>
        <v>0</v>
      </c>
      <c r="BW90" s="52">
        <f t="shared" si="149"/>
        <v>0</v>
      </c>
      <c r="BX90" s="52">
        <f t="shared" si="149"/>
        <v>0</v>
      </c>
      <c r="BY90" s="52">
        <f t="shared" si="149"/>
        <v>0</v>
      </c>
      <c r="BZ90" s="54">
        <f>SUM(BI90:BY90)</f>
        <v>0</v>
      </c>
      <c r="CA90" s="72">
        <f>AP90-BH90</f>
        <v>12000</v>
      </c>
      <c r="CB90" s="73">
        <f>X90*D90</f>
        <v>42000</v>
      </c>
      <c r="CC90" s="74">
        <f>CB90-BH90-BZ90</f>
        <v>12000</v>
      </c>
      <c r="CD90" s="99">
        <f>SUM(V90/D90)</f>
        <v>1</v>
      </c>
      <c r="CE90" s="105"/>
      <c r="CF90" s="556"/>
      <c r="CG90" s="556"/>
      <c r="CH90" s="567"/>
      <c r="CI90" s="561"/>
      <c r="CJ90" s="323"/>
      <c r="CK90" s="323"/>
      <c r="CL90" s="570">
        <f t="shared" si="150"/>
        <v>0</v>
      </c>
      <c r="CM90" s="323">
        <f t="shared" si="150"/>
        <v>0</v>
      </c>
      <c r="CN90" s="323">
        <f t="shared" si="150"/>
        <v>0</v>
      </c>
      <c r="CO90" s="323">
        <f t="shared" si="150"/>
        <v>0</v>
      </c>
      <c r="CP90" s="323">
        <f t="shared" si="150"/>
        <v>0</v>
      </c>
      <c r="CQ90" s="323">
        <f t="shared" si="151"/>
        <v>0</v>
      </c>
      <c r="CR90" s="323">
        <f t="shared" si="151"/>
        <v>0</v>
      </c>
      <c r="CS90" s="323">
        <f t="shared" si="151"/>
        <v>0</v>
      </c>
      <c r="CT90" s="323">
        <f t="shared" si="151"/>
        <v>0</v>
      </c>
      <c r="CU90" s="323" t="e">
        <f>SUM(#REF!*12.5%)</f>
        <v>#REF!</v>
      </c>
      <c r="CV90" s="55" t="e">
        <f t="shared" ref="CV90:CV93" si="155">SUM(CJ90:CU90)</f>
        <v>#REF!</v>
      </c>
      <c r="CW90" s="323"/>
      <c r="CX90" s="323"/>
      <c r="CY90" s="323"/>
      <c r="CZ90" s="323"/>
      <c r="DA90" s="323"/>
      <c r="DB90" s="323"/>
      <c r="DC90" s="323"/>
      <c r="DD90" s="323"/>
      <c r="DE90" s="323"/>
      <c r="DF90" s="323"/>
      <c r="DG90" s="323"/>
      <c r="DH90" s="323"/>
      <c r="DI90" s="55">
        <f t="shared" si="153"/>
        <v>0</v>
      </c>
    </row>
    <row r="91" spans="1:118" s="70" customFormat="1" ht="24.75" customHeight="1" thickBot="1" x14ac:dyDescent="0.25">
      <c r="A91" s="64">
        <v>4</v>
      </c>
      <c r="B91" s="90" t="s">
        <v>264</v>
      </c>
      <c r="C91" s="65" t="s">
        <v>275</v>
      </c>
      <c r="D91" s="61">
        <v>1</v>
      </c>
      <c r="E91" s="654">
        <v>1</v>
      </c>
      <c r="F91" s="67"/>
      <c r="G91" s="618"/>
      <c r="H91" s="429"/>
      <c r="I91" s="429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8">
        <f>SUM(E91:U91)</f>
        <v>1</v>
      </c>
      <c r="W91" s="117" t="s">
        <v>274</v>
      </c>
      <c r="X91" s="510">
        <v>200000</v>
      </c>
      <c r="Y91" s="659">
        <v>155000</v>
      </c>
      <c r="Z91" s="71"/>
      <c r="AA91" s="71"/>
      <c r="AB91" s="434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51">
        <f>D91*X91</f>
        <v>200000</v>
      </c>
      <c r="AQ91" s="556">
        <f t="shared" si="147"/>
        <v>155000</v>
      </c>
      <c r="AR91" s="52">
        <f t="shared" si="147"/>
        <v>0</v>
      </c>
      <c r="AS91" s="52">
        <f t="shared" si="147"/>
        <v>0</v>
      </c>
      <c r="AT91" s="52">
        <f t="shared" si="147"/>
        <v>0</v>
      </c>
      <c r="AU91" s="52">
        <f t="shared" si="147"/>
        <v>0</v>
      </c>
      <c r="AV91" s="52">
        <f t="shared" si="147"/>
        <v>0</v>
      </c>
      <c r="AW91" s="52">
        <f t="shared" si="147"/>
        <v>0</v>
      </c>
      <c r="AX91" s="52"/>
      <c r="AY91" s="52"/>
      <c r="AZ91" s="52"/>
      <c r="BA91" s="52"/>
      <c r="BB91" s="52"/>
      <c r="BC91" s="52"/>
      <c r="BD91" s="52">
        <f>AF91*L91</f>
        <v>0</v>
      </c>
      <c r="BE91" s="52">
        <f t="shared" si="148"/>
        <v>0</v>
      </c>
      <c r="BF91" s="52">
        <f t="shared" si="148"/>
        <v>0</v>
      </c>
      <c r="BG91" s="52">
        <f>AN91*U91</f>
        <v>0</v>
      </c>
      <c r="BH91" s="53">
        <f>SUM(AQ91:BG91)</f>
        <v>155000</v>
      </c>
      <c r="BI91" s="52"/>
      <c r="BJ91" s="52">
        <f>SUM(AR91*14%)</f>
        <v>0</v>
      </c>
      <c r="BK91" s="52">
        <f>SUM(AS91*14%)</f>
        <v>0</v>
      </c>
      <c r="BL91" s="52">
        <f>SUM(AT91*14%)</f>
        <v>0</v>
      </c>
      <c r="BM91" s="52">
        <f>SUM(AU91*14%)</f>
        <v>0</v>
      </c>
      <c r="BN91" s="52">
        <f>SUM(AV91*14%)</f>
        <v>0</v>
      </c>
      <c r="BO91" s="52"/>
      <c r="BP91" s="52"/>
      <c r="BQ91" s="52"/>
      <c r="BR91" s="52"/>
      <c r="BS91" s="52"/>
      <c r="BT91" s="52"/>
      <c r="BU91" s="52"/>
      <c r="BV91" s="52">
        <f>SUM(AW91*14%)</f>
        <v>0</v>
      </c>
      <c r="BW91" s="52">
        <f t="shared" si="149"/>
        <v>0</v>
      </c>
      <c r="BX91" s="52">
        <f t="shared" si="149"/>
        <v>0</v>
      </c>
      <c r="BY91" s="52">
        <f t="shared" si="149"/>
        <v>0</v>
      </c>
      <c r="BZ91" s="54">
        <f>SUM(BI91:BY91)</f>
        <v>0</v>
      </c>
      <c r="CA91" s="72">
        <f>AP91-BH91</f>
        <v>45000</v>
      </c>
      <c r="CB91" s="73">
        <f>X91*D91</f>
        <v>200000</v>
      </c>
      <c r="CC91" s="74">
        <f>CB91-BH91-BZ91</f>
        <v>45000</v>
      </c>
      <c r="CD91" s="99">
        <f>SUM(V91/D91)</f>
        <v>1</v>
      </c>
      <c r="CE91" s="105"/>
      <c r="CF91" s="556"/>
      <c r="CG91" s="556"/>
      <c r="CH91" s="567"/>
      <c r="CI91" s="561"/>
      <c r="CJ91" s="323"/>
      <c r="CK91" s="323"/>
      <c r="CL91" s="570">
        <f t="shared" si="150"/>
        <v>0</v>
      </c>
      <c r="CM91" s="323">
        <f t="shared" si="150"/>
        <v>0</v>
      </c>
      <c r="CN91" s="323">
        <f t="shared" si="150"/>
        <v>0</v>
      </c>
      <c r="CO91" s="323">
        <f t="shared" si="150"/>
        <v>0</v>
      </c>
      <c r="CP91" s="323">
        <f t="shared" si="150"/>
        <v>0</v>
      </c>
      <c r="CQ91" s="323">
        <f t="shared" si="151"/>
        <v>0</v>
      </c>
      <c r="CR91" s="323">
        <f t="shared" si="151"/>
        <v>0</v>
      </c>
      <c r="CS91" s="323">
        <f t="shared" si="151"/>
        <v>0</v>
      </c>
      <c r="CT91" s="323">
        <f t="shared" si="151"/>
        <v>0</v>
      </c>
      <c r="CU91" s="323" t="e">
        <f>SUM(#REF!*12.5%)</f>
        <v>#REF!</v>
      </c>
      <c r="CV91" s="55" t="e">
        <f t="shared" si="155"/>
        <v>#REF!</v>
      </c>
      <c r="CW91" s="323"/>
      <c r="CX91" s="323"/>
      <c r="CY91" s="323"/>
      <c r="CZ91" s="323"/>
      <c r="DA91" s="323"/>
      <c r="DB91" s="323"/>
      <c r="DC91" s="323"/>
      <c r="DD91" s="323"/>
      <c r="DE91" s="323"/>
      <c r="DF91" s="323"/>
      <c r="DG91" s="323"/>
      <c r="DH91" s="323"/>
      <c r="DI91" s="55">
        <f t="shared" si="153"/>
        <v>0</v>
      </c>
    </row>
    <row r="92" spans="1:118" s="554" customFormat="1" ht="24.75" customHeight="1" thickBot="1" x14ac:dyDescent="0.25">
      <c r="A92" s="546">
        <v>5</v>
      </c>
      <c r="B92" s="282" t="s">
        <v>279</v>
      </c>
      <c r="C92" s="65" t="s">
        <v>275</v>
      </c>
      <c r="D92" s="547">
        <v>10</v>
      </c>
      <c r="E92" s="642">
        <v>10</v>
      </c>
      <c r="F92" s="23"/>
      <c r="G92" s="618"/>
      <c r="H92" s="634"/>
      <c r="I92" s="6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4">
        <f>SUM(E92:U92)</f>
        <v>10</v>
      </c>
      <c r="W92" s="119" t="s">
        <v>6</v>
      </c>
      <c r="X92" s="548">
        <v>113500</v>
      </c>
      <c r="Y92" s="643">
        <v>110000</v>
      </c>
      <c r="Z92" s="555"/>
      <c r="AA92" s="630"/>
      <c r="AB92" s="630"/>
      <c r="AC92" s="630"/>
      <c r="AD92" s="549"/>
      <c r="AE92" s="549"/>
      <c r="AF92" s="549"/>
      <c r="AG92" s="549"/>
      <c r="AH92" s="549"/>
      <c r="AI92" s="549"/>
      <c r="AJ92" s="549"/>
      <c r="AK92" s="549"/>
      <c r="AL92" s="549"/>
      <c r="AM92" s="549"/>
      <c r="AN92" s="549"/>
      <c r="AO92" s="549"/>
      <c r="AP92" s="51">
        <f>D92*X92</f>
        <v>1135000</v>
      </c>
      <c r="AQ92" s="556">
        <f t="shared" si="147"/>
        <v>1100000</v>
      </c>
      <c r="AR92" s="52">
        <f t="shared" si="147"/>
        <v>0</v>
      </c>
      <c r="AS92" s="570">
        <f t="shared" si="147"/>
        <v>0</v>
      </c>
      <c r="AT92" s="570">
        <f t="shared" si="147"/>
        <v>0</v>
      </c>
      <c r="AU92" s="52">
        <f t="shared" si="147"/>
        <v>0</v>
      </c>
      <c r="AV92" s="52">
        <f t="shared" si="147"/>
        <v>0</v>
      </c>
      <c r="AW92" s="52">
        <f t="shared" si="147"/>
        <v>0</v>
      </c>
      <c r="AX92" s="52"/>
      <c r="AY92" s="52"/>
      <c r="AZ92" s="52"/>
      <c r="BA92" s="52"/>
      <c r="BB92" s="52"/>
      <c r="BC92" s="52"/>
      <c r="BD92" s="52">
        <f>AF92*L92</f>
        <v>0</v>
      </c>
      <c r="BE92" s="52">
        <f t="shared" si="148"/>
        <v>0</v>
      </c>
      <c r="BF92" s="52">
        <f t="shared" si="148"/>
        <v>0</v>
      </c>
      <c r="BG92" s="52">
        <f>AN92*U92</f>
        <v>0</v>
      </c>
      <c r="BH92" s="53">
        <f>SUM(AQ92:BG92)</f>
        <v>1100000</v>
      </c>
      <c r="BI92" s="52">
        <v>0</v>
      </c>
      <c r="BJ92" s="52"/>
      <c r="BK92" s="52"/>
      <c r="BL92" s="52"/>
      <c r="BM92" s="52"/>
      <c r="BN92" s="52">
        <f>SUM(AV92*14%)</f>
        <v>0</v>
      </c>
      <c r="BO92" s="52"/>
      <c r="BP92" s="52"/>
      <c r="BQ92" s="52"/>
      <c r="BR92" s="52"/>
      <c r="BS92" s="52"/>
      <c r="BT92" s="52"/>
      <c r="BU92" s="52"/>
      <c r="BV92" s="52">
        <f>SUM(AW92*14%)</f>
        <v>0</v>
      </c>
      <c r="BW92" s="52">
        <f t="shared" si="149"/>
        <v>0</v>
      </c>
      <c r="BX92" s="52">
        <f t="shared" si="149"/>
        <v>0</v>
      </c>
      <c r="BY92" s="52">
        <f t="shared" si="149"/>
        <v>0</v>
      </c>
      <c r="BZ92" s="54">
        <f>SUM(BI92:BY92)</f>
        <v>0</v>
      </c>
      <c r="CA92" s="72">
        <f>AP92-BH92</f>
        <v>35000</v>
      </c>
      <c r="CB92" s="551">
        <f>X92*D92</f>
        <v>1135000</v>
      </c>
      <c r="CC92" s="552">
        <f>CB92-BH92-BZ92</f>
        <v>35000</v>
      </c>
      <c r="CD92" s="553">
        <f>SUM(V92/D92)</f>
        <v>1</v>
      </c>
      <c r="CE92" s="109"/>
      <c r="CF92" s="556"/>
      <c r="CG92" s="556"/>
      <c r="CH92" s="567"/>
      <c r="CI92" s="561"/>
      <c r="CJ92" s="323"/>
      <c r="CK92" s="323"/>
      <c r="CL92" s="570">
        <f t="shared" si="150"/>
        <v>0</v>
      </c>
      <c r="CM92" s="323">
        <f t="shared" si="150"/>
        <v>0</v>
      </c>
      <c r="CN92" s="323">
        <f t="shared" si="150"/>
        <v>0</v>
      </c>
      <c r="CO92" s="323">
        <f t="shared" si="150"/>
        <v>0</v>
      </c>
      <c r="CP92" s="323">
        <f t="shared" si="150"/>
        <v>0</v>
      </c>
      <c r="CQ92" s="323">
        <f t="shared" si="151"/>
        <v>0</v>
      </c>
      <c r="CR92" s="323">
        <f t="shared" si="151"/>
        <v>0</v>
      </c>
      <c r="CS92" s="323">
        <f t="shared" si="151"/>
        <v>0</v>
      </c>
      <c r="CT92" s="323">
        <f t="shared" si="151"/>
        <v>0</v>
      </c>
      <c r="CU92" s="323" t="e">
        <f>SUM(#REF!*12.5%)</f>
        <v>#REF!</v>
      </c>
      <c r="CV92" s="55" t="e">
        <f t="shared" si="155"/>
        <v>#REF!</v>
      </c>
      <c r="CW92" s="323"/>
      <c r="CX92" s="323"/>
      <c r="CY92" s="323"/>
      <c r="CZ92" s="323"/>
      <c r="DA92" s="323"/>
      <c r="DB92" s="323"/>
      <c r="DC92" s="323"/>
      <c r="DD92" s="323"/>
      <c r="DE92" s="323"/>
      <c r="DF92" s="323"/>
      <c r="DG92" s="323"/>
      <c r="DH92" s="323"/>
      <c r="DI92" s="55">
        <f t="shared" si="153"/>
        <v>0</v>
      </c>
    </row>
    <row r="93" spans="1:118" s="27" customFormat="1" ht="24.75" customHeight="1" thickBot="1" x14ac:dyDescent="0.25">
      <c r="A93" s="30"/>
      <c r="B93" s="31" t="s">
        <v>4</v>
      </c>
      <c r="C93" s="31"/>
      <c r="D93" s="132"/>
      <c r="E93" s="33"/>
      <c r="F93" s="33"/>
      <c r="G93" s="33"/>
      <c r="H93" s="33"/>
      <c r="I93" s="641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4"/>
      <c r="W93" s="58"/>
      <c r="X93" s="76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8">
        <f t="shared" ref="AP93:CC93" si="156">SUM(AP88:AP92)</f>
        <v>2050000</v>
      </c>
      <c r="AQ93" s="737">
        <f>SUM(AQ88:AQ92)</f>
        <v>1948000</v>
      </c>
      <c r="AR93" s="78">
        <f t="shared" si="156"/>
        <v>0</v>
      </c>
      <c r="AS93" s="78">
        <f t="shared" si="156"/>
        <v>0</v>
      </c>
      <c r="AT93" s="78">
        <f t="shared" si="156"/>
        <v>0</v>
      </c>
      <c r="AU93" s="78">
        <f t="shared" si="156"/>
        <v>0</v>
      </c>
      <c r="AV93" s="78">
        <f t="shared" si="156"/>
        <v>0</v>
      </c>
      <c r="AW93" s="78">
        <f t="shared" si="156"/>
        <v>0</v>
      </c>
      <c r="AX93" s="78"/>
      <c r="AY93" s="78"/>
      <c r="AZ93" s="78"/>
      <c r="BA93" s="78"/>
      <c r="BB93" s="78"/>
      <c r="BC93" s="78"/>
      <c r="BD93" s="78">
        <f t="shared" si="156"/>
        <v>0</v>
      </c>
      <c r="BE93" s="78">
        <f t="shared" si="156"/>
        <v>0</v>
      </c>
      <c r="BF93" s="78">
        <f t="shared" si="156"/>
        <v>0</v>
      </c>
      <c r="BG93" s="78">
        <f t="shared" si="156"/>
        <v>0</v>
      </c>
      <c r="BH93" s="78">
        <f t="shared" si="156"/>
        <v>1948000</v>
      </c>
      <c r="BI93" s="78">
        <f t="shared" si="156"/>
        <v>79560</v>
      </c>
      <c r="BJ93" s="78">
        <f t="shared" si="156"/>
        <v>0</v>
      </c>
      <c r="BK93" s="78">
        <f t="shared" si="156"/>
        <v>0</v>
      </c>
      <c r="BL93" s="78">
        <f t="shared" si="156"/>
        <v>0</v>
      </c>
      <c r="BM93" s="78">
        <f t="shared" si="156"/>
        <v>0</v>
      </c>
      <c r="BN93" s="78">
        <f t="shared" si="156"/>
        <v>0</v>
      </c>
      <c r="BO93" s="78"/>
      <c r="BP93" s="78"/>
      <c r="BQ93" s="78"/>
      <c r="BR93" s="78"/>
      <c r="BS93" s="78"/>
      <c r="BT93" s="78"/>
      <c r="BU93" s="78"/>
      <c r="BV93" s="78">
        <f t="shared" si="156"/>
        <v>0</v>
      </c>
      <c r="BW93" s="78">
        <f t="shared" si="156"/>
        <v>0</v>
      </c>
      <c r="BX93" s="78">
        <f t="shared" si="156"/>
        <v>0</v>
      </c>
      <c r="BY93" s="78">
        <f t="shared" si="156"/>
        <v>0</v>
      </c>
      <c r="BZ93" s="78">
        <f t="shared" si="156"/>
        <v>79560</v>
      </c>
      <c r="CA93" s="78">
        <f t="shared" si="156"/>
        <v>102000</v>
      </c>
      <c r="CB93" s="78">
        <f t="shared" si="156"/>
        <v>2050000</v>
      </c>
      <c r="CC93" s="78">
        <f t="shared" si="156"/>
        <v>102000</v>
      </c>
      <c r="CD93" s="100">
        <v>1</v>
      </c>
      <c r="CE93" s="106"/>
      <c r="CF93" s="556"/>
      <c r="CG93" s="556"/>
      <c r="CH93" s="567"/>
      <c r="CI93" s="561"/>
      <c r="CJ93" s="323"/>
      <c r="CK93" s="323"/>
      <c r="CL93" s="570">
        <f t="shared" si="150"/>
        <v>0</v>
      </c>
      <c r="CM93" s="323">
        <f t="shared" si="150"/>
        <v>0</v>
      </c>
      <c r="CN93" s="323">
        <f t="shared" si="150"/>
        <v>0</v>
      </c>
      <c r="CO93" s="323">
        <f t="shared" si="150"/>
        <v>0</v>
      </c>
      <c r="CP93" s="323">
        <f t="shared" si="150"/>
        <v>0</v>
      </c>
      <c r="CQ93" s="323">
        <f t="shared" si="151"/>
        <v>0</v>
      </c>
      <c r="CR93" s="323">
        <f t="shared" si="151"/>
        <v>0</v>
      </c>
      <c r="CS93" s="323">
        <f t="shared" si="151"/>
        <v>0</v>
      </c>
      <c r="CT93" s="323">
        <f t="shared" si="151"/>
        <v>0</v>
      </c>
      <c r="CU93" s="323" t="e">
        <f>SUM(#REF!*12.5%)</f>
        <v>#REF!</v>
      </c>
      <c r="CV93" s="55" t="e">
        <f t="shared" si="155"/>
        <v>#REF!</v>
      </c>
      <c r="CW93" s="323"/>
      <c r="CX93" s="323"/>
      <c r="CY93" s="323"/>
      <c r="CZ93" s="323"/>
      <c r="DA93" s="323"/>
      <c r="DB93" s="323"/>
      <c r="DC93" s="323"/>
      <c r="DD93" s="323"/>
      <c r="DE93" s="323"/>
      <c r="DF93" s="323"/>
      <c r="DG93" s="323"/>
      <c r="DH93" s="323"/>
      <c r="DI93" s="55">
        <f t="shared" si="153"/>
        <v>0</v>
      </c>
    </row>
    <row r="94" spans="1:118" s="16" customFormat="1" ht="24.75" customHeight="1" x14ac:dyDescent="0.2">
      <c r="A94" s="37"/>
      <c r="D94" s="133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AO94" s="28"/>
      <c r="BH94" s="38"/>
      <c r="BZ94" s="39">
        <f>SUM(BH93+BZ93)</f>
        <v>2027560</v>
      </c>
      <c r="CA94" s="40">
        <f>AP93-BH93</f>
        <v>102000</v>
      </c>
      <c r="CB94" s="41">
        <f>SUM(CC93+BH93)</f>
        <v>2050000</v>
      </c>
      <c r="CC94" s="42">
        <f>SUM(CA93)</f>
        <v>102000</v>
      </c>
      <c r="CD94" s="28" t="s">
        <v>29</v>
      </c>
      <c r="CE94" s="107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</row>
    <row r="95" spans="1:118" s="5" customFormat="1" ht="15.75" x14ac:dyDescent="0.2">
      <c r="A95" s="45"/>
      <c r="C95" s="45"/>
      <c r="D95" s="14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37"/>
      <c r="W95" s="7"/>
      <c r="X95" s="6"/>
      <c r="AO95" s="47"/>
      <c r="AP95" s="46"/>
      <c r="BH95" s="48"/>
      <c r="BZ95" s="48"/>
      <c r="CA95" s="48"/>
      <c r="CB95" s="116"/>
      <c r="CC95" s="44">
        <f>SUM(CC93-CC94)</f>
        <v>0</v>
      </c>
      <c r="CD95" s="28" t="s">
        <v>28</v>
      </c>
      <c r="CE95" s="104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</row>
    <row r="96" spans="1:118" s="5" customFormat="1" ht="15.75" x14ac:dyDescent="0.2">
      <c r="A96" s="45"/>
      <c r="C96" s="45"/>
      <c r="D96" s="14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37"/>
      <c r="W96" s="7"/>
      <c r="X96" s="6"/>
      <c r="AO96" s="47"/>
      <c r="AP96" s="46"/>
      <c r="BH96" s="48"/>
      <c r="BZ96" s="48"/>
      <c r="CA96" s="48"/>
      <c r="CB96" s="116"/>
      <c r="CC96" s="116"/>
      <c r="CE96" s="104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</row>
    <row r="97" spans="1:100" s="5" customFormat="1" ht="15.75" x14ac:dyDescent="0.2">
      <c r="A97" s="45"/>
      <c r="C97" s="45"/>
      <c r="D97" s="14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37"/>
      <c r="W97" s="7"/>
      <c r="X97" s="6"/>
      <c r="AO97" s="47"/>
      <c r="AP97" s="46"/>
      <c r="BH97" s="48"/>
      <c r="BZ97" s="48"/>
      <c r="CA97" s="48"/>
      <c r="CB97" s="116"/>
      <c r="CC97" s="116"/>
      <c r="CE97" s="104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</row>
    <row r="98" spans="1:100" s="5" customFormat="1" ht="15.75" x14ac:dyDescent="0.2">
      <c r="A98" s="45"/>
      <c r="C98" s="45"/>
      <c r="D98" s="14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37"/>
      <c r="W98" s="7"/>
      <c r="X98" s="6"/>
      <c r="AO98" s="47"/>
      <c r="AP98" s="46"/>
      <c r="BH98" s="48"/>
      <c r="BZ98" s="48"/>
      <c r="CA98" s="48"/>
      <c r="CB98" s="116"/>
      <c r="CC98" s="116"/>
      <c r="CE98" s="104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</row>
    <row r="99" spans="1:100" s="5" customFormat="1" ht="15.75" x14ac:dyDescent="0.2">
      <c r="A99" s="45"/>
      <c r="C99" s="45"/>
      <c r="D99" s="14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37"/>
      <c r="W99" s="7"/>
      <c r="X99" s="6"/>
      <c r="AO99" s="47"/>
      <c r="AP99" s="46"/>
      <c r="BH99" s="48"/>
      <c r="BZ99" s="48"/>
      <c r="CA99" s="48"/>
      <c r="CB99" s="116"/>
      <c r="CC99" s="116"/>
      <c r="CE99" s="104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</row>
    <row r="100" spans="1:100" s="5" customFormat="1" ht="15.75" x14ac:dyDescent="0.2">
      <c r="A100" s="45"/>
      <c r="C100" s="45"/>
      <c r="D100" s="14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37"/>
      <c r="W100" s="7"/>
      <c r="X100" s="6"/>
      <c r="AO100" s="47"/>
      <c r="AP100" s="46"/>
      <c r="BH100" s="48"/>
      <c r="BZ100" s="48"/>
      <c r="CA100" s="48"/>
      <c r="CB100" s="116"/>
      <c r="CC100" s="116"/>
      <c r="CE100" s="104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</row>
    <row r="101" spans="1:100" s="5" customFormat="1" ht="15.75" x14ac:dyDescent="0.2">
      <c r="A101" s="45"/>
      <c r="C101" s="45"/>
      <c r="D101" s="14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37"/>
      <c r="W101" s="7"/>
      <c r="X101" s="6"/>
      <c r="AO101" s="47"/>
      <c r="AP101" s="46"/>
      <c r="BH101" s="48"/>
      <c r="BZ101" s="48"/>
      <c r="CA101" s="48"/>
      <c r="CB101" s="116"/>
      <c r="CC101" s="116"/>
      <c r="CE101" s="104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</row>
    <row r="102" spans="1:100" s="5" customFormat="1" ht="15.75" x14ac:dyDescent="0.2">
      <c r="A102" s="45"/>
      <c r="C102" s="45"/>
      <c r="D102" s="147"/>
      <c r="E102" s="14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37"/>
      <c r="W102" s="7"/>
      <c r="X102" s="6"/>
      <c r="AO102" s="47"/>
      <c r="AP102" s="46"/>
      <c r="BH102" s="48"/>
      <c r="BI102" s="5">
        <f>SUM(AQ102*4%)</f>
        <v>0</v>
      </c>
      <c r="BZ102" s="48"/>
      <c r="CA102" s="48"/>
      <c r="CB102" s="116"/>
      <c r="CC102" s="116"/>
      <c r="CE102" s="104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</row>
    <row r="103" spans="1:100" s="5" customFormat="1" ht="15.75" x14ac:dyDescent="0.2">
      <c r="A103" s="45"/>
      <c r="C103" s="45"/>
      <c r="D103" s="147"/>
      <c r="E103" s="14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37"/>
      <c r="W103" s="7"/>
      <c r="X103" s="6"/>
      <c r="AO103" s="47"/>
      <c r="AP103" s="46"/>
      <c r="BH103" s="48"/>
      <c r="BI103" s="5">
        <f t="shared" ref="BI103:BI104" si="157">SUM(AQ103*4%)</f>
        <v>0</v>
      </c>
      <c r="BZ103" s="48"/>
      <c r="CA103" s="48"/>
      <c r="CB103" s="116"/>
      <c r="CC103" s="116"/>
      <c r="CE103" s="104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</row>
    <row r="104" spans="1:100" s="5" customFormat="1" ht="15.75" x14ac:dyDescent="0.2">
      <c r="A104" s="45"/>
      <c r="C104" s="45"/>
      <c r="D104" s="147"/>
      <c r="E104" s="14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37"/>
      <c r="W104" s="7"/>
      <c r="X104" s="6"/>
      <c r="AO104" s="47"/>
      <c r="AP104" s="46"/>
      <c r="BH104" s="48"/>
      <c r="BI104" s="5">
        <f t="shared" si="157"/>
        <v>0</v>
      </c>
      <c r="BZ104" s="48"/>
      <c r="CA104" s="48"/>
      <c r="CB104" s="116"/>
      <c r="CC104" s="116"/>
      <c r="CE104" s="104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</row>
    <row r="105" spans="1:100" s="5" customFormat="1" ht="15.75" x14ac:dyDescent="0.2">
      <c r="A105" s="45"/>
      <c r="C105" s="45"/>
      <c r="D105" s="147"/>
      <c r="E105" s="14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37"/>
      <c r="W105" s="7"/>
      <c r="X105" s="6"/>
      <c r="AO105" s="47"/>
      <c r="AP105" s="46"/>
      <c r="BH105" s="48"/>
      <c r="BZ105" s="48"/>
      <c r="CA105" s="48"/>
      <c r="CB105" s="116"/>
      <c r="CC105" s="116"/>
      <c r="CE105" s="104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</row>
    <row r="106" spans="1:100" s="5" customFormat="1" ht="15.75" x14ac:dyDescent="0.2">
      <c r="A106" s="45"/>
      <c r="C106" s="45"/>
      <c r="D106" s="147"/>
      <c r="E106" s="14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37"/>
      <c r="W106" s="7"/>
      <c r="X106" s="6"/>
      <c r="AO106" s="47"/>
      <c r="AP106" s="46"/>
      <c r="BH106" s="48"/>
      <c r="BZ106" s="48"/>
      <c r="CA106" s="48"/>
      <c r="CB106" s="116"/>
      <c r="CC106" s="116"/>
      <c r="CE106" s="104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</row>
    <row r="107" spans="1:100" s="5" customFormat="1" ht="15.75" x14ac:dyDescent="0.2">
      <c r="A107" s="45"/>
      <c r="C107" s="45"/>
      <c r="D107" s="14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37"/>
      <c r="W107" s="7"/>
      <c r="X107" s="6"/>
      <c r="AO107" s="47"/>
      <c r="AP107" s="46"/>
      <c r="BH107" s="48"/>
      <c r="BZ107" s="48"/>
      <c r="CA107" s="48"/>
      <c r="CB107" s="116"/>
      <c r="CC107" s="116"/>
      <c r="CE107" s="104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</row>
    <row r="108" spans="1:100" s="5" customFormat="1" ht="15.75" x14ac:dyDescent="0.2">
      <c r="A108" s="45"/>
      <c r="C108" s="45"/>
      <c r="D108" s="14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37"/>
      <c r="W108" s="7"/>
      <c r="X108" s="6"/>
      <c r="AO108" s="47"/>
      <c r="AP108" s="46"/>
      <c r="BH108" s="48"/>
      <c r="BZ108" s="48"/>
      <c r="CA108" s="48"/>
      <c r="CB108" s="116"/>
      <c r="CC108" s="116"/>
      <c r="CE108" s="104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</row>
    <row r="109" spans="1:100" s="5" customFormat="1" ht="15.75" x14ac:dyDescent="0.2">
      <c r="A109" s="45"/>
      <c r="C109" s="45"/>
      <c r="D109" s="14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37"/>
      <c r="W109" s="7"/>
      <c r="X109" s="6"/>
      <c r="AO109" s="47"/>
      <c r="AP109" s="46"/>
      <c r="BH109" s="48"/>
      <c r="BZ109" s="48"/>
      <c r="CA109" s="48"/>
      <c r="CB109" s="116"/>
      <c r="CC109" s="116"/>
      <c r="CE109" s="104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</row>
    <row r="110" spans="1:100" s="5" customFormat="1" ht="15.75" x14ac:dyDescent="0.2">
      <c r="A110" s="45"/>
      <c r="C110" s="45"/>
      <c r="D110" s="14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37"/>
      <c r="W110" s="7"/>
      <c r="X110" s="6"/>
      <c r="AO110" s="47"/>
      <c r="AP110" s="46"/>
      <c r="BH110" s="48"/>
      <c r="BZ110" s="48"/>
      <c r="CA110" s="48"/>
      <c r="CB110" s="116"/>
      <c r="CC110" s="116"/>
      <c r="CE110" s="104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</row>
    <row r="111" spans="1:100" s="5" customFormat="1" ht="15.75" x14ac:dyDescent="0.2">
      <c r="A111" s="45"/>
      <c r="C111" s="45"/>
      <c r="D111" s="14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37"/>
      <c r="W111" s="7"/>
      <c r="X111" s="6"/>
      <c r="AO111" s="47"/>
      <c r="AP111" s="46"/>
      <c r="BH111" s="48"/>
      <c r="BZ111" s="48"/>
      <c r="CA111" s="48"/>
      <c r="CB111" s="116"/>
      <c r="CC111" s="116"/>
      <c r="CE111" s="104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</row>
    <row r="112" spans="1:100" s="5" customFormat="1" ht="15.75" x14ac:dyDescent="0.2">
      <c r="A112" s="45"/>
      <c r="C112" s="45"/>
      <c r="D112" s="14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37"/>
      <c r="W112" s="7"/>
      <c r="X112" s="6"/>
      <c r="AO112" s="47"/>
      <c r="AP112" s="46"/>
      <c r="BH112" s="48"/>
      <c r="BZ112" s="48"/>
      <c r="CA112" s="48"/>
      <c r="CB112" s="116"/>
      <c r="CC112" s="116"/>
      <c r="CE112" s="104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</row>
    <row r="113" spans="1:100" s="5" customFormat="1" ht="15.75" x14ac:dyDescent="0.2">
      <c r="A113" s="45"/>
      <c r="C113" s="45"/>
      <c r="D113" s="14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37"/>
      <c r="W113" s="7"/>
      <c r="X113" s="6"/>
      <c r="AO113" s="47"/>
      <c r="AP113" s="46"/>
      <c r="BH113" s="48"/>
      <c r="BZ113" s="48"/>
      <c r="CA113" s="48"/>
      <c r="CB113" s="116"/>
      <c r="CC113" s="116"/>
      <c r="CE113" s="104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</row>
    <row r="114" spans="1:100" s="5" customFormat="1" ht="15.75" x14ac:dyDescent="0.2">
      <c r="A114" s="45"/>
      <c r="C114" s="45"/>
      <c r="D114" s="14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37"/>
      <c r="W114" s="7"/>
      <c r="X114" s="6"/>
      <c r="AO114" s="47"/>
      <c r="AP114" s="46"/>
      <c r="BH114" s="48"/>
      <c r="BZ114" s="48"/>
      <c r="CA114" s="48"/>
      <c r="CB114" s="116"/>
      <c r="CC114" s="116"/>
      <c r="CE114" s="104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</row>
    <row r="115" spans="1:100" s="5" customFormat="1" ht="15.75" x14ac:dyDescent="0.2">
      <c r="A115" s="45"/>
      <c r="C115" s="45"/>
      <c r="D115" s="14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37"/>
      <c r="W115" s="7"/>
      <c r="X115" s="6"/>
      <c r="AO115" s="47"/>
      <c r="AP115" s="46"/>
      <c r="BH115" s="48"/>
      <c r="BZ115" s="48"/>
      <c r="CA115" s="48"/>
      <c r="CB115" s="116"/>
      <c r="CC115" s="116"/>
      <c r="CE115" s="104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</row>
    <row r="116" spans="1:100" s="5" customFormat="1" ht="15.75" x14ac:dyDescent="0.2">
      <c r="A116" s="45"/>
      <c r="C116" s="45"/>
      <c r="D116" s="14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37"/>
      <c r="W116" s="7"/>
      <c r="X116" s="6"/>
      <c r="AO116" s="47"/>
      <c r="AP116" s="46"/>
      <c r="BH116" s="48"/>
      <c r="BZ116" s="48"/>
      <c r="CA116" s="48"/>
      <c r="CB116" s="116"/>
      <c r="CC116" s="116"/>
      <c r="CE116" s="104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</row>
    <row r="117" spans="1:100" s="5" customFormat="1" ht="15.75" x14ac:dyDescent="0.2">
      <c r="A117" s="45"/>
      <c r="C117" s="45"/>
      <c r="D117" s="14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37"/>
      <c r="W117" s="7"/>
      <c r="X117" s="6"/>
      <c r="AO117" s="47"/>
      <c r="AP117" s="46"/>
      <c r="BH117" s="48"/>
      <c r="BZ117" s="48"/>
      <c r="CA117" s="48"/>
      <c r="CB117" s="116"/>
      <c r="CC117" s="116"/>
      <c r="CE117" s="104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</row>
    <row r="118" spans="1:100" s="5" customFormat="1" ht="15.75" x14ac:dyDescent="0.2">
      <c r="A118" s="45"/>
      <c r="C118" s="45"/>
      <c r="D118" s="14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37"/>
      <c r="W118" s="7"/>
      <c r="X118" s="6"/>
      <c r="AO118" s="47"/>
      <c r="AP118" s="46"/>
      <c r="BH118" s="48"/>
      <c r="BZ118" s="48"/>
      <c r="CA118" s="48"/>
      <c r="CB118" s="116"/>
      <c r="CC118" s="116"/>
      <c r="CE118" s="104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</row>
    <row r="119" spans="1:100" s="5" customFormat="1" ht="15.75" x14ac:dyDescent="0.2">
      <c r="A119" s="45"/>
      <c r="C119" s="45"/>
      <c r="D119" s="14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37"/>
      <c r="W119" s="7"/>
      <c r="X119" s="6"/>
      <c r="AO119" s="47"/>
      <c r="AP119" s="46"/>
      <c r="BH119" s="48"/>
      <c r="BZ119" s="48"/>
      <c r="CA119" s="48"/>
      <c r="CB119" s="116"/>
      <c r="CC119" s="116"/>
      <c r="CE119" s="104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</row>
    <row r="120" spans="1:100" s="5" customFormat="1" ht="15.75" x14ac:dyDescent="0.2">
      <c r="A120" s="45"/>
      <c r="C120" s="45"/>
      <c r="D120" s="14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37"/>
      <c r="W120" s="7"/>
      <c r="X120" s="6"/>
      <c r="AO120" s="47"/>
      <c r="AP120" s="46"/>
      <c r="BH120" s="48"/>
      <c r="BZ120" s="48"/>
      <c r="CA120" s="48"/>
      <c r="CB120" s="116"/>
      <c r="CC120" s="116"/>
      <c r="CE120" s="104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</row>
    <row r="121" spans="1:100" s="5" customFormat="1" ht="15.75" x14ac:dyDescent="0.2">
      <c r="A121" s="45"/>
      <c r="C121" s="45"/>
      <c r="D121" s="14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37"/>
      <c r="W121" s="7"/>
      <c r="X121" s="6"/>
      <c r="AO121" s="47"/>
      <c r="AP121" s="46"/>
      <c r="BH121" s="48"/>
      <c r="BZ121" s="48"/>
      <c r="CA121" s="48"/>
      <c r="CB121" s="116"/>
      <c r="CC121" s="116"/>
      <c r="CE121" s="104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</row>
    <row r="122" spans="1:100" s="5" customFormat="1" ht="15.75" x14ac:dyDescent="0.2">
      <c r="A122" s="45"/>
      <c r="C122" s="45"/>
      <c r="D122" s="14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37"/>
      <c r="W122" s="7"/>
      <c r="X122" s="6"/>
      <c r="AO122" s="47"/>
      <c r="AP122" s="46"/>
      <c r="BH122" s="48"/>
      <c r="BZ122" s="48"/>
      <c r="CA122" s="48"/>
      <c r="CB122" s="116"/>
      <c r="CC122" s="116"/>
      <c r="CE122" s="104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</row>
    <row r="123" spans="1:100" s="5" customFormat="1" ht="15.75" x14ac:dyDescent="0.2">
      <c r="A123" s="45"/>
      <c r="C123" s="45"/>
      <c r="D123" s="14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37"/>
      <c r="W123" s="7"/>
      <c r="X123" s="6"/>
      <c r="AO123" s="47"/>
      <c r="AP123" s="46"/>
      <c r="BH123" s="48"/>
      <c r="BZ123" s="48"/>
      <c r="CA123" s="48"/>
      <c r="CB123" s="116"/>
      <c r="CC123" s="116"/>
      <c r="CE123" s="104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</row>
    <row r="124" spans="1:100" s="5" customFormat="1" ht="15.75" x14ac:dyDescent="0.2">
      <c r="A124" s="45"/>
      <c r="C124" s="45"/>
      <c r="D124" s="14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37"/>
      <c r="W124" s="7"/>
      <c r="X124" s="6"/>
      <c r="AO124" s="47"/>
      <c r="AP124" s="46"/>
      <c r="BH124" s="48"/>
      <c r="BZ124" s="48"/>
      <c r="CA124" s="48"/>
      <c r="CB124" s="116"/>
      <c r="CC124" s="116"/>
      <c r="CE124" s="104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</row>
    <row r="125" spans="1:100" s="5" customFormat="1" ht="15.75" x14ac:dyDescent="0.2">
      <c r="A125" s="45"/>
      <c r="C125" s="45"/>
      <c r="D125" s="14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37"/>
      <c r="W125" s="7"/>
      <c r="X125" s="6"/>
      <c r="AO125" s="47"/>
      <c r="AP125" s="46"/>
      <c r="BH125" s="48"/>
      <c r="BZ125" s="48"/>
      <c r="CA125" s="48"/>
      <c r="CB125" s="116"/>
      <c r="CC125" s="116"/>
      <c r="CE125" s="104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</row>
    <row r="126" spans="1:100" s="5" customFormat="1" ht="15.75" x14ac:dyDescent="0.2">
      <c r="A126" s="45"/>
      <c r="C126" s="45"/>
      <c r="D126" s="14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37"/>
      <c r="W126" s="7"/>
      <c r="X126" s="6"/>
      <c r="AO126" s="47"/>
      <c r="AP126" s="46"/>
      <c r="BH126" s="48"/>
      <c r="BZ126" s="48"/>
      <c r="CA126" s="48"/>
      <c r="CB126" s="116"/>
      <c r="CC126" s="116"/>
      <c r="CE126" s="104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</row>
    <row r="127" spans="1:100" s="5" customFormat="1" ht="15.75" x14ac:dyDescent="0.2">
      <c r="A127" s="45"/>
      <c r="C127" s="45"/>
      <c r="D127" s="14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37"/>
      <c r="W127" s="7"/>
      <c r="X127" s="6"/>
      <c r="AO127" s="47"/>
      <c r="AP127" s="46"/>
      <c r="BH127" s="48"/>
      <c r="BZ127" s="48"/>
      <c r="CA127" s="48"/>
      <c r="CB127" s="116"/>
      <c r="CC127" s="116"/>
      <c r="CE127" s="104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</row>
    <row r="128" spans="1:100" s="5" customFormat="1" ht="15.75" x14ac:dyDescent="0.2">
      <c r="A128" s="45"/>
      <c r="C128" s="45"/>
      <c r="D128" s="14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37"/>
      <c r="W128" s="7"/>
      <c r="X128" s="6"/>
      <c r="AO128" s="47"/>
      <c r="AP128" s="46"/>
      <c r="BH128" s="48"/>
      <c r="BZ128" s="48"/>
      <c r="CA128" s="48"/>
      <c r="CB128" s="116"/>
      <c r="CC128" s="116"/>
      <c r="CE128" s="104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</row>
    <row r="129" spans="1:100" s="5" customFormat="1" ht="15.75" x14ac:dyDescent="0.2">
      <c r="A129" s="45"/>
      <c r="C129" s="45"/>
      <c r="D129" s="14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37"/>
      <c r="W129" s="7"/>
      <c r="X129" s="6"/>
      <c r="AO129" s="47"/>
      <c r="AP129" s="46"/>
      <c r="BH129" s="48"/>
      <c r="BZ129" s="48"/>
      <c r="CA129" s="48"/>
      <c r="CB129" s="116"/>
      <c r="CC129" s="116"/>
      <c r="CE129" s="104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</row>
    <row r="130" spans="1:100" s="5" customFormat="1" ht="15.75" x14ac:dyDescent="0.2">
      <c r="A130" s="45"/>
      <c r="C130" s="45"/>
      <c r="D130" s="14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37"/>
      <c r="W130" s="7"/>
      <c r="X130" s="6"/>
      <c r="AO130" s="47"/>
      <c r="AP130" s="46"/>
      <c r="BH130" s="48"/>
      <c r="BZ130" s="48"/>
      <c r="CA130" s="48"/>
      <c r="CB130" s="116"/>
      <c r="CC130" s="116"/>
      <c r="CE130" s="104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</row>
    <row r="131" spans="1:100" s="5" customFormat="1" ht="15.75" x14ac:dyDescent="0.2">
      <c r="A131" s="45"/>
      <c r="C131" s="45"/>
      <c r="D131" s="14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37"/>
      <c r="W131" s="7"/>
      <c r="X131" s="6"/>
      <c r="AO131" s="47"/>
      <c r="AP131" s="46"/>
      <c r="BH131" s="48"/>
      <c r="BZ131" s="48"/>
      <c r="CA131" s="48"/>
      <c r="CB131" s="116"/>
      <c r="CC131" s="116"/>
      <c r="CE131" s="104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</row>
    <row r="132" spans="1:100" s="5" customFormat="1" ht="15.75" x14ac:dyDescent="0.2">
      <c r="A132" s="45"/>
      <c r="C132" s="45"/>
      <c r="D132" s="14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37"/>
      <c r="W132" s="7"/>
      <c r="X132" s="6"/>
      <c r="AO132" s="47"/>
      <c r="AP132" s="46"/>
      <c r="BH132" s="48"/>
      <c r="BZ132" s="48"/>
      <c r="CA132" s="48"/>
      <c r="CB132" s="116"/>
      <c r="CC132" s="116"/>
      <c r="CE132" s="104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</row>
    <row r="133" spans="1:100" s="5" customFormat="1" ht="15.75" x14ac:dyDescent="0.2">
      <c r="A133" s="45"/>
      <c r="C133" s="45"/>
      <c r="D133" s="14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37"/>
      <c r="W133" s="7"/>
      <c r="X133" s="6"/>
      <c r="AO133" s="47"/>
      <c r="AP133" s="46"/>
      <c r="BH133" s="48"/>
      <c r="BZ133" s="48"/>
      <c r="CA133" s="48"/>
      <c r="CB133" s="116"/>
      <c r="CC133" s="116"/>
      <c r="CE133" s="104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</row>
    <row r="134" spans="1:100" s="5" customFormat="1" ht="15.75" x14ac:dyDescent="0.2">
      <c r="A134" s="45"/>
      <c r="C134" s="45"/>
      <c r="D134" s="14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37"/>
      <c r="W134" s="7"/>
      <c r="X134" s="6"/>
      <c r="AO134" s="47"/>
      <c r="AP134" s="46"/>
      <c r="BH134" s="48"/>
      <c r="BZ134" s="48"/>
      <c r="CA134" s="48"/>
      <c r="CB134" s="116"/>
      <c r="CC134" s="116"/>
      <c r="CE134" s="104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</row>
    <row r="135" spans="1:100" s="5" customFormat="1" ht="15.75" x14ac:dyDescent="0.2">
      <c r="A135" s="45"/>
      <c r="C135" s="45"/>
      <c r="D135" s="14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37"/>
      <c r="W135" s="7"/>
      <c r="X135" s="6"/>
      <c r="AO135" s="47"/>
      <c r="AP135" s="46"/>
      <c r="BH135" s="48"/>
      <c r="BZ135" s="48"/>
      <c r="CA135" s="48"/>
      <c r="CB135" s="116"/>
      <c r="CC135" s="116"/>
      <c r="CE135" s="104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</row>
    <row r="136" spans="1:100" s="5" customFormat="1" ht="15.75" x14ac:dyDescent="0.2">
      <c r="A136" s="45"/>
      <c r="C136" s="45"/>
      <c r="D136" s="14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37"/>
      <c r="W136" s="7"/>
      <c r="X136" s="6"/>
      <c r="AO136" s="47"/>
      <c r="AP136" s="46"/>
      <c r="BH136" s="48"/>
      <c r="BZ136" s="48"/>
      <c r="CA136" s="48"/>
      <c r="CB136" s="116"/>
      <c r="CC136" s="116"/>
      <c r="CE136" s="104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</row>
    <row r="137" spans="1:100" s="5" customFormat="1" ht="15.75" x14ac:dyDescent="0.2">
      <c r="A137" s="45"/>
      <c r="C137" s="45"/>
      <c r="D137" s="14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37"/>
      <c r="W137" s="7"/>
      <c r="X137" s="6"/>
      <c r="AO137" s="47"/>
      <c r="AP137" s="46"/>
      <c r="BH137" s="48"/>
      <c r="BZ137" s="48"/>
      <c r="CA137" s="48"/>
      <c r="CB137" s="116"/>
      <c r="CC137" s="116"/>
      <c r="CE137" s="104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</row>
    <row r="138" spans="1:100" s="5" customFormat="1" ht="15.75" x14ac:dyDescent="0.2">
      <c r="A138" s="45"/>
      <c r="C138" s="45"/>
      <c r="D138" s="14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37"/>
      <c r="W138" s="7"/>
      <c r="X138" s="6"/>
      <c r="AO138" s="47"/>
      <c r="AP138" s="46"/>
      <c r="BH138" s="48"/>
      <c r="BZ138" s="48"/>
      <c r="CA138" s="48"/>
      <c r="CB138" s="116"/>
      <c r="CC138" s="116"/>
      <c r="CE138" s="104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</row>
    <row r="139" spans="1:100" s="5" customFormat="1" ht="15.75" x14ac:dyDescent="0.2">
      <c r="A139" s="45"/>
      <c r="C139" s="45"/>
      <c r="D139" s="14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37"/>
      <c r="W139" s="7"/>
      <c r="X139" s="6"/>
      <c r="AO139" s="47"/>
      <c r="AP139" s="46"/>
      <c r="BH139" s="48"/>
      <c r="BZ139" s="48"/>
      <c r="CA139" s="48"/>
      <c r="CB139" s="116"/>
      <c r="CC139" s="116"/>
      <c r="CE139" s="104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</row>
    <row r="140" spans="1:100" s="5" customFormat="1" ht="15.75" x14ac:dyDescent="0.2">
      <c r="A140" s="45"/>
      <c r="C140" s="45"/>
      <c r="D140" s="14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37"/>
      <c r="W140" s="7"/>
      <c r="X140" s="6"/>
      <c r="AO140" s="47"/>
      <c r="AP140" s="46"/>
      <c r="BH140" s="48"/>
      <c r="BZ140" s="48"/>
      <c r="CA140" s="48"/>
      <c r="CB140" s="116"/>
      <c r="CC140" s="116"/>
      <c r="CE140" s="104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</row>
    <row r="141" spans="1:100" s="5" customFormat="1" ht="15.75" x14ac:dyDescent="0.2">
      <c r="A141" s="45"/>
      <c r="C141" s="45"/>
      <c r="D141" s="14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37"/>
      <c r="W141" s="7"/>
      <c r="X141" s="6"/>
      <c r="AO141" s="47"/>
      <c r="AP141" s="46"/>
      <c r="BH141" s="48"/>
      <c r="BZ141" s="48"/>
      <c r="CA141" s="48"/>
      <c r="CB141" s="116"/>
      <c r="CC141" s="116"/>
      <c r="CE141" s="104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</row>
    <row r="142" spans="1:100" s="5" customFormat="1" ht="15.75" x14ac:dyDescent="0.2">
      <c r="A142" s="45"/>
      <c r="C142" s="45"/>
      <c r="D142" s="14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37"/>
      <c r="W142" s="7"/>
      <c r="X142" s="6"/>
      <c r="AO142" s="47"/>
      <c r="AP142" s="46"/>
      <c r="BH142" s="48"/>
      <c r="BZ142" s="48"/>
      <c r="CA142" s="48"/>
      <c r="CB142" s="116"/>
      <c r="CC142" s="116"/>
      <c r="CE142" s="104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</row>
    <row r="143" spans="1:100" s="5" customFormat="1" ht="15.75" x14ac:dyDescent="0.2">
      <c r="A143" s="45"/>
      <c r="C143" s="45"/>
      <c r="D143" s="14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37"/>
      <c r="W143" s="7"/>
      <c r="X143" s="6"/>
      <c r="AO143" s="47"/>
      <c r="AP143" s="46"/>
      <c r="BH143" s="48"/>
      <c r="BZ143" s="48"/>
      <c r="CA143" s="48"/>
      <c r="CB143" s="116"/>
      <c r="CC143" s="116"/>
      <c r="CE143" s="104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</row>
    <row r="144" spans="1:100" s="5" customFormat="1" ht="15.75" x14ac:dyDescent="0.2">
      <c r="A144" s="45"/>
      <c r="C144" s="45"/>
      <c r="D144" s="14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37"/>
      <c r="W144" s="7"/>
      <c r="X144" s="6"/>
      <c r="AO144" s="47"/>
      <c r="AP144" s="46"/>
      <c r="BH144" s="48"/>
      <c r="BZ144" s="48"/>
      <c r="CA144" s="48"/>
      <c r="CB144" s="116"/>
      <c r="CC144" s="116"/>
      <c r="CE144" s="104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</row>
    <row r="145" spans="1:100" s="5" customFormat="1" ht="15.75" x14ac:dyDescent="0.2">
      <c r="A145" s="45"/>
      <c r="C145" s="45"/>
      <c r="D145" s="14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37"/>
      <c r="W145" s="7"/>
      <c r="X145" s="6"/>
      <c r="AO145" s="47"/>
      <c r="AP145" s="46"/>
      <c r="BH145" s="48"/>
      <c r="BZ145" s="48"/>
      <c r="CA145" s="48"/>
      <c r="CB145" s="116"/>
      <c r="CC145" s="116"/>
      <c r="CE145" s="104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</row>
    <row r="146" spans="1:100" s="5" customFormat="1" ht="15.75" x14ac:dyDescent="0.2">
      <c r="A146" s="45"/>
      <c r="C146" s="45"/>
      <c r="D146" s="14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37"/>
      <c r="W146" s="7"/>
      <c r="X146" s="6"/>
      <c r="AO146" s="47"/>
      <c r="AP146" s="46"/>
      <c r="BH146" s="48"/>
      <c r="BZ146" s="48"/>
      <c r="CA146" s="48"/>
      <c r="CB146" s="116"/>
      <c r="CC146" s="116"/>
      <c r="CE146" s="104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</row>
    <row r="147" spans="1:100" s="5" customFormat="1" ht="15.75" x14ac:dyDescent="0.2">
      <c r="A147" s="45"/>
      <c r="C147" s="45"/>
      <c r="D147" s="14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37"/>
      <c r="W147" s="7"/>
      <c r="X147" s="6"/>
      <c r="AO147" s="47"/>
      <c r="AP147" s="46"/>
      <c r="BH147" s="48"/>
      <c r="BZ147" s="48"/>
      <c r="CA147" s="48"/>
      <c r="CB147" s="116"/>
      <c r="CC147" s="116"/>
      <c r="CE147" s="104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</row>
    <row r="148" spans="1:100" s="5" customFormat="1" ht="15.75" x14ac:dyDescent="0.2">
      <c r="A148" s="45"/>
      <c r="C148" s="45"/>
      <c r="D148" s="14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37"/>
      <c r="W148" s="7"/>
      <c r="X148" s="6"/>
      <c r="AO148" s="47"/>
      <c r="AP148" s="46"/>
      <c r="BH148" s="48"/>
      <c r="BZ148" s="48"/>
      <c r="CA148" s="48"/>
      <c r="CB148" s="116"/>
      <c r="CC148" s="116"/>
      <c r="CE148" s="104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</row>
    <row r="149" spans="1:100" s="5" customFormat="1" ht="15.75" x14ac:dyDescent="0.2">
      <c r="A149" s="45"/>
      <c r="C149" s="45"/>
      <c r="D149" s="14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37"/>
      <c r="W149" s="7"/>
      <c r="X149" s="6"/>
      <c r="AO149" s="47"/>
      <c r="AP149" s="46"/>
      <c r="BH149" s="48"/>
      <c r="BZ149" s="48"/>
      <c r="CA149" s="48"/>
      <c r="CB149" s="116"/>
      <c r="CC149" s="116"/>
      <c r="CE149" s="104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</row>
    <row r="150" spans="1:100" s="5" customFormat="1" ht="15.75" x14ac:dyDescent="0.2">
      <c r="A150" s="45"/>
      <c r="C150" s="45"/>
      <c r="D150" s="14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37"/>
      <c r="W150" s="7"/>
      <c r="X150" s="6"/>
      <c r="AO150" s="47"/>
      <c r="AP150" s="46"/>
      <c r="BH150" s="48"/>
      <c r="BZ150" s="48"/>
      <c r="CA150" s="48"/>
      <c r="CB150" s="116"/>
      <c r="CC150" s="116"/>
      <c r="CE150" s="104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</row>
    <row r="151" spans="1:100" s="5" customFormat="1" ht="15.75" x14ac:dyDescent="0.2">
      <c r="A151" s="45"/>
      <c r="C151" s="45"/>
      <c r="D151" s="14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37"/>
      <c r="W151" s="7"/>
      <c r="X151" s="6"/>
      <c r="AO151" s="47"/>
      <c r="AP151" s="46"/>
      <c r="BH151" s="48"/>
      <c r="BZ151" s="48"/>
      <c r="CA151" s="48"/>
      <c r="CB151" s="116"/>
      <c r="CC151" s="116"/>
      <c r="CE151" s="104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</row>
    <row r="152" spans="1:100" s="5" customFormat="1" ht="15.75" x14ac:dyDescent="0.2">
      <c r="A152" s="45"/>
      <c r="C152" s="45"/>
      <c r="D152" s="14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37"/>
      <c r="W152" s="7"/>
      <c r="X152" s="6"/>
      <c r="AO152" s="47"/>
      <c r="AP152" s="46"/>
      <c r="AQ152" s="48"/>
      <c r="BH152" s="48"/>
      <c r="BZ152" s="48"/>
      <c r="CA152" s="48"/>
      <c r="CB152" s="116"/>
      <c r="CC152" s="116"/>
      <c r="CE152" s="104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</row>
    <row r="153" spans="1:100" s="5" customFormat="1" ht="15.75" x14ac:dyDescent="0.2">
      <c r="A153" s="45"/>
      <c r="C153" s="45"/>
      <c r="D153" s="14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37"/>
      <c r="W153" s="7"/>
      <c r="X153" s="6"/>
      <c r="AO153" s="47"/>
      <c r="AP153" s="46"/>
      <c r="BH153" s="48"/>
      <c r="BZ153" s="48"/>
      <c r="CA153" s="48"/>
      <c r="CB153" s="116"/>
      <c r="CC153" s="116"/>
      <c r="CE153" s="104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</row>
    <row r="154" spans="1:100" s="5" customFormat="1" ht="15.75" x14ac:dyDescent="0.2">
      <c r="A154" s="45"/>
      <c r="C154" s="45"/>
      <c r="D154" s="14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37"/>
      <c r="W154" s="7"/>
      <c r="X154" s="6"/>
      <c r="AO154" s="47"/>
      <c r="AP154" s="46"/>
      <c r="BH154" s="48"/>
      <c r="BZ154" s="48"/>
      <c r="CA154" s="48"/>
      <c r="CB154" s="116"/>
      <c r="CC154" s="116"/>
      <c r="CE154" s="104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</row>
    <row r="155" spans="1:100" s="5" customFormat="1" ht="15.75" x14ac:dyDescent="0.2">
      <c r="A155" s="45"/>
      <c r="C155" s="45"/>
      <c r="D155" s="14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37"/>
      <c r="W155" s="7"/>
      <c r="X155" s="6"/>
      <c r="AO155" s="47"/>
      <c r="AP155" s="46"/>
      <c r="BH155" s="48"/>
      <c r="BZ155" s="48"/>
      <c r="CA155" s="48"/>
      <c r="CB155" s="116"/>
      <c r="CC155" s="116"/>
      <c r="CE155" s="104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</row>
    <row r="156" spans="1:100" s="5" customFormat="1" ht="15.75" x14ac:dyDescent="0.2">
      <c r="A156" s="45"/>
      <c r="C156" s="45"/>
      <c r="D156" s="14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37"/>
      <c r="W156" s="7"/>
      <c r="X156" s="6"/>
      <c r="AO156" s="47"/>
      <c r="AP156" s="46"/>
      <c r="BH156" s="48"/>
      <c r="BZ156" s="48"/>
      <c r="CA156" s="48"/>
      <c r="CB156" s="116"/>
      <c r="CC156" s="116"/>
      <c r="CE156" s="104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</row>
    <row r="157" spans="1:100" s="5" customFormat="1" ht="15.75" x14ac:dyDescent="0.2">
      <c r="A157" s="45"/>
      <c r="C157" s="45"/>
      <c r="D157" s="14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37"/>
      <c r="W157" s="7"/>
      <c r="X157" s="6"/>
      <c r="AO157" s="47"/>
      <c r="AP157" s="46"/>
      <c r="BH157" s="48"/>
      <c r="BZ157" s="48"/>
      <c r="CA157" s="48"/>
      <c r="CB157" s="116"/>
      <c r="CC157" s="116"/>
      <c r="CE157" s="104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</row>
    <row r="158" spans="1:100" s="5" customFormat="1" ht="15.75" x14ac:dyDescent="0.2">
      <c r="A158" s="45"/>
      <c r="C158" s="45"/>
      <c r="D158" s="14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37"/>
      <c r="W158" s="7"/>
      <c r="X158" s="6"/>
      <c r="AO158" s="47"/>
      <c r="AP158" s="46"/>
      <c r="BH158" s="48"/>
      <c r="BZ158" s="48"/>
      <c r="CA158" s="48"/>
      <c r="CB158" s="116"/>
      <c r="CC158" s="116"/>
      <c r="CE158" s="104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</row>
    <row r="159" spans="1:100" s="5" customFormat="1" ht="15.75" x14ac:dyDescent="0.2">
      <c r="A159" s="45"/>
      <c r="C159" s="45"/>
      <c r="D159" s="14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37"/>
      <c r="W159" s="7"/>
      <c r="X159" s="6"/>
      <c r="AO159" s="47"/>
      <c r="AP159" s="46"/>
      <c r="BH159" s="48"/>
      <c r="BZ159" s="48"/>
      <c r="CA159" s="48"/>
      <c r="CB159" s="116"/>
      <c r="CC159" s="116"/>
      <c r="CE159" s="104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</row>
    <row r="160" spans="1:100" s="5" customFormat="1" ht="15.75" x14ac:dyDescent="0.2">
      <c r="A160" s="45"/>
      <c r="C160" s="45"/>
      <c r="D160" s="14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37"/>
      <c r="W160" s="7"/>
      <c r="X160" s="6"/>
      <c r="AO160" s="47"/>
      <c r="AP160" s="46"/>
      <c r="BH160" s="48"/>
      <c r="BZ160" s="48"/>
      <c r="CA160" s="48"/>
      <c r="CB160" s="116"/>
      <c r="CC160" s="116"/>
      <c r="CE160" s="104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</row>
    <row r="161" spans="1:100" s="5" customFormat="1" ht="15.75" x14ac:dyDescent="0.2">
      <c r="A161" s="45"/>
      <c r="C161" s="45"/>
      <c r="D161" s="14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37"/>
      <c r="W161" s="7"/>
      <c r="X161" s="6"/>
      <c r="AO161" s="47"/>
      <c r="AP161" s="46"/>
      <c r="BH161" s="48"/>
      <c r="BZ161" s="48"/>
      <c r="CA161" s="48"/>
      <c r="CB161" s="116"/>
      <c r="CC161" s="116"/>
      <c r="CE161" s="104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</row>
    <row r="162" spans="1:100" s="5" customFormat="1" ht="15.75" x14ac:dyDescent="0.2">
      <c r="A162" s="45"/>
      <c r="C162" s="45"/>
      <c r="D162" s="14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37"/>
      <c r="W162" s="7"/>
      <c r="X162" s="6"/>
      <c r="AO162" s="47"/>
      <c r="AP162" s="46"/>
      <c r="BH162" s="48"/>
      <c r="BZ162" s="48"/>
      <c r="CA162" s="48"/>
      <c r="CB162" s="116"/>
      <c r="CC162" s="116"/>
      <c r="CE162" s="104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</row>
    <row r="163" spans="1:100" s="5" customFormat="1" ht="15.75" x14ac:dyDescent="0.2">
      <c r="A163" s="45"/>
      <c r="C163" s="45"/>
      <c r="D163" s="14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37"/>
      <c r="W163" s="7"/>
      <c r="X163" s="6"/>
      <c r="AO163" s="47"/>
      <c r="AP163" s="46"/>
      <c r="BH163" s="48"/>
      <c r="BZ163" s="48"/>
      <c r="CA163" s="48"/>
      <c r="CB163" s="116"/>
      <c r="CC163" s="116"/>
      <c r="CE163" s="104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</row>
    <row r="164" spans="1:100" s="5" customFormat="1" ht="15.75" x14ac:dyDescent="0.2">
      <c r="A164" s="45"/>
      <c r="C164" s="45"/>
      <c r="D164" s="14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37"/>
      <c r="W164" s="7"/>
      <c r="X164" s="6"/>
      <c r="AO164" s="47"/>
      <c r="AP164" s="46"/>
      <c r="BH164" s="48"/>
      <c r="BZ164" s="48"/>
      <c r="CA164" s="48"/>
      <c r="CB164" s="116"/>
      <c r="CC164" s="116"/>
      <c r="CE164" s="104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</row>
    <row r="165" spans="1:100" s="5" customFormat="1" ht="15.75" x14ac:dyDescent="0.2">
      <c r="A165" s="45"/>
      <c r="C165" s="45"/>
      <c r="D165" s="14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37"/>
      <c r="W165" s="7"/>
      <c r="X165" s="6"/>
      <c r="AO165" s="47"/>
      <c r="AP165" s="46"/>
      <c r="BH165" s="48"/>
      <c r="BZ165" s="48"/>
      <c r="CA165" s="48"/>
      <c r="CB165" s="116"/>
      <c r="CC165" s="116"/>
      <c r="CE165" s="104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</row>
    <row r="166" spans="1:100" s="5" customFormat="1" ht="15.75" x14ac:dyDescent="0.2">
      <c r="A166" s="45"/>
      <c r="C166" s="45"/>
      <c r="D166" s="14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37"/>
      <c r="W166" s="7"/>
      <c r="X166" s="6"/>
      <c r="AO166" s="47"/>
      <c r="AP166" s="46"/>
      <c r="BH166" s="48"/>
      <c r="BZ166" s="48"/>
      <c r="CA166" s="48"/>
      <c r="CB166" s="116"/>
      <c r="CC166" s="116"/>
      <c r="CE166" s="104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</row>
    <row r="167" spans="1:100" s="5" customFormat="1" ht="15.75" x14ac:dyDescent="0.2">
      <c r="A167" s="45"/>
      <c r="C167" s="45"/>
      <c r="D167" s="14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37"/>
      <c r="W167" s="7"/>
      <c r="X167" s="6"/>
      <c r="AO167" s="47"/>
      <c r="AP167" s="46"/>
      <c r="BH167" s="48"/>
      <c r="BZ167" s="48"/>
      <c r="CA167" s="48"/>
      <c r="CB167" s="116"/>
      <c r="CC167" s="116"/>
      <c r="CE167" s="104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</row>
    <row r="168" spans="1:100" s="5" customFormat="1" ht="15.75" x14ac:dyDescent="0.2">
      <c r="A168" s="45"/>
      <c r="C168" s="45"/>
      <c r="D168" s="14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37"/>
      <c r="W168" s="7"/>
      <c r="X168" s="6"/>
      <c r="AO168" s="47"/>
      <c r="AP168" s="46"/>
      <c r="BH168" s="48"/>
      <c r="BZ168" s="48"/>
      <c r="CA168" s="48"/>
      <c r="CB168" s="116"/>
      <c r="CC168" s="116"/>
      <c r="CE168" s="104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</row>
    <row r="169" spans="1:100" s="5" customFormat="1" ht="15.75" x14ac:dyDescent="0.2">
      <c r="A169" s="45"/>
      <c r="C169" s="45"/>
      <c r="D169" s="14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37"/>
      <c r="W169" s="7"/>
      <c r="X169" s="6"/>
      <c r="AO169" s="47"/>
      <c r="AP169" s="46"/>
      <c r="BH169" s="48"/>
      <c r="BZ169" s="48"/>
      <c r="CA169" s="48"/>
      <c r="CB169" s="116"/>
      <c r="CC169" s="116"/>
      <c r="CE169" s="104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</row>
    <row r="170" spans="1:100" s="5" customFormat="1" ht="15.75" x14ac:dyDescent="0.2">
      <c r="A170" s="45"/>
      <c r="C170" s="45"/>
      <c r="D170" s="14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37"/>
      <c r="W170" s="7"/>
      <c r="X170" s="6"/>
      <c r="AO170" s="47"/>
      <c r="AP170" s="46"/>
      <c r="BH170" s="48"/>
      <c r="BZ170" s="48"/>
      <c r="CA170" s="48"/>
      <c r="CB170" s="116"/>
      <c r="CC170" s="116"/>
      <c r="CE170" s="104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</row>
    <row r="171" spans="1:100" s="5" customFormat="1" ht="15.75" x14ac:dyDescent="0.2">
      <c r="A171" s="45"/>
      <c r="C171" s="45"/>
      <c r="D171" s="14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37"/>
      <c r="W171" s="7"/>
      <c r="X171" s="6"/>
      <c r="AO171" s="47"/>
      <c r="AP171" s="46"/>
      <c r="BH171" s="48"/>
      <c r="BZ171" s="48"/>
      <c r="CA171" s="48"/>
      <c r="CB171" s="116"/>
      <c r="CC171" s="116"/>
      <c r="CE171" s="104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</row>
    <row r="172" spans="1:100" s="5" customFormat="1" ht="15.75" x14ac:dyDescent="0.2">
      <c r="A172" s="45"/>
      <c r="C172" s="45"/>
      <c r="D172" s="14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37"/>
      <c r="W172" s="7"/>
      <c r="X172" s="6"/>
      <c r="AO172" s="47"/>
      <c r="AP172" s="46"/>
      <c r="BH172" s="48"/>
      <c r="BZ172" s="48"/>
      <c r="CA172" s="48"/>
      <c r="CB172" s="116"/>
      <c r="CC172" s="116"/>
      <c r="CE172" s="104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</row>
    <row r="173" spans="1:100" s="5" customFormat="1" ht="15.75" x14ac:dyDescent="0.2">
      <c r="A173" s="45"/>
      <c r="C173" s="45"/>
      <c r="D173" s="14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37"/>
      <c r="W173" s="7"/>
      <c r="X173" s="6"/>
      <c r="AO173" s="47"/>
      <c r="AP173" s="46"/>
      <c r="BH173" s="48"/>
      <c r="BZ173" s="48"/>
      <c r="CA173" s="48"/>
      <c r="CB173" s="116"/>
      <c r="CC173" s="116"/>
      <c r="CE173" s="104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</row>
    <row r="174" spans="1:100" s="5" customFormat="1" ht="15.75" x14ac:dyDescent="0.2">
      <c r="A174" s="45"/>
      <c r="C174" s="45"/>
      <c r="D174" s="14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37"/>
      <c r="W174" s="7"/>
      <c r="X174" s="6"/>
      <c r="AO174" s="47"/>
      <c r="AP174" s="46"/>
      <c r="BH174" s="48"/>
      <c r="BZ174" s="48"/>
      <c r="CA174" s="48"/>
      <c r="CB174" s="116"/>
      <c r="CC174" s="116"/>
      <c r="CE174" s="104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</row>
    <row r="175" spans="1:100" s="5" customFormat="1" ht="15.75" x14ac:dyDescent="0.2">
      <c r="A175" s="45"/>
      <c r="C175" s="45"/>
      <c r="D175" s="14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37"/>
      <c r="W175" s="7"/>
      <c r="X175" s="6"/>
      <c r="AO175" s="47"/>
      <c r="AP175" s="46"/>
      <c r="BH175" s="48"/>
      <c r="BZ175" s="48"/>
      <c r="CA175" s="48"/>
      <c r="CB175" s="116"/>
      <c r="CC175" s="116"/>
      <c r="CE175" s="104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</row>
    <row r="176" spans="1:100" s="5" customFormat="1" ht="15.75" x14ac:dyDescent="0.2">
      <c r="A176" s="45"/>
      <c r="C176" s="45"/>
      <c r="D176" s="14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37"/>
      <c r="W176" s="7"/>
      <c r="X176" s="6"/>
      <c r="AO176" s="47"/>
      <c r="AP176" s="46"/>
      <c r="BH176" s="48"/>
      <c r="BZ176" s="48"/>
      <c r="CA176" s="48"/>
      <c r="CB176" s="116"/>
      <c r="CC176" s="116"/>
      <c r="CE176" s="104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</row>
    <row r="177" spans="1:100" s="5" customFormat="1" ht="15.75" x14ac:dyDescent="0.2">
      <c r="A177" s="45"/>
      <c r="C177" s="45"/>
      <c r="D177" s="14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37"/>
      <c r="W177" s="7"/>
      <c r="X177" s="6"/>
      <c r="AO177" s="47"/>
      <c r="AP177" s="46"/>
      <c r="BH177" s="48"/>
      <c r="BZ177" s="48"/>
      <c r="CA177" s="48"/>
      <c r="CB177" s="116"/>
      <c r="CC177" s="116"/>
      <c r="CE177" s="104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</row>
    <row r="178" spans="1:100" s="5" customFormat="1" ht="15.75" x14ac:dyDescent="0.2">
      <c r="A178" s="45"/>
      <c r="C178" s="45"/>
      <c r="D178" s="14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37"/>
      <c r="W178" s="7"/>
      <c r="X178" s="6"/>
      <c r="AO178" s="47"/>
      <c r="AP178" s="46"/>
      <c r="BH178" s="48"/>
      <c r="BZ178" s="48"/>
      <c r="CA178" s="48"/>
      <c r="CB178" s="116"/>
      <c r="CC178" s="116"/>
      <c r="CE178" s="104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</row>
    <row r="179" spans="1:100" s="5" customFormat="1" ht="15.75" x14ac:dyDescent="0.2">
      <c r="A179" s="45"/>
      <c r="C179" s="45"/>
      <c r="D179" s="14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37"/>
      <c r="W179" s="7"/>
      <c r="X179" s="6"/>
      <c r="AO179" s="47"/>
      <c r="AP179" s="46"/>
      <c r="BH179" s="48"/>
      <c r="BZ179" s="48"/>
      <c r="CA179" s="48"/>
      <c r="CB179" s="116"/>
      <c r="CC179" s="116"/>
      <c r="CE179" s="104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</row>
    <row r="180" spans="1:100" s="5" customFormat="1" ht="15.75" x14ac:dyDescent="0.2">
      <c r="A180" s="45"/>
      <c r="C180" s="45"/>
      <c r="D180" s="147"/>
      <c r="E180" s="313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37"/>
      <c r="W180" s="7"/>
      <c r="X180" s="6"/>
      <c r="Y180" s="314"/>
      <c r="AO180" s="47"/>
      <c r="AP180" s="46"/>
      <c r="BH180" s="48"/>
      <c r="BZ180" s="48"/>
      <c r="CA180" s="48"/>
      <c r="CB180" s="116"/>
      <c r="CC180" s="116"/>
      <c r="CE180" s="104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</row>
    <row r="181" spans="1:100" s="5" customFormat="1" ht="15.75" x14ac:dyDescent="0.2">
      <c r="A181" s="45"/>
      <c r="C181" s="45"/>
      <c r="D181" s="14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37"/>
      <c r="W181" s="7"/>
      <c r="X181" s="6"/>
      <c r="AO181" s="47"/>
      <c r="AP181" s="46"/>
      <c r="BH181" s="48"/>
      <c r="BZ181" s="48"/>
      <c r="CA181" s="48"/>
      <c r="CB181" s="116"/>
      <c r="CC181" s="116"/>
      <c r="CE181" s="104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</row>
    <row r="182" spans="1:100" s="5" customFormat="1" ht="15.75" x14ac:dyDescent="0.2">
      <c r="A182" s="45"/>
      <c r="C182" s="45"/>
      <c r="D182" s="14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37"/>
      <c r="W182" s="7"/>
      <c r="X182" s="6"/>
      <c r="AO182" s="47"/>
      <c r="AP182" s="46"/>
      <c r="BH182" s="48"/>
      <c r="BZ182" s="48"/>
      <c r="CA182" s="48"/>
      <c r="CB182" s="116"/>
      <c r="CC182" s="116"/>
      <c r="CE182" s="104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</row>
    <row r="183" spans="1:100" s="5" customFormat="1" ht="15.75" x14ac:dyDescent="0.2">
      <c r="A183" s="45"/>
      <c r="C183" s="45"/>
      <c r="D183" s="14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37"/>
      <c r="W183" s="7"/>
      <c r="X183" s="6"/>
      <c r="AO183" s="47"/>
      <c r="AP183" s="46"/>
      <c r="BH183" s="48"/>
      <c r="BZ183" s="48"/>
      <c r="CA183" s="48"/>
      <c r="CB183" s="116"/>
      <c r="CC183" s="116"/>
      <c r="CE183" s="104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</row>
    <row r="184" spans="1:100" s="5" customFormat="1" ht="15.75" x14ac:dyDescent="0.2">
      <c r="A184" s="45"/>
      <c r="C184" s="45"/>
      <c r="D184" s="14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37"/>
      <c r="W184" s="7"/>
      <c r="X184" s="6"/>
      <c r="AO184" s="47"/>
      <c r="AP184" s="46"/>
      <c r="BH184" s="48"/>
      <c r="BZ184" s="48"/>
      <c r="CA184" s="48"/>
      <c r="CB184" s="116"/>
      <c r="CC184" s="116"/>
      <c r="CE184" s="104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</row>
    <row r="185" spans="1:100" s="5" customFormat="1" ht="15.75" x14ac:dyDescent="0.2">
      <c r="A185" s="45"/>
      <c r="C185" s="45"/>
      <c r="D185" s="14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37"/>
      <c r="W185" s="7"/>
      <c r="X185" s="6"/>
      <c r="AO185" s="47"/>
      <c r="AP185" s="46"/>
      <c r="BH185" s="48"/>
      <c r="BZ185" s="48"/>
      <c r="CA185" s="48"/>
      <c r="CB185" s="116"/>
      <c r="CC185" s="116"/>
      <c r="CE185" s="104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</row>
    <row r="186" spans="1:100" s="5" customFormat="1" ht="15.75" x14ac:dyDescent="0.2">
      <c r="A186" s="45"/>
      <c r="C186" s="45"/>
      <c r="D186" s="14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37"/>
      <c r="W186" s="7"/>
      <c r="X186" s="6"/>
      <c r="AO186" s="47"/>
      <c r="AP186" s="46"/>
      <c r="BH186" s="48"/>
      <c r="BZ186" s="48"/>
      <c r="CA186" s="48"/>
      <c r="CB186" s="116"/>
      <c r="CC186" s="116"/>
      <c r="CE186" s="104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</row>
    <row r="187" spans="1:100" s="5" customFormat="1" ht="15.75" x14ac:dyDescent="0.2">
      <c r="A187" s="45"/>
      <c r="C187" s="45"/>
      <c r="D187" s="14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37"/>
      <c r="W187" s="7"/>
      <c r="X187" s="6"/>
      <c r="AO187" s="47"/>
      <c r="AP187" s="46"/>
      <c r="BH187" s="48"/>
      <c r="BZ187" s="48"/>
      <c r="CA187" s="48"/>
      <c r="CB187" s="116"/>
      <c r="CC187" s="116"/>
      <c r="CE187" s="104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</row>
    <row r="188" spans="1:100" s="5" customFormat="1" ht="15.75" x14ac:dyDescent="0.2">
      <c r="A188" s="45"/>
      <c r="C188" s="45"/>
      <c r="D188" s="14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37"/>
      <c r="W188" s="7"/>
      <c r="X188" s="6"/>
      <c r="AO188" s="47"/>
      <c r="AP188" s="46"/>
      <c r="BH188" s="48"/>
      <c r="BZ188" s="48"/>
      <c r="CA188" s="48"/>
      <c r="CB188" s="116"/>
      <c r="CC188" s="116"/>
      <c r="CE188" s="104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</row>
    <row r="189" spans="1:100" s="5" customFormat="1" ht="15.75" x14ac:dyDescent="0.2">
      <c r="A189" s="45"/>
      <c r="C189" s="45"/>
      <c r="D189" s="14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37"/>
      <c r="W189" s="7"/>
      <c r="X189" s="6"/>
      <c r="AO189" s="47"/>
      <c r="AP189" s="46"/>
      <c r="BH189" s="48"/>
      <c r="BZ189" s="48"/>
      <c r="CA189" s="48"/>
      <c r="CB189" s="116"/>
      <c r="CC189" s="116"/>
      <c r="CE189" s="104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</row>
    <row r="190" spans="1:100" s="5" customFormat="1" ht="15.75" x14ac:dyDescent="0.2">
      <c r="A190" s="45"/>
      <c r="C190" s="45"/>
      <c r="D190" s="147"/>
      <c r="E190" s="313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37"/>
      <c r="W190" s="7"/>
      <c r="X190" s="6"/>
      <c r="Y190" s="314"/>
      <c r="AO190" s="47"/>
      <c r="AP190" s="46"/>
      <c r="BH190" s="48"/>
      <c r="BZ190" s="48"/>
      <c r="CA190" s="48"/>
      <c r="CB190" s="116"/>
      <c r="CC190" s="116"/>
      <c r="CE190" s="104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</row>
    <row r="191" spans="1:100" s="5" customFormat="1" ht="15.75" x14ac:dyDescent="0.2">
      <c r="A191" s="45"/>
      <c r="C191" s="45"/>
      <c r="D191" s="147"/>
      <c r="E191" s="313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37"/>
      <c r="W191" s="7"/>
      <c r="X191" s="6"/>
      <c r="Y191" s="314"/>
      <c r="AO191" s="47"/>
      <c r="AP191" s="46"/>
      <c r="BH191" s="48"/>
      <c r="BZ191" s="48"/>
      <c r="CA191" s="48"/>
      <c r="CB191" s="116"/>
      <c r="CC191" s="116"/>
      <c r="CE191" s="104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</row>
    <row r="192" spans="1:100" s="5" customFormat="1" ht="15.75" x14ac:dyDescent="0.2">
      <c r="A192" s="45"/>
      <c r="C192" s="45"/>
      <c r="D192" s="147"/>
      <c r="E192" s="313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37"/>
      <c r="W192" s="7"/>
      <c r="X192" s="6"/>
      <c r="Y192" s="314"/>
      <c r="AO192" s="47"/>
      <c r="AP192" s="46"/>
      <c r="BH192" s="48"/>
      <c r="BZ192" s="48"/>
      <c r="CA192" s="48"/>
      <c r="CB192" s="116"/>
      <c r="CC192" s="116"/>
      <c r="CE192" s="104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</row>
    <row r="193" spans="1:100" s="5" customFormat="1" ht="15.75" x14ac:dyDescent="0.2">
      <c r="A193" s="45"/>
      <c r="C193" s="45"/>
      <c r="D193" s="147"/>
      <c r="E193" s="313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37"/>
      <c r="W193" s="7"/>
      <c r="X193" s="6"/>
      <c r="Y193" s="314"/>
      <c r="AO193" s="47"/>
      <c r="AP193" s="46"/>
      <c r="BH193" s="48"/>
      <c r="BZ193" s="48"/>
      <c r="CA193" s="48"/>
      <c r="CB193" s="116"/>
      <c r="CC193" s="116"/>
      <c r="CE193" s="104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</row>
    <row r="194" spans="1:100" s="5" customFormat="1" ht="15.75" x14ac:dyDescent="0.2">
      <c r="A194" s="45"/>
      <c r="C194" s="45"/>
      <c r="D194" s="147"/>
      <c r="E194" s="313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37"/>
      <c r="W194" s="7"/>
      <c r="X194" s="6"/>
      <c r="Y194" s="314"/>
      <c r="AO194" s="47"/>
      <c r="AP194" s="46"/>
      <c r="BH194" s="48"/>
      <c r="BZ194" s="48"/>
      <c r="CA194" s="48"/>
      <c r="CB194" s="116"/>
      <c r="CC194" s="116"/>
      <c r="CE194" s="104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</row>
    <row r="195" spans="1:100" s="5" customFormat="1" ht="15.75" x14ac:dyDescent="0.2">
      <c r="A195" s="45"/>
      <c r="C195" s="45"/>
      <c r="D195" s="147"/>
      <c r="E195" s="313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37"/>
      <c r="W195" s="7"/>
      <c r="X195" s="6"/>
      <c r="Y195" s="314"/>
      <c r="AO195" s="47"/>
      <c r="AP195" s="46"/>
      <c r="BH195" s="48"/>
      <c r="BZ195" s="48"/>
      <c r="CA195" s="48"/>
      <c r="CB195" s="116"/>
      <c r="CC195" s="116"/>
      <c r="CE195" s="104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</row>
    <row r="196" spans="1:100" s="5" customFormat="1" ht="15.75" x14ac:dyDescent="0.2">
      <c r="A196" s="45"/>
      <c r="C196" s="45"/>
      <c r="D196" s="14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37"/>
      <c r="W196" s="7"/>
      <c r="X196" s="6"/>
      <c r="AO196" s="47"/>
      <c r="AP196" s="46"/>
      <c r="BH196" s="48"/>
      <c r="BZ196" s="48"/>
      <c r="CA196" s="48"/>
      <c r="CB196" s="116"/>
      <c r="CC196" s="116"/>
      <c r="CE196" s="104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</row>
    <row r="197" spans="1:100" s="5" customFormat="1" ht="15.75" x14ac:dyDescent="0.2">
      <c r="A197" s="45"/>
      <c r="C197" s="45"/>
      <c r="D197" s="14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37"/>
      <c r="W197" s="7"/>
      <c r="X197" s="6"/>
      <c r="AO197" s="47"/>
      <c r="AP197" s="46"/>
      <c r="BH197" s="48"/>
      <c r="BZ197" s="48"/>
      <c r="CA197" s="48"/>
      <c r="CB197" s="116"/>
      <c r="CC197" s="116"/>
      <c r="CE197" s="104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</row>
    <row r="198" spans="1:100" s="5" customFormat="1" ht="15.75" x14ac:dyDescent="0.2">
      <c r="A198" s="45"/>
      <c r="C198" s="45"/>
      <c r="D198" s="14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37"/>
      <c r="W198" s="7"/>
      <c r="X198" s="6"/>
      <c r="AO198" s="47"/>
      <c r="AP198" s="46"/>
      <c r="BH198" s="48"/>
      <c r="BZ198" s="48"/>
      <c r="CA198" s="48"/>
      <c r="CB198" s="116"/>
      <c r="CC198" s="116"/>
      <c r="CE198" s="104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</row>
    <row r="199" spans="1:100" s="5" customFormat="1" ht="15.75" x14ac:dyDescent="0.2">
      <c r="A199" s="45"/>
      <c r="C199" s="45"/>
      <c r="D199" s="14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37"/>
      <c r="W199" s="7"/>
      <c r="X199" s="6"/>
      <c r="AO199" s="47"/>
      <c r="AP199" s="46"/>
      <c r="BH199" s="48"/>
      <c r="BZ199" s="48"/>
      <c r="CA199" s="48"/>
      <c r="CB199" s="116"/>
      <c r="CC199" s="116"/>
      <c r="CE199" s="104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</row>
    <row r="200" spans="1:100" s="5" customFormat="1" ht="15.75" x14ac:dyDescent="0.2">
      <c r="A200" s="45"/>
      <c r="C200" s="45"/>
      <c r="D200" s="14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37"/>
      <c r="W200" s="7"/>
      <c r="X200" s="6"/>
      <c r="AO200" s="47"/>
      <c r="AP200" s="46"/>
      <c r="BH200" s="48"/>
      <c r="BZ200" s="48"/>
      <c r="CA200" s="48"/>
      <c r="CB200" s="116"/>
      <c r="CC200" s="116"/>
      <c r="CE200" s="104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</row>
    <row r="201" spans="1:100" s="5" customFormat="1" ht="15.75" x14ac:dyDescent="0.2">
      <c r="A201" s="45"/>
      <c r="C201" s="45"/>
      <c r="D201" s="14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37"/>
      <c r="W201" s="7"/>
      <c r="X201" s="6"/>
      <c r="AO201" s="47"/>
      <c r="AP201" s="46"/>
      <c r="BH201" s="48"/>
      <c r="BZ201" s="48"/>
      <c r="CA201" s="48"/>
      <c r="CB201" s="116"/>
      <c r="CC201" s="116"/>
      <c r="CE201" s="104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</row>
    <row r="202" spans="1:100" s="5" customFormat="1" ht="15.75" x14ac:dyDescent="0.2">
      <c r="A202" s="45"/>
      <c r="C202" s="45"/>
      <c r="D202" s="14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37"/>
      <c r="W202" s="7"/>
      <c r="X202" s="6"/>
      <c r="AO202" s="47"/>
      <c r="AP202" s="46"/>
      <c r="BH202" s="48"/>
      <c r="BZ202" s="48"/>
      <c r="CA202" s="48"/>
      <c r="CB202" s="116"/>
      <c r="CC202" s="116"/>
      <c r="CE202" s="104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</row>
    <row r="203" spans="1:100" s="5" customFormat="1" ht="15.75" x14ac:dyDescent="0.2">
      <c r="A203" s="45"/>
      <c r="C203" s="45"/>
      <c r="D203" s="14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37"/>
      <c r="W203" s="7"/>
      <c r="X203" s="6"/>
      <c r="AO203" s="47"/>
      <c r="AP203" s="46"/>
      <c r="BH203" s="48"/>
      <c r="BZ203" s="48"/>
      <c r="CA203" s="48"/>
      <c r="CB203" s="116"/>
      <c r="CC203" s="116"/>
      <c r="CE203" s="104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</row>
    <row r="204" spans="1:100" s="5" customFormat="1" ht="15.75" x14ac:dyDescent="0.2">
      <c r="A204" s="45"/>
      <c r="C204" s="45"/>
      <c r="D204" s="147"/>
      <c r="E204" s="313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37"/>
      <c r="W204" s="7"/>
      <c r="X204" s="6"/>
      <c r="Y204" s="314"/>
      <c r="AO204" s="47"/>
      <c r="AP204" s="46"/>
      <c r="BH204" s="48"/>
      <c r="BZ204" s="48"/>
      <c r="CA204" s="48"/>
      <c r="CB204" s="116"/>
      <c r="CC204" s="116"/>
      <c r="CE204" s="104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</row>
    <row r="205" spans="1:100" s="5" customFormat="1" ht="15.75" x14ac:dyDescent="0.2">
      <c r="A205" s="45"/>
      <c r="C205" s="45"/>
      <c r="D205" s="147"/>
      <c r="E205" s="313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37"/>
      <c r="W205" s="7"/>
      <c r="X205" s="6"/>
      <c r="Y205" s="314"/>
      <c r="AO205" s="47"/>
      <c r="AP205" s="46"/>
      <c r="BH205" s="48"/>
      <c r="BZ205" s="48"/>
      <c r="CA205" s="48"/>
      <c r="CB205" s="116"/>
      <c r="CC205" s="116"/>
      <c r="CE205" s="104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</row>
    <row r="206" spans="1:100" s="5" customFormat="1" ht="15.75" x14ac:dyDescent="0.2">
      <c r="A206" s="45"/>
      <c r="C206" s="45"/>
      <c r="D206" s="147"/>
      <c r="E206" s="313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37"/>
      <c r="W206" s="7"/>
      <c r="X206" s="6"/>
      <c r="Y206" s="314"/>
      <c r="AO206" s="47"/>
      <c r="AP206" s="46"/>
      <c r="BH206" s="48"/>
      <c r="BZ206" s="48"/>
      <c r="CA206" s="48"/>
      <c r="CB206" s="116"/>
      <c r="CC206" s="116"/>
      <c r="CE206" s="104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</row>
    <row r="207" spans="1:100" s="5" customFormat="1" ht="15.75" x14ac:dyDescent="0.2">
      <c r="A207" s="45"/>
      <c r="C207" s="45"/>
      <c r="D207" s="147"/>
      <c r="E207" s="313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37"/>
      <c r="W207" s="7"/>
      <c r="X207" s="6"/>
      <c r="Y207" s="314"/>
      <c r="AO207" s="47"/>
      <c r="AP207" s="46"/>
      <c r="BH207" s="48"/>
      <c r="BZ207" s="48"/>
      <c r="CA207" s="48"/>
      <c r="CB207" s="116"/>
      <c r="CC207" s="116"/>
      <c r="CE207" s="104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</row>
    <row r="208" spans="1:100" s="5" customFormat="1" ht="15.75" x14ac:dyDescent="0.2">
      <c r="A208" s="45"/>
      <c r="C208" s="45"/>
      <c r="D208" s="147"/>
      <c r="E208" s="313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37"/>
      <c r="W208" s="7"/>
      <c r="X208" s="6"/>
      <c r="Y208" s="314"/>
      <c r="AO208" s="47"/>
      <c r="AP208" s="46"/>
      <c r="BH208" s="48"/>
      <c r="BZ208" s="48"/>
      <c r="CA208" s="48"/>
      <c r="CB208" s="116"/>
      <c r="CC208" s="116"/>
      <c r="CE208" s="104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</row>
    <row r="209" spans="1:100" s="5" customFormat="1" ht="15.75" x14ac:dyDescent="0.2">
      <c r="A209" s="45"/>
      <c r="C209" s="45"/>
      <c r="D209" s="147"/>
      <c r="E209" s="313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37"/>
      <c r="W209" s="7"/>
      <c r="X209" s="6"/>
      <c r="Y209" s="314"/>
      <c r="AO209" s="47"/>
      <c r="AP209" s="46"/>
      <c r="BH209" s="48"/>
      <c r="BZ209" s="48"/>
      <c r="CA209" s="48"/>
      <c r="CB209" s="116"/>
      <c r="CC209" s="116"/>
      <c r="CE209" s="104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</row>
    <row r="210" spans="1:100" s="5" customFormat="1" ht="15.75" x14ac:dyDescent="0.2">
      <c r="A210" s="45"/>
      <c r="C210" s="45"/>
      <c r="D210" s="147"/>
      <c r="E210" s="313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37"/>
      <c r="W210" s="7"/>
      <c r="X210" s="6"/>
      <c r="Y210" s="314"/>
      <c r="AO210" s="47"/>
      <c r="AP210" s="46"/>
      <c r="BH210" s="48"/>
      <c r="BZ210" s="48"/>
      <c r="CA210" s="48"/>
      <c r="CB210" s="116"/>
      <c r="CC210" s="116"/>
      <c r="CE210" s="104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</row>
    <row r="211" spans="1:100" s="5" customFormat="1" ht="15.75" x14ac:dyDescent="0.2">
      <c r="A211" s="45"/>
      <c r="C211" s="45"/>
      <c r="D211" s="147"/>
      <c r="E211" s="313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37"/>
      <c r="W211" s="7"/>
      <c r="X211" s="6"/>
      <c r="Y211" s="314"/>
      <c r="AO211" s="47"/>
      <c r="AP211" s="46"/>
      <c r="BH211" s="48"/>
      <c r="BZ211" s="48"/>
      <c r="CA211" s="48"/>
      <c r="CB211" s="116"/>
      <c r="CC211" s="116"/>
      <c r="CE211" s="104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</row>
    <row r="212" spans="1:100" s="5" customFormat="1" ht="15.75" x14ac:dyDescent="0.2">
      <c r="A212" s="45"/>
      <c r="C212" s="45"/>
      <c r="D212" s="147"/>
      <c r="E212" s="313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37"/>
      <c r="W212" s="7"/>
      <c r="X212" s="6"/>
      <c r="Y212" s="314"/>
      <c r="AO212" s="47"/>
      <c r="AP212" s="46"/>
      <c r="BH212" s="48"/>
      <c r="BZ212" s="48"/>
      <c r="CA212" s="48"/>
      <c r="CB212" s="116"/>
      <c r="CC212" s="116"/>
      <c r="CE212" s="104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</row>
    <row r="213" spans="1:100" s="5" customFormat="1" ht="15.75" x14ac:dyDescent="0.2">
      <c r="A213" s="45"/>
      <c r="C213" s="45"/>
      <c r="D213" s="147"/>
      <c r="E213" s="313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37"/>
      <c r="W213" s="7"/>
      <c r="X213" s="6"/>
      <c r="Y213" s="314"/>
      <c r="AO213" s="47"/>
      <c r="AP213" s="46"/>
      <c r="BH213" s="48"/>
      <c r="BZ213" s="48"/>
      <c r="CA213" s="48"/>
      <c r="CB213" s="116"/>
      <c r="CC213" s="116"/>
      <c r="CE213" s="104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</row>
    <row r="214" spans="1:100" s="5" customFormat="1" ht="15.75" x14ac:dyDescent="0.2">
      <c r="A214" s="45"/>
      <c r="C214" s="45"/>
      <c r="D214" s="14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37"/>
      <c r="W214" s="7"/>
      <c r="X214" s="6"/>
      <c r="AO214" s="47"/>
      <c r="AP214" s="46"/>
      <c r="BH214" s="48"/>
      <c r="BZ214" s="48"/>
      <c r="CA214" s="48"/>
      <c r="CB214" s="116"/>
      <c r="CC214" s="116"/>
      <c r="CE214" s="104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</row>
    <row r="215" spans="1:100" s="5" customFormat="1" ht="15.75" x14ac:dyDescent="0.2">
      <c r="A215" s="45"/>
      <c r="C215" s="45"/>
      <c r="D215" s="14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37"/>
      <c r="W215" s="7"/>
      <c r="X215" s="6"/>
      <c r="AO215" s="47"/>
      <c r="AP215" s="46"/>
      <c r="BH215" s="48"/>
      <c r="BZ215" s="48"/>
      <c r="CA215" s="48"/>
      <c r="CB215" s="116"/>
      <c r="CC215" s="116"/>
      <c r="CE215" s="104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</row>
    <row r="216" spans="1:100" s="5" customFormat="1" ht="15.75" x14ac:dyDescent="0.2">
      <c r="A216" s="45"/>
      <c r="C216" s="45"/>
      <c r="D216" s="14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37"/>
      <c r="W216" s="7"/>
      <c r="X216" s="6"/>
      <c r="AO216" s="47"/>
      <c r="AP216" s="46"/>
      <c r="BH216" s="48"/>
      <c r="BZ216" s="48"/>
      <c r="CA216" s="48"/>
      <c r="CB216" s="116"/>
      <c r="CC216" s="116"/>
      <c r="CE216" s="104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</row>
    <row r="217" spans="1:100" s="5" customFormat="1" ht="15.75" x14ac:dyDescent="0.2">
      <c r="A217" s="45"/>
      <c r="C217" s="45"/>
      <c r="D217" s="14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37"/>
      <c r="W217" s="7"/>
      <c r="X217" s="6"/>
      <c r="AO217" s="47"/>
      <c r="AP217" s="46"/>
      <c r="BH217" s="48"/>
      <c r="BZ217" s="48"/>
      <c r="CA217" s="48"/>
      <c r="CB217" s="116"/>
      <c r="CC217" s="116"/>
      <c r="CE217" s="104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</row>
    <row r="218" spans="1:100" s="5" customFormat="1" ht="15.75" x14ac:dyDescent="0.2">
      <c r="A218" s="45"/>
      <c r="C218" s="45"/>
      <c r="D218" s="14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37"/>
      <c r="W218" s="7"/>
      <c r="X218" s="6"/>
      <c r="AO218" s="47"/>
      <c r="AP218" s="46"/>
      <c r="BH218" s="48"/>
      <c r="BZ218" s="48"/>
      <c r="CA218" s="48"/>
      <c r="CB218" s="116"/>
      <c r="CC218" s="116"/>
      <c r="CE218" s="104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</row>
    <row r="219" spans="1:100" s="5" customFormat="1" ht="15.75" x14ac:dyDescent="0.2">
      <c r="A219" s="45"/>
      <c r="C219" s="45"/>
      <c r="D219" s="14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37"/>
      <c r="W219" s="7"/>
      <c r="X219" s="6"/>
      <c r="AO219" s="47"/>
      <c r="AP219" s="46"/>
      <c r="BH219" s="48"/>
      <c r="BZ219" s="48"/>
      <c r="CA219" s="48"/>
      <c r="CB219" s="116"/>
      <c r="CC219" s="116"/>
      <c r="CE219" s="104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</row>
    <row r="220" spans="1:100" s="5" customFormat="1" ht="15.75" x14ac:dyDescent="0.2">
      <c r="A220" s="45"/>
      <c r="C220" s="45"/>
      <c r="D220" s="14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37"/>
      <c r="W220" s="7"/>
      <c r="X220" s="6"/>
      <c r="AO220" s="47"/>
      <c r="AP220" s="46"/>
      <c r="BH220" s="48"/>
      <c r="BZ220" s="48"/>
      <c r="CA220" s="48"/>
      <c r="CB220" s="116"/>
      <c r="CC220" s="116"/>
      <c r="CE220" s="104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</row>
    <row r="221" spans="1:100" s="5" customFormat="1" ht="15.75" x14ac:dyDescent="0.2">
      <c r="A221" s="45"/>
      <c r="C221" s="45"/>
      <c r="D221" s="14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37"/>
      <c r="W221" s="7"/>
      <c r="X221" s="6"/>
      <c r="AO221" s="47"/>
      <c r="AP221" s="46"/>
      <c r="BH221" s="48"/>
      <c r="BZ221" s="48"/>
      <c r="CA221" s="48"/>
      <c r="CB221" s="116"/>
      <c r="CC221" s="116"/>
      <c r="CE221" s="104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</row>
    <row r="222" spans="1:100" s="5" customFormat="1" ht="15.75" x14ac:dyDescent="0.2">
      <c r="A222" s="45"/>
      <c r="C222" s="45"/>
      <c r="D222" s="14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37"/>
      <c r="W222" s="7"/>
      <c r="X222" s="6"/>
      <c r="AO222" s="47"/>
      <c r="AP222" s="46"/>
      <c r="BH222" s="48"/>
      <c r="BZ222" s="48"/>
      <c r="CA222" s="48"/>
      <c r="CB222" s="116"/>
      <c r="CC222" s="116"/>
      <c r="CE222" s="104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</row>
    <row r="223" spans="1:100" s="5" customFormat="1" ht="15.75" x14ac:dyDescent="0.2">
      <c r="A223" s="45"/>
      <c r="C223" s="45"/>
      <c r="D223" s="147"/>
      <c r="E223" s="313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37"/>
      <c r="W223" s="7"/>
      <c r="X223" s="6"/>
      <c r="Y223" s="314"/>
      <c r="AO223" s="47"/>
      <c r="AP223" s="46"/>
      <c r="BH223" s="48"/>
      <c r="BZ223" s="48"/>
      <c r="CA223" s="48"/>
      <c r="CB223" s="116"/>
      <c r="CC223" s="116"/>
      <c r="CE223" s="104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</row>
    <row r="224" spans="1:100" s="5" customFormat="1" ht="15.75" x14ac:dyDescent="0.2">
      <c r="A224" s="45"/>
      <c r="C224" s="45"/>
      <c r="D224" s="147"/>
      <c r="E224" s="313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37"/>
      <c r="W224" s="7"/>
      <c r="X224" s="6"/>
      <c r="Y224" s="314">
        <v>53000</v>
      </c>
      <c r="AO224" s="47"/>
      <c r="AP224" s="46"/>
      <c r="BH224" s="48"/>
      <c r="BZ224" s="48"/>
      <c r="CA224" s="48"/>
      <c r="CB224" s="116"/>
      <c r="CC224" s="116"/>
      <c r="CE224" s="104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</row>
    <row r="225" spans="1:100" s="5" customFormat="1" ht="15.75" x14ac:dyDescent="0.2">
      <c r="A225" s="45"/>
      <c r="C225" s="45"/>
      <c r="D225" s="147"/>
      <c r="E225" s="313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37"/>
      <c r="W225" s="7"/>
      <c r="X225" s="6"/>
      <c r="Y225" s="314">
        <v>85000</v>
      </c>
      <c r="AO225" s="47"/>
      <c r="AP225" s="46"/>
      <c r="BH225" s="48"/>
      <c r="BZ225" s="48"/>
      <c r="CA225" s="48"/>
      <c r="CB225" s="116"/>
      <c r="CC225" s="116"/>
      <c r="CE225" s="104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</row>
    <row r="226" spans="1:100" s="5" customFormat="1" ht="15.75" x14ac:dyDescent="0.2">
      <c r="A226" s="45"/>
      <c r="C226" s="45"/>
      <c r="D226" s="147"/>
      <c r="E226" s="313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37"/>
      <c r="W226" s="7"/>
      <c r="X226" s="6"/>
      <c r="Y226" s="314">
        <v>75000</v>
      </c>
      <c r="AO226" s="47"/>
      <c r="AP226" s="46"/>
      <c r="BH226" s="48"/>
      <c r="BZ226" s="48"/>
      <c r="CA226" s="48"/>
      <c r="CB226" s="116"/>
      <c r="CC226" s="116"/>
      <c r="CE226" s="104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</row>
    <row r="227" spans="1:100" s="5" customFormat="1" ht="15.75" x14ac:dyDescent="0.2">
      <c r="A227" s="45"/>
      <c r="C227" s="45"/>
      <c r="D227" s="147"/>
      <c r="E227" s="313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37"/>
      <c r="W227" s="7"/>
      <c r="X227" s="6"/>
      <c r="Y227" s="314"/>
      <c r="AO227" s="47"/>
      <c r="AP227" s="46"/>
      <c r="BH227" s="48"/>
      <c r="BZ227" s="48"/>
      <c r="CA227" s="48"/>
      <c r="CB227" s="116"/>
      <c r="CC227" s="116"/>
      <c r="CE227" s="104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</row>
    <row r="228" spans="1:100" s="5" customFormat="1" ht="15.75" x14ac:dyDescent="0.2">
      <c r="A228" s="45"/>
      <c r="C228" s="45"/>
      <c r="D228" s="147"/>
      <c r="E228" s="313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37"/>
      <c r="W228" s="7"/>
      <c r="X228" s="6"/>
      <c r="Y228" s="314"/>
      <c r="AO228" s="47"/>
      <c r="AP228" s="46"/>
      <c r="BH228" s="48"/>
      <c r="BZ228" s="48"/>
      <c r="CA228" s="48"/>
      <c r="CB228" s="116"/>
      <c r="CC228" s="116"/>
      <c r="CE228" s="104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</row>
    <row r="229" spans="1:100" s="5" customFormat="1" ht="15.75" x14ac:dyDescent="0.2">
      <c r="A229" s="45"/>
      <c r="C229" s="45"/>
      <c r="D229" s="147"/>
      <c r="E229" s="313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37"/>
      <c r="W229" s="7"/>
      <c r="X229" s="6"/>
      <c r="Y229" s="314"/>
      <c r="AO229" s="47"/>
      <c r="AP229" s="46"/>
      <c r="BH229" s="48"/>
      <c r="BZ229" s="48"/>
      <c r="CA229" s="48"/>
      <c r="CB229" s="116"/>
      <c r="CC229" s="116"/>
      <c r="CE229" s="104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</row>
    <row r="230" spans="1:100" s="5" customFormat="1" ht="15.75" x14ac:dyDescent="0.2">
      <c r="A230" s="45"/>
      <c r="C230" s="45"/>
      <c r="D230" s="147"/>
      <c r="E230" s="313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37"/>
      <c r="W230" s="7"/>
      <c r="X230" s="6"/>
      <c r="Y230" s="314"/>
      <c r="AO230" s="47"/>
      <c r="AP230" s="46"/>
      <c r="BH230" s="48"/>
      <c r="BZ230" s="48"/>
      <c r="CA230" s="48"/>
      <c r="CB230" s="116"/>
      <c r="CC230" s="116"/>
      <c r="CE230" s="104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</row>
    <row r="231" spans="1:100" s="5" customFormat="1" ht="15.75" x14ac:dyDescent="0.2">
      <c r="A231" s="45"/>
      <c r="C231" s="45"/>
      <c r="D231" s="147"/>
      <c r="E231" s="313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37"/>
      <c r="W231" s="7"/>
      <c r="X231" s="6"/>
      <c r="Y231" s="314"/>
      <c r="AO231" s="47"/>
      <c r="AP231" s="46"/>
      <c r="BH231" s="48"/>
      <c r="BZ231" s="48"/>
      <c r="CA231" s="48"/>
      <c r="CB231" s="116"/>
      <c r="CC231" s="116"/>
      <c r="CE231" s="104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</row>
    <row r="232" spans="1:100" s="5" customFormat="1" ht="15.75" x14ac:dyDescent="0.2">
      <c r="A232" s="45"/>
      <c r="C232" s="45"/>
      <c r="D232" s="147"/>
      <c r="E232" s="313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37"/>
      <c r="W232" s="7"/>
      <c r="X232" s="6"/>
      <c r="Y232" s="314"/>
      <c r="AO232" s="47"/>
      <c r="AP232" s="46"/>
      <c r="BH232" s="48"/>
      <c r="BZ232" s="48"/>
      <c r="CA232" s="48"/>
      <c r="CB232" s="116"/>
      <c r="CC232" s="116"/>
      <c r="CE232" s="104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</row>
    <row r="233" spans="1:100" s="5" customFormat="1" ht="15.75" x14ac:dyDescent="0.2">
      <c r="A233" s="45"/>
      <c r="C233" s="45"/>
      <c r="D233" s="147"/>
      <c r="E233" s="313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37"/>
      <c r="W233" s="7"/>
      <c r="X233" s="6"/>
      <c r="Y233" s="314"/>
      <c r="AO233" s="47"/>
      <c r="AP233" s="46"/>
      <c r="BH233" s="48"/>
      <c r="BZ233" s="48"/>
      <c r="CA233" s="48"/>
      <c r="CB233" s="116"/>
      <c r="CC233" s="116"/>
      <c r="CE233" s="104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</row>
    <row r="234" spans="1:100" s="5" customFormat="1" ht="15.75" x14ac:dyDescent="0.2">
      <c r="A234" s="45"/>
      <c r="C234" s="45"/>
      <c r="D234" s="147"/>
      <c r="E234" s="313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37"/>
      <c r="W234" s="7"/>
      <c r="X234" s="6"/>
      <c r="Y234" s="314"/>
      <c r="AO234" s="47"/>
      <c r="AP234" s="46"/>
      <c r="BH234" s="48"/>
      <c r="BZ234" s="48"/>
      <c r="CA234" s="48"/>
      <c r="CB234" s="116"/>
      <c r="CC234" s="116"/>
      <c r="CE234" s="104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</row>
    <row r="235" spans="1:100" s="5" customFormat="1" ht="15.75" x14ac:dyDescent="0.2">
      <c r="A235" s="45"/>
      <c r="C235" s="45"/>
      <c r="D235" s="14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37"/>
      <c r="W235" s="7"/>
      <c r="X235" s="6"/>
      <c r="AO235" s="47"/>
      <c r="AP235" s="46"/>
      <c r="BH235" s="48"/>
      <c r="BZ235" s="48"/>
      <c r="CA235" s="48"/>
      <c r="CB235" s="116"/>
      <c r="CC235" s="116"/>
      <c r="CE235" s="104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</row>
    <row r="236" spans="1:100" s="5" customFormat="1" ht="15.75" x14ac:dyDescent="0.2">
      <c r="A236" s="45"/>
      <c r="C236" s="45"/>
      <c r="D236" s="14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37"/>
      <c r="W236" s="7"/>
      <c r="X236" s="6"/>
      <c r="AO236" s="47"/>
      <c r="AP236" s="46"/>
      <c r="BH236" s="48"/>
      <c r="BZ236" s="48"/>
      <c r="CA236" s="48"/>
      <c r="CB236" s="116"/>
      <c r="CC236" s="116"/>
      <c r="CE236" s="104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</row>
    <row r="237" spans="1:100" s="5" customFormat="1" ht="15.75" x14ac:dyDescent="0.2">
      <c r="A237" s="45"/>
      <c r="C237" s="45"/>
      <c r="D237" s="14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37"/>
      <c r="W237" s="7"/>
      <c r="X237" s="6"/>
      <c r="AO237" s="47"/>
      <c r="AP237" s="46"/>
      <c r="BH237" s="48"/>
      <c r="BZ237" s="48"/>
      <c r="CA237" s="48"/>
      <c r="CB237" s="116"/>
      <c r="CC237" s="116"/>
      <c r="CE237" s="104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</row>
    <row r="238" spans="1:100" s="5" customFormat="1" ht="15.75" x14ac:dyDescent="0.2">
      <c r="A238" s="45"/>
      <c r="C238" s="45"/>
      <c r="D238" s="14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37"/>
      <c r="W238" s="7"/>
      <c r="X238" s="6"/>
      <c r="AO238" s="47"/>
      <c r="AP238" s="46"/>
      <c r="AQ238" s="162"/>
      <c r="BH238" s="48"/>
      <c r="BZ238" s="48"/>
      <c r="CA238" s="48"/>
      <c r="CB238" s="116"/>
      <c r="CC238" s="116"/>
      <c r="CE238" s="104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</row>
    <row r="239" spans="1:100" s="5" customFormat="1" ht="15.75" x14ac:dyDescent="0.2">
      <c r="A239" s="45"/>
      <c r="C239" s="45"/>
      <c r="D239" s="14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37"/>
      <c r="W239" s="7"/>
      <c r="X239" s="6"/>
      <c r="AO239" s="47"/>
      <c r="AP239" s="46"/>
      <c r="BH239" s="48"/>
      <c r="BZ239" s="48"/>
      <c r="CA239" s="48"/>
      <c r="CB239" s="116"/>
      <c r="CC239" s="116"/>
      <c r="CE239" s="104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</row>
    <row r="240" spans="1:100" s="5" customFormat="1" ht="15.75" x14ac:dyDescent="0.2">
      <c r="A240" s="45"/>
      <c r="C240" s="45"/>
      <c r="D240" s="14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37"/>
      <c r="W240" s="7"/>
      <c r="X240" s="6"/>
      <c r="AO240" s="47"/>
      <c r="AP240" s="46"/>
      <c r="BH240" s="48"/>
      <c r="BZ240" s="48"/>
      <c r="CA240" s="48"/>
      <c r="CB240" s="116"/>
      <c r="CC240" s="116"/>
      <c r="CE240" s="104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</row>
    <row r="241" spans="1:100" s="5" customFormat="1" ht="15.75" x14ac:dyDescent="0.2">
      <c r="A241" s="45"/>
      <c r="C241" s="45"/>
      <c r="D241" s="14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37"/>
      <c r="W241" s="7"/>
      <c r="X241" s="6"/>
      <c r="AO241" s="47"/>
      <c r="AP241" s="46"/>
      <c r="BH241" s="48"/>
      <c r="BZ241" s="48"/>
      <c r="CA241" s="48"/>
      <c r="CB241" s="116"/>
      <c r="CC241" s="116"/>
      <c r="CE241" s="104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</row>
    <row r="242" spans="1:100" s="5" customFormat="1" ht="15.75" x14ac:dyDescent="0.2">
      <c r="A242" s="45"/>
      <c r="C242" s="45"/>
      <c r="D242" s="14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37"/>
      <c r="W242" s="7"/>
      <c r="X242" s="6"/>
      <c r="AO242" s="47"/>
      <c r="AP242" s="46"/>
      <c r="BH242" s="48"/>
      <c r="BZ242" s="48"/>
      <c r="CA242" s="48"/>
      <c r="CB242" s="116"/>
      <c r="CC242" s="116"/>
      <c r="CE242" s="104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</row>
    <row r="243" spans="1:100" s="5" customFormat="1" ht="15.75" x14ac:dyDescent="0.2">
      <c r="A243" s="45"/>
      <c r="C243" s="45"/>
      <c r="D243" s="14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37"/>
      <c r="W243" s="7"/>
      <c r="X243" s="6"/>
      <c r="AO243" s="47"/>
      <c r="AP243" s="46"/>
      <c r="BH243" s="48"/>
      <c r="BZ243" s="48"/>
      <c r="CA243" s="48"/>
      <c r="CB243" s="116"/>
      <c r="CC243" s="116"/>
      <c r="CE243" s="104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</row>
    <row r="244" spans="1:100" s="5" customFormat="1" ht="15.75" x14ac:dyDescent="0.2">
      <c r="A244" s="45"/>
      <c r="C244" s="45"/>
      <c r="D244" s="14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37"/>
      <c r="W244" s="7"/>
      <c r="X244" s="6"/>
      <c r="AO244" s="47"/>
      <c r="AP244" s="46"/>
      <c r="BH244" s="48"/>
      <c r="BZ244" s="48"/>
      <c r="CA244" s="48"/>
      <c r="CB244" s="116"/>
      <c r="CC244" s="116"/>
      <c r="CE244" s="104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</row>
    <row r="245" spans="1:100" s="5" customFormat="1" ht="15.75" x14ac:dyDescent="0.2">
      <c r="A245" s="45"/>
      <c r="C245" s="45"/>
      <c r="D245" s="14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37"/>
      <c r="W245" s="7"/>
      <c r="X245" s="6"/>
      <c r="AO245" s="47"/>
      <c r="AP245" s="46"/>
      <c r="BH245" s="48"/>
      <c r="BZ245" s="48"/>
      <c r="CA245" s="48"/>
      <c r="CB245" s="116"/>
      <c r="CC245" s="116"/>
      <c r="CE245" s="104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</row>
    <row r="246" spans="1:100" s="5" customFormat="1" ht="15.75" x14ac:dyDescent="0.2">
      <c r="A246" s="45"/>
      <c r="C246" s="45"/>
      <c r="D246" s="14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37"/>
      <c r="W246" s="7"/>
      <c r="X246" s="6"/>
      <c r="AO246" s="47"/>
      <c r="AP246" s="46"/>
      <c r="BH246" s="48"/>
      <c r="BZ246" s="48"/>
      <c r="CA246" s="48"/>
      <c r="CB246" s="116"/>
      <c r="CC246" s="116"/>
      <c r="CE246" s="104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</row>
    <row r="247" spans="1:100" s="5" customFormat="1" ht="15.75" x14ac:dyDescent="0.2">
      <c r="A247" s="45"/>
      <c r="C247" s="45"/>
      <c r="D247" s="14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37"/>
      <c r="W247" s="7"/>
      <c r="X247" s="6"/>
      <c r="AO247" s="47"/>
      <c r="AP247" s="46"/>
      <c r="BH247" s="48"/>
      <c r="BZ247" s="48"/>
      <c r="CA247" s="48"/>
      <c r="CB247" s="116"/>
      <c r="CC247" s="116"/>
      <c r="CE247" s="104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</row>
    <row r="248" spans="1:100" s="5" customFormat="1" ht="15.75" x14ac:dyDescent="0.2">
      <c r="A248" s="45"/>
      <c r="C248" s="45"/>
      <c r="D248" s="14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37"/>
      <c r="W248" s="7"/>
      <c r="X248" s="6"/>
      <c r="AO248" s="47"/>
      <c r="AP248" s="46"/>
      <c r="BH248" s="48"/>
      <c r="BZ248" s="48"/>
      <c r="CA248" s="48"/>
      <c r="CB248" s="116"/>
      <c r="CC248" s="116"/>
      <c r="CE248" s="104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</row>
    <row r="249" spans="1:100" s="5" customFormat="1" ht="15.75" x14ac:dyDescent="0.2">
      <c r="A249" s="45"/>
      <c r="C249" s="45"/>
      <c r="D249" s="14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37"/>
      <c r="W249" s="7"/>
      <c r="X249" s="6"/>
      <c r="AO249" s="47"/>
      <c r="AP249" s="46"/>
      <c r="BH249" s="48"/>
      <c r="BZ249" s="48"/>
      <c r="CA249" s="48"/>
      <c r="CB249" s="116"/>
      <c r="CC249" s="116"/>
      <c r="CE249" s="104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</row>
    <row r="250" spans="1:100" s="5" customFormat="1" ht="15.75" x14ac:dyDescent="0.2">
      <c r="A250" s="45"/>
      <c r="C250" s="45"/>
      <c r="D250" s="14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37"/>
      <c r="W250" s="7"/>
      <c r="X250" s="6"/>
      <c r="AO250" s="47"/>
      <c r="AP250" s="46"/>
      <c r="BH250" s="48"/>
      <c r="BZ250" s="48"/>
      <c r="CA250" s="48"/>
      <c r="CB250" s="116"/>
      <c r="CC250" s="116"/>
      <c r="CE250" s="104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</row>
    <row r="251" spans="1:100" s="5" customFormat="1" ht="15.75" x14ac:dyDescent="0.2">
      <c r="A251" s="45"/>
      <c r="C251" s="45"/>
      <c r="D251" s="14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37"/>
      <c r="W251" s="7"/>
      <c r="X251" s="6"/>
      <c r="AO251" s="47"/>
      <c r="AP251" s="46"/>
      <c r="BH251" s="48"/>
      <c r="BZ251" s="48"/>
      <c r="CA251" s="48"/>
      <c r="CB251" s="116"/>
      <c r="CC251" s="116"/>
      <c r="CE251" s="104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</row>
    <row r="252" spans="1:100" s="5" customFormat="1" ht="15.75" x14ac:dyDescent="0.2">
      <c r="A252" s="45"/>
      <c r="C252" s="45"/>
      <c r="D252" s="14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37"/>
      <c r="W252" s="7"/>
      <c r="X252" s="6"/>
      <c r="AO252" s="47"/>
      <c r="AP252" s="46"/>
      <c r="BH252" s="48"/>
      <c r="BZ252" s="48"/>
      <c r="CA252" s="48"/>
      <c r="CB252" s="116"/>
      <c r="CC252" s="116"/>
      <c r="CE252" s="104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</row>
    <row r="253" spans="1:100" s="5" customFormat="1" ht="15.75" x14ac:dyDescent="0.2">
      <c r="A253" s="45"/>
      <c r="C253" s="45"/>
      <c r="D253" s="14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37"/>
      <c r="W253" s="7"/>
      <c r="X253" s="6"/>
      <c r="AO253" s="47"/>
      <c r="AP253" s="46"/>
      <c r="BH253" s="48"/>
      <c r="BZ253" s="48"/>
      <c r="CA253" s="48"/>
      <c r="CB253" s="116"/>
      <c r="CC253" s="116"/>
      <c r="CE253" s="104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</row>
    <row r="254" spans="1:100" s="5" customFormat="1" ht="15.75" x14ac:dyDescent="0.2">
      <c r="A254" s="45"/>
      <c r="C254" s="45"/>
      <c r="D254" s="14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37"/>
      <c r="W254" s="7"/>
      <c r="X254" s="6"/>
      <c r="AO254" s="47"/>
      <c r="AP254" s="46"/>
      <c r="BH254" s="48"/>
      <c r="BZ254" s="48"/>
      <c r="CA254" s="48"/>
      <c r="CB254" s="116"/>
      <c r="CC254" s="116"/>
      <c r="CE254" s="104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</row>
    <row r="255" spans="1:100" s="5" customFormat="1" ht="15.75" x14ac:dyDescent="0.2">
      <c r="A255" s="45"/>
      <c r="C255" s="45"/>
      <c r="D255" s="14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37"/>
      <c r="W255" s="7"/>
      <c r="X255" s="6"/>
      <c r="AO255" s="47"/>
      <c r="AP255" s="46"/>
      <c r="BH255" s="48"/>
      <c r="BZ255" s="48"/>
      <c r="CA255" s="48"/>
      <c r="CB255" s="116"/>
      <c r="CC255" s="116"/>
      <c r="CE255" s="104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</row>
    <row r="256" spans="1:100" s="5" customFormat="1" ht="15.75" x14ac:dyDescent="0.2">
      <c r="A256" s="45"/>
      <c r="C256" s="45"/>
      <c r="D256" s="14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37"/>
      <c r="W256" s="7"/>
      <c r="X256" s="6"/>
      <c r="AO256" s="47"/>
      <c r="AP256" s="46"/>
      <c r="BH256" s="48"/>
      <c r="BZ256" s="48"/>
      <c r="CA256" s="48"/>
      <c r="CB256" s="116"/>
      <c r="CC256" s="116"/>
      <c r="CE256" s="104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</row>
    <row r="257" spans="1:100" s="5" customFormat="1" ht="15.75" x14ac:dyDescent="0.2">
      <c r="A257" s="45"/>
      <c r="C257" s="45"/>
      <c r="D257" s="14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37"/>
      <c r="W257" s="7"/>
      <c r="X257" s="6"/>
      <c r="AO257" s="47"/>
      <c r="AP257" s="46"/>
      <c r="BH257" s="48"/>
      <c r="BZ257" s="48"/>
      <c r="CA257" s="48"/>
      <c r="CB257" s="116"/>
      <c r="CC257" s="116"/>
      <c r="CE257" s="104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</row>
    <row r="258" spans="1:100" s="5" customFormat="1" ht="15.75" x14ac:dyDescent="0.2">
      <c r="A258" s="45"/>
      <c r="C258" s="45"/>
      <c r="D258" s="14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37"/>
      <c r="W258" s="7"/>
      <c r="X258" s="6"/>
      <c r="AO258" s="47"/>
      <c r="AP258" s="46"/>
      <c r="BH258" s="48"/>
      <c r="BZ258" s="48"/>
      <c r="CA258" s="48"/>
      <c r="CB258" s="116"/>
      <c r="CC258" s="116"/>
      <c r="CE258" s="104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</row>
    <row r="259" spans="1:100" s="5" customFormat="1" ht="15.75" x14ac:dyDescent="0.2">
      <c r="A259" s="45"/>
      <c r="C259" s="45"/>
      <c r="D259" s="14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37"/>
      <c r="W259" s="7"/>
      <c r="X259" s="6"/>
      <c r="AO259" s="47"/>
      <c r="AP259" s="46"/>
      <c r="BH259" s="48"/>
      <c r="BZ259" s="48"/>
      <c r="CA259" s="48"/>
      <c r="CB259" s="116"/>
      <c r="CC259" s="116"/>
      <c r="CE259" s="104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</row>
    <row r="260" spans="1:100" s="5" customFormat="1" ht="15.75" x14ac:dyDescent="0.2">
      <c r="A260" s="45"/>
      <c r="C260" s="45"/>
      <c r="D260" s="14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37"/>
      <c r="W260" s="7"/>
      <c r="X260" s="6"/>
      <c r="AO260" s="47"/>
      <c r="AP260" s="46"/>
      <c r="BH260" s="48"/>
      <c r="BZ260" s="48"/>
      <c r="CA260" s="48"/>
      <c r="CB260" s="116"/>
      <c r="CC260" s="116"/>
      <c r="CE260" s="104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</row>
    <row r="261" spans="1:100" s="5" customFormat="1" ht="15.75" x14ac:dyDescent="0.2">
      <c r="A261" s="45"/>
      <c r="C261" s="45"/>
      <c r="D261" s="14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37"/>
      <c r="W261" s="7"/>
      <c r="X261" s="6"/>
      <c r="AO261" s="47"/>
      <c r="AP261" s="46"/>
      <c r="BH261" s="48"/>
      <c r="BZ261" s="48"/>
      <c r="CA261" s="48"/>
      <c r="CB261" s="116"/>
      <c r="CC261" s="116"/>
      <c r="CE261" s="104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</row>
    <row r="262" spans="1:100" s="5" customFormat="1" ht="15.75" x14ac:dyDescent="0.2">
      <c r="A262" s="45"/>
      <c r="C262" s="45"/>
      <c r="D262" s="14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37"/>
      <c r="W262" s="7"/>
      <c r="X262" s="6"/>
      <c r="AO262" s="47"/>
      <c r="AP262" s="46"/>
      <c r="BH262" s="48"/>
      <c r="BZ262" s="48"/>
      <c r="CA262" s="48"/>
      <c r="CB262" s="116"/>
      <c r="CC262" s="116"/>
      <c r="CE262" s="104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</row>
    <row r="263" spans="1:100" s="5" customFormat="1" ht="15.75" x14ac:dyDescent="0.2">
      <c r="A263" s="45"/>
      <c r="C263" s="45"/>
      <c r="D263" s="14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37"/>
      <c r="W263" s="7"/>
      <c r="X263" s="6"/>
      <c r="AO263" s="47"/>
      <c r="AP263" s="46"/>
      <c r="BH263" s="48"/>
      <c r="BZ263" s="48"/>
      <c r="CA263" s="48"/>
      <c r="CB263" s="116"/>
      <c r="CC263" s="116"/>
      <c r="CE263" s="104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</row>
    <row r="264" spans="1:100" s="5" customFormat="1" ht="15.75" x14ac:dyDescent="0.2">
      <c r="A264" s="45"/>
      <c r="C264" s="45"/>
      <c r="D264" s="14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37"/>
      <c r="W264" s="7"/>
      <c r="X264" s="6"/>
      <c r="AO264" s="47"/>
      <c r="AP264" s="46"/>
      <c r="BH264" s="48"/>
      <c r="BZ264" s="48"/>
      <c r="CA264" s="48"/>
      <c r="CB264" s="116"/>
      <c r="CC264" s="116"/>
      <c r="CE264" s="104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  <c r="CT264" s="21"/>
      <c r="CU264" s="21"/>
      <c r="CV264" s="21"/>
    </row>
    <row r="265" spans="1:100" s="5" customFormat="1" ht="15.75" x14ac:dyDescent="0.2">
      <c r="A265" s="45"/>
      <c r="C265" s="45"/>
      <c r="D265" s="14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37"/>
      <c r="W265" s="7"/>
      <c r="X265" s="6"/>
      <c r="AO265" s="47"/>
      <c r="AP265" s="46"/>
      <c r="BH265" s="48"/>
      <c r="BZ265" s="48"/>
      <c r="CA265" s="48"/>
      <c r="CB265" s="116"/>
      <c r="CC265" s="116"/>
      <c r="CE265" s="104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</row>
    <row r="266" spans="1:100" s="5" customFormat="1" ht="15.75" x14ac:dyDescent="0.2">
      <c r="A266" s="45"/>
      <c r="C266" s="45"/>
      <c r="D266" s="14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37"/>
      <c r="W266" s="7"/>
      <c r="X266" s="6"/>
      <c r="AO266" s="47"/>
      <c r="AP266" s="46"/>
      <c r="BH266" s="48"/>
      <c r="BZ266" s="48"/>
      <c r="CA266" s="48"/>
      <c r="CB266" s="116"/>
      <c r="CC266" s="116"/>
      <c r="CE266" s="104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1"/>
      <c r="CV266" s="21"/>
    </row>
    <row r="267" spans="1:100" s="5" customFormat="1" ht="15.75" x14ac:dyDescent="0.2">
      <c r="A267" s="45"/>
      <c r="C267" s="45"/>
      <c r="D267" s="14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37"/>
      <c r="W267" s="7"/>
      <c r="X267" s="6"/>
      <c r="AO267" s="47"/>
      <c r="AP267" s="46"/>
      <c r="BH267" s="48"/>
      <c r="BZ267" s="48"/>
      <c r="CA267" s="48"/>
      <c r="CB267" s="116"/>
      <c r="CC267" s="116"/>
      <c r="CE267" s="104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1"/>
      <c r="CV267" s="21"/>
    </row>
    <row r="268" spans="1:100" s="5" customFormat="1" ht="15.75" x14ac:dyDescent="0.2">
      <c r="A268" s="45"/>
      <c r="C268" s="45"/>
      <c r="D268" s="14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37"/>
      <c r="W268" s="7"/>
      <c r="X268" s="6"/>
      <c r="AO268" s="47"/>
      <c r="AP268" s="46"/>
      <c r="BH268" s="48"/>
      <c r="BZ268" s="48"/>
      <c r="CA268" s="48"/>
      <c r="CB268" s="116"/>
      <c r="CC268" s="116"/>
      <c r="CE268" s="104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</row>
    <row r="269" spans="1:100" s="5" customFormat="1" ht="15.75" x14ac:dyDescent="0.2">
      <c r="A269" s="45"/>
      <c r="C269" s="45"/>
      <c r="D269" s="14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37"/>
      <c r="W269" s="7"/>
      <c r="X269" s="6"/>
      <c r="AO269" s="47"/>
      <c r="AP269" s="46"/>
      <c r="BH269" s="48"/>
      <c r="BZ269" s="48"/>
      <c r="CA269" s="48"/>
      <c r="CB269" s="116"/>
      <c r="CC269" s="116"/>
      <c r="CE269" s="104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</row>
    <row r="270" spans="1:100" s="5" customFormat="1" ht="15.75" x14ac:dyDescent="0.2">
      <c r="A270" s="45"/>
      <c r="C270" s="45"/>
      <c r="D270" s="14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37"/>
      <c r="W270" s="7"/>
      <c r="X270" s="6"/>
      <c r="AO270" s="47"/>
      <c r="AP270" s="46"/>
      <c r="BH270" s="48"/>
      <c r="BZ270" s="48"/>
      <c r="CA270" s="48"/>
      <c r="CB270" s="116"/>
      <c r="CC270" s="116"/>
      <c r="CE270" s="104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</row>
    <row r="271" spans="1:100" s="5" customFormat="1" ht="15.75" x14ac:dyDescent="0.2">
      <c r="A271" s="45"/>
      <c r="C271" s="45"/>
      <c r="D271" s="14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37"/>
      <c r="W271" s="7"/>
      <c r="X271" s="6"/>
      <c r="AO271" s="47"/>
      <c r="AP271" s="46"/>
      <c r="BH271" s="48"/>
      <c r="BZ271" s="48"/>
      <c r="CA271" s="48"/>
      <c r="CB271" s="116"/>
      <c r="CC271" s="116"/>
      <c r="CE271" s="104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</row>
    <row r="272" spans="1:100" s="5" customFormat="1" ht="15.75" x14ac:dyDescent="0.2">
      <c r="A272" s="45"/>
      <c r="C272" s="45"/>
      <c r="D272" s="14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37"/>
      <c r="W272" s="7"/>
      <c r="X272" s="6"/>
      <c r="AO272" s="47"/>
      <c r="AP272" s="46"/>
      <c r="BH272" s="48"/>
      <c r="BZ272" s="48"/>
      <c r="CA272" s="48"/>
      <c r="CB272" s="116"/>
      <c r="CC272" s="116"/>
      <c r="CE272" s="104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</row>
    <row r="273" spans="1:100" s="5" customFormat="1" ht="15.75" x14ac:dyDescent="0.2">
      <c r="A273" s="45"/>
      <c r="C273" s="45"/>
      <c r="D273" s="14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37"/>
      <c r="W273" s="7"/>
      <c r="X273" s="6"/>
      <c r="AO273" s="47"/>
      <c r="AP273" s="46"/>
      <c r="BH273" s="48"/>
      <c r="BZ273" s="48"/>
      <c r="CA273" s="48"/>
      <c r="CB273" s="116"/>
      <c r="CC273" s="116"/>
      <c r="CE273" s="104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</row>
    <row r="274" spans="1:100" s="5" customFormat="1" ht="15.75" x14ac:dyDescent="0.2">
      <c r="A274" s="45"/>
      <c r="C274" s="45"/>
      <c r="D274" s="14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37"/>
      <c r="W274" s="7"/>
      <c r="X274" s="6"/>
      <c r="AO274" s="47"/>
      <c r="AP274" s="46"/>
      <c r="BH274" s="48"/>
      <c r="BZ274" s="48"/>
      <c r="CA274" s="48"/>
      <c r="CB274" s="116"/>
      <c r="CC274" s="116"/>
      <c r="CE274" s="104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</row>
    <row r="275" spans="1:100" s="5" customFormat="1" ht="15.75" x14ac:dyDescent="0.2">
      <c r="A275" s="45"/>
      <c r="C275" s="45"/>
      <c r="D275" s="14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37"/>
      <c r="W275" s="7"/>
      <c r="X275" s="6"/>
      <c r="AO275" s="47"/>
      <c r="AP275" s="46"/>
      <c r="BH275" s="48"/>
      <c r="BZ275" s="48"/>
      <c r="CA275" s="48"/>
      <c r="CB275" s="116"/>
      <c r="CC275" s="116"/>
      <c r="CE275" s="104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1"/>
      <c r="CV275" s="21"/>
    </row>
    <row r="276" spans="1:100" s="5" customFormat="1" ht="15.75" x14ac:dyDescent="0.2">
      <c r="A276" s="45"/>
      <c r="C276" s="45"/>
      <c r="D276" s="14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37"/>
      <c r="W276" s="7"/>
      <c r="X276" s="6"/>
      <c r="AO276" s="47"/>
      <c r="AP276" s="46"/>
      <c r="BH276" s="48"/>
      <c r="BZ276" s="48"/>
      <c r="CA276" s="48"/>
      <c r="CB276" s="116"/>
      <c r="CC276" s="116"/>
      <c r="CE276" s="104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1"/>
      <c r="CV276" s="21"/>
    </row>
    <row r="277" spans="1:100" s="5" customFormat="1" ht="15.75" x14ac:dyDescent="0.2">
      <c r="A277" s="45"/>
      <c r="C277" s="45"/>
      <c r="D277" s="14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37"/>
      <c r="W277" s="7"/>
      <c r="X277" s="6"/>
      <c r="AO277" s="47"/>
      <c r="AP277" s="46"/>
      <c r="BH277" s="48"/>
      <c r="BZ277" s="48"/>
      <c r="CA277" s="48"/>
      <c r="CB277" s="116"/>
      <c r="CC277" s="116"/>
      <c r="CE277" s="104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1"/>
      <c r="CV277" s="21"/>
    </row>
    <row r="278" spans="1:100" s="5" customFormat="1" ht="15.75" x14ac:dyDescent="0.2">
      <c r="A278" s="45"/>
      <c r="C278" s="45"/>
      <c r="D278" s="14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37"/>
      <c r="W278" s="7"/>
      <c r="X278" s="6"/>
      <c r="AO278" s="47"/>
      <c r="AP278" s="46"/>
      <c r="BH278" s="48"/>
      <c r="BZ278" s="48"/>
      <c r="CA278" s="48"/>
      <c r="CB278" s="116"/>
      <c r="CC278" s="116"/>
      <c r="CE278" s="104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1"/>
      <c r="CV278" s="21"/>
    </row>
    <row r="279" spans="1:100" s="5" customFormat="1" ht="15.75" x14ac:dyDescent="0.2">
      <c r="A279" s="45"/>
      <c r="C279" s="45"/>
      <c r="D279" s="14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37"/>
      <c r="W279" s="7"/>
      <c r="X279" s="6"/>
      <c r="AO279" s="47"/>
      <c r="AP279" s="46"/>
      <c r="BH279" s="48"/>
      <c r="BZ279" s="48"/>
      <c r="CA279" s="48"/>
      <c r="CB279" s="116"/>
      <c r="CC279" s="116"/>
      <c r="CE279" s="104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</row>
    <row r="280" spans="1:100" s="5" customFormat="1" ht="15.75" x14ac:dyDescent="0.2">
      <c r="A280" s="45"/>
      <c r="C280" s="45"/>
      <c r="D280" s="14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37"/>
      <c r="W280" s="7"/>
      <c r="X280" s="6"/>
      <c r="AO280" s="47"/>
      <c r="AP280" s="46"/>
      <c r="BH280" s="48"/>
      <c r="BZ280" s="48"/>
      <c r="CA280" s="48"/>
      <c r="CB280" s="116"/>
      <c r="CC280" s="116"/>
      <c r="CE280" s="104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1"/>
      <c r="CV280" s="21"/>
    </row>
    <row r="281" spans="1:100" s="5" customFormat="1" ht="15.75" x14ac:dyDescent="0.2">
      <c r="A281" s="45"/>
      <c r="C281" s="45"/>
      <c r="D281" s="14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37"/>
      <c r="W281" s="7"/>
      <c r="X281" s="6"/>
      <c r="AO281" s="47"/>
      <c r="AP281" s="46"/>
      <c r="BH281" s="48"/>
      <c r="BZ281" s="48"/>
      <c r="CA281" s="48"/>
      <c r="CB281" s="116"/>
      <c r="CC281" s="116"/>
      <c r="CE281" s="104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1"/>
      <c r="CV281" s="21"/>
    </row>
    <row r="282" spans="1:100" s="5" customFormat="1" ht="15.75" x14ac:dyDescent="0.2">
      <c r="A282" s="45"/>
      <c r="C282" s="45"/>
      <c r="D282" s="14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37"/>
      <c r="W282" s="7"/>
      <c r="X282" s="6"/>
      <c r="AO282" s="47"/>
      <c r="AP282" s="46"/>
      <c r="BH282" s="48"/>
      <c r="BZ282" s="48"/>
      <c r="CA282" s="48"/>
      <c r="CB282" s="116"/>
      <c r="CC282" s="116"/>
      <c r="CE282" s="104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</row>
    <row r="283" spans="1:100" s="5" customFormat="1" ht="15.75" x14ac:dyDescent="0.2">
      <c r="A283" s="45"/>
      <c r="C283" s="45"/>
      <c r="D283" s="14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37"/>
      <c r="W283" s="7"/>
      <c r="X283" s="6"/>
      <c r="AO283" s="47"/>
      <c r="AP283" s="46"/>
      <c r="BH283" s="48"/>
      <c r="BZ283" s="48"/>
      <c r="CA283" s="48"/>
      <c r="CB283" s="116"/>
      <c r="CC283" s="116"/>
      <c r="CE283" s="104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</row>
    <row r="284" spans="1:100" s="5" customFormat="1" ht="15.75" x14ac:dyDescent="0.2">
      <c r="A284" s="45"/>
      <c r="C284" s="45"/>
      <c r="D284" s="14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37"/>
      <c r="W284" s="7"/>
      <c r="X284" s="6"/>
      <c r="AO284" s="47"/>
      <c r="AP284" s="46"/>
      <c r="BH284" s="48"/>
      <c r="BZ284" s="48"/>
      <c r="CA284" s="48"/>
      <c r="CB284" s="116"/>
      <c r="CC284" s="116"/>
      <c r="CE284" s="104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</row>
    <row r="285" spans="1:100" s="5" customFormat="1" ht="15.75" x14ac:dyDescent="0.2">
      <c r="A285" s="45"/>
      <c r="C285" s="45"/>
      <c r="D285" s="14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37"/>
      <c r="W285" s="7"/>
      <c r="X285" s="6"/>
      <c r="AO285" s="47"/>
      <c r="AP285" s="46"/>
      <c r="BH285" s="48"/>
      <c r="BZ285" s="48"/>
      <c r="CA285" s="48"/>
      <c r="CB285" s="116"/>
      <c r="CC285" s="116"/>
      <c r="CE285" s="104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</row>
    <row r="286" spans="1:100" s="5" customFormat="1" ht="15.75" x14ac:dyDescent="0.2">
      <c r="A286" s="45"/>
      <c r="C286" s="45"/>
      <c r="D286" s="14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37"/>
      <c r="W286" s="7"/>
      <c r="X286" s="6"/>
      <c r="AO286" s="47"/>
      <c r="AP286" s="46"/>
      <c r="BH286" s="48"/>
      <c r="BZ286" s="48"/>
      <c r="CA286" s="48"/>
      <c r="CB286" s="116"/>
      <c r="CC286" s="116"/>
      <c r="CE286" s="104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</row>
    <row r="287" spans="1:100" s="5" customFormat="1" ht="15.75" x14ac:dyDescent="0.2">
      <c r="A287" s="45"/>
      <c r="C287" s="45"/>
      <c r="D287" s="14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37"/>
      <c r="W287" s="7"/>
      <c r="X287" s="6"/>
      <c r="AO287" s="47"/>
      <c r="AP287" s="46"/>
      <c r="BH287" s="48"/>
      <c r="BZ287" s="48"/>
      <c r="CA287" s="48"/>
      <c r="CB287" s="116"/>
      <c r="CC287" s="116"/>
      <c r="CE287" s="104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</row>
    <row r="288" spans="1:100" s="5" customFormat="1" ht="15.75" x14ac:dyDescent="0.2">
      <c r="A288" s="45"/>
      <c r="C288" s="45"/>
      <c r="D288" s="14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37"/>
      <c r="W288" s="7"/>
      <c r="X288" s="6"/>
      <c r="AO288" s="47"/>
      <c r="AP288" s="46"/>
      <c r="BH288" s="48"/>
      <c r="BZ288" s="48"/>
      <c r="CA288" s="48"/>
      <c r="CB288" s="116"/>
      <c r="CC288" s="116"/>
      <c r="CE288" s="104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</row>
    <row r="289" spans="1:100" s="5" customFormat="1" ht="15.75" x14ac:dyDescent="0.2">
      <c r="A289" s="45"/>
      <c r="C289" s="45"/>
      <c r="D289" s="14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37"/>
      <c r="W289" s="7"/>
      <c r="X289" s="6"/>
      <c r="AO289" s="47"/>
      <c r="AP289" s="46"/>
      <c r="BH289" s="48"/>
      <c r="BZ289" s="48"/>
      <c r="CA289" s="48"/>
      <c r="CB289" s="116"/>
      <c r="CC289" s="116"/>
      <c r="CE289" s="104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</row>
    <row r="290" spans="1:100" s="5" customFormat="1" ht="15.75" x14ac:dyDescent="0.2">
      <c r="A290" s="45"/>
      <c r="C290" s="45"/>
      <c r="D290" s="14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37"/>
      <c r="W290" s="7"/>
      <c r="X290" s="6"/>
      <c r="AO290" s="47"/>
      <c r="AP290" s="46"/>
      <c r="BH290" s="48"/>
      <c r="BZ290" s="48"/>
      <c r="CA290" s="48"/>
      <c r="CB290" s="116"/>
      <c r="CC290" s="116"/>
      <c r="CE290" s="104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</row>
    <row r="291" spans="1:100" s="5" customFormat="1" ht="15.75" x14ac:dyDescent="0.2">
      <c r="A291" s="45"/>
      <c r="C291" s="45"/>
      <c r="D291" s="14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37"/>
      <c r="W291" s="7"/>
      <c r="X291" s="6"/>
      <c r="AO291" s="47"/>
      <c r="AP291" s="46"/>
      <c r="BH291" s="48"/>
      <c r="BZ291" s="48"/>
      <c r="CA291" s="48"/>
      <c r="CB291" s="116"/>
      <c r="CC291" s="116"/>
      <c r="CE291" s="104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  <c r="CT291" s="21"/>
      <c r="CU291" s="21"/>
      <c r="CV291" s="21"/>
    </row>
    <row r="292" spans="1:100" s="5" customFormat="1" ht="15.75" x14ac:dyDescent="0.2">
      <c r="A292" s="45"/>
      <c r="C292" s="45"/>
      <c r="D292" s="14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37"/>
      <c r="W292" s="7"/>
      <c r="X292" s="6"/>
      <c r="AO292" s="47"/>
      <c r="AP292" s="46"/>
      <c r="BH292" s="48"/>
      <c r="BZ292" s="48"/>
      <c r="CA292" s="48"/>
      <c r="CB292" s="116"/>
      <c r="CC292" s="116"/>
      <c r="CE292" s="104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  <c r="CT292" s="21"/>
      <c r="CU292" s="21"/>
      <c r="CV292" s="21"/>
    </row>
    <row r="293" spans="1:100" s="5" customFormat="1" ht="15.75" x14ac:dyDescent="0.2">
      <c r="A293" s="45"/>
      <c r="C293" s="45"/>
      <c r="D293" s="14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37"/>
      <c r="W293" s="7"/>
      <c r="X293" s="6"/>
      <c r="AO293" s="47"/>
      <c r="AP293" s="46"/>
      <c r="BH293" s="48"/>
      <c r="BZ293" s="48"/>
      <c r="CA293" s="48"/>
      <c r="CB293" s="116"/>
      <c r="CC293" s="116"/>
      <c r="CE293" s="104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21"/>
      <c r="CS293" s="21"/>
      <c r="CT293" s="21"/>
      <c r="CU293" s="21"/>
      <c r="CV293" s="21"/>
    </row>
  </sheetData>
  <mergeCells count="138">
    <mergeCell ref="A16:B16"/>
    <mergeCell ref="A17:A19"/>
    <mergeCell ref="B17:B19"/>
    <mergeCell ref="C17:C19"/>
    <mergeCell ref="CB39:CB41"/>
    <mergeCell ref="CB17:CB19"/>
    <mergeCell ref="A38:B38"/>
    <mergeCell ref="A39:A41"/>
    <mergeCell ref="B39:B41"/>
    <mergeCell ref="C39:C41"/>
    <mergeCell ref="CC17:CC19"/>
    <mergeCell ref="D18:D19"/>
    <mergeCell ref="E18:V18"/>
    <mergeCell ref="X18:X19"/>
    <mergeCell ref="Y18:AO18"/>
    <mergeCell ref="AP18:AP19"/>
    <mergeCell ref="AQ18:BH18"/>
    <mergeCell ref="W17:W19"/>
    <mergeCell ref="X17:AO17"/>
    <mergeCell ref="AP17:BH17"/>
    <mergeCell ref="CA17:CA19"/>
    <mergeCell ref="BI17:BZ18"/>
    <mergeCell ref="D17:V17"/>
    <mergeCell ref="AP3:BH3"/>
    <mergeCell ref="BI3:BZ4"/>
    <mergeCell ref="CA3:CA5"/>
    <mergeCell ref="CB3:CB5"/>
    <mergeCell ref="CC3:CC5"/>
    <mergeCell ref="X4:X5"/>
    <mergeCell ref="Y4:AO4"/>
    <mergeCell ref="AP4:AP5"/>
    <mergeCell ref="AQ4:BH4"/>
    <mergeCell ref="A2:B2"/>
    <mergeCell ref="A3:A5"/>
    <mergeCell ref="B3:B5"/>
    <mergeCell ref="C3:C5"/>
    <mergeCell ref="D3:V3"/>
    <mergeCell ref="D4:D5"/>
    <mergeCell ref="E4:V4"/>
    <mergeCell ref="W3:W5"/>
    <mergeCell ref="X3:AO3"/>
    <mergeCell ref="CJ17:DI17"/>
    <mergeCell ref="CF18:CH18"/>
    <mergeCell ref="CJ18:CV18"/>
    <mergeCell ref="CW18:DI18"/>
    <mergeCell ref="CF19:CH19"/>
    <mergeCell ref="CJ3:DI3"/>
    <mergeCell ref="CF4:CH4"/>
    <mergeCell ref="CJ4:CV4"/>
    <mergeCell ref="CW4:DI4"/>
    <mergeCell ref="CF5:CH5"/>
    <mergeCell ref="A53:B53"/>
    <mergeCell ref="A54:A56"/>
    <mergeCell ref="B54:B56"/>
    <mergeCell ref="C54:C56"/>
    <mergeCell ref="D54:V54"/>
    <mergeCell ref="CJ39:DI39"/>
    <mergeCell ref="CF40:CH40"/>
    <mergeCell ref="CJ40:CV40"/>
    <mergeCell ref="CW40:DI40"/>
    <mergeCell ref="CF41:CH41"/>
    <mergeCell ref="CC39:CC41"/>
    <mergeCell ref="D40:D41"/>
    <mergeCell ref="E40:V40"/>
    <mergeCell ref="X40:X41"/>
    <mergeCell ref="CA39:CA41"/>
    <mergeCell ref="BI39:BZ40"/>
    <mergeCell ref="D39:V39"/>
    <mergeCell ref="Y40:AO40"/>
    <mergeCell ref="AP40:AP41"/>
    <mergeCell ref="AQ40:BH40"/>
    <mergeCell ref="W39:W41"/>
    <mergeCell ref="X39:AO39"/>
    <mergeCell ref="AP39:BH39"/>
    <mergeCell ref="A62:B62"/>
    <mergeCell ref="A63:A65"/>
    <mergeCell ref="B63:B65"/>
    <mergeCell ref="C63:C65"/>
    <mergeCell ref="D63:V63"/>
    <mergeCell ref="CB54:CB56"/>
    <mergeCell ref="CC54:CC56"/>
    <mergeCell ref="CJ54:DI54"/>
    <mergeCell ref="D55:D56"/>
    <mergeCell ref="E55:V55"/>
    <mergeCell ref="X55:X56"/>
    <mergeCell ref="Y55:AO55"/>
    <mergeCell ref="AP55:AP56"/>
    <mergeCell ref="AQ55:BH55"/>
    <mergeCell ref="CF55:CH55"/>
    <mergeCell ref="CJ55:CV55"/>
    <mergeCell ref="CW55:DI55"/>
    <mergeCell ref="CF56:CH56"/>
    <mergeCell ref="W54:W56"/>
    <mergeCell ref="X54:AO54"/>
    <mergeCell ref="AP54:BH54"/>
    <mergeCell ref="BI54:BZ55"/>
    <mergeCell ref="CA54:CA56"/>
    <mergeCell ref="A83:B83"/>
    <mergeCell ref="A84:A86"/>
    <mergeCell ref="B84:B86"/>
    <mergeCell ref="C84:C86"/>
    <mergeCell ref="D84:V84"/>
    <mergeCell ref="CB63:CB65"/>
    <mergeCell ref="CC63:CC65"/>
    <mergeCell ref="CJ63:DI63"/>
    <mergeCell ref="D64:D65"/>
    <mergeCell ref="E64:V64"/>
    <mergeCell ref="X64:X65"/>
    <mergeCell ref="Y64:AO64"/>
    <mergeCell ref="AP64:AP65"/>
    <mergeCell ref="AQ64:BH64"/>
    <mergeCell ref="CF64:CH64"/>
    <mergeCell ref="CJ64:CV64"/>
    <mergeCell ref="CW64:DI64"/>
    <mergeCell ref="CF65:CH65"/>
    <mergeCell ref="W63:W65"/>
    <mergeCell ref="X63:AO63"/>
    <mergeCell ref="AP63:BH63"/>
    <mergeCell ref="BI63:BZ64"/>
    <mergeCell ref="CA63:CA65"/>
    <mergeCell ref="CB84:CB86"/>
    <mergeCell ref="CC84:CC86"/>
    <mergeCell ref="CJ84:DI84"/>
    <mergeCell ref="D85:D86"/>
    <mergeCell ref="E85:V85"/>
    <mergeCell ref="X85:X86"/>
    <mergeCell ref="Y85:AO85"/>
    <mergeCell ref="AP85:AP86"/>
    <mergeCell ref="AQ85:BH85"/>
    <mergeCell ref="CF85:CH85"/>
    <mergeCell ref="CJ85:CV85"/>
    <mergeCell ref="CW85:DI85"/>
    <mergeCell ref="CF86:CH86"/>
    <mergeCell ref="W84:W86"/>
    <mergeCell ref="X84:AO84"/>
    <mergeCell ref="AP84:BH84"/>
    <mergeCell ref="BI84:BZ85"/>
    <mergeCell ref="CA84:CA86"/>
  </mergeCells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BI58"/>
  <sheetViews>
    <sheetView topLeftCell="K1" zoomScaleNormal="100" workbookViewId="0">
      <pane ySplit="2655" topLeftCell="A14" activePane="bottomLeft"/>
      <selection pane="bottomLeft" activeCell="Q20" sqref="Q20"/>
    </sheetView>
  </sheetViews>
  <sheetFormatPr defaultRowHeight="15.75" x14ac:dyDescent="0.2"/>
  <cols>
    <col min="1" max="1" width="6.33203125" style="4" customWidth="1"/>
    <col min="2" max="2" width="49.83203125" customWidth="1"/>
    <col min="3" max="10" width="21.83203125" customWidth="1"/>
    <col min="11" max="11" width="21.83203125" style="81" customWidth="1"/>
    <col min="12" max="19" width="21.83203125" customWidth="1"/>
    <col min="20" max="20" width="25.6640625" style="81" customWidth="1"/>
    <col min="21" max="28" width="21.83203125" customWidth="1"/>
    <col min="29" max="29" width="25.6640625" style="229" customWidth="1"/>
    <col min="30" max="31" width="23.83203125" customWidth="1"/>
    <col min="32" max="32" width="23.83203125" style="81" customWidth="1"/>
    <col min="33" max="33" width="12.1640625" style="298" customWidth="1"/>
    <col min="34" max="41" width="17.5" style="269" customWidth="1"/>
    <col min="42" max="42" width="21.83203125" customWidth="1"/>
    <col min="44" max="44" width="12" bestFit="1" customWidth="1"/>
  </cols>
  <sheetData>
    <row r="1" spans="1:61" ht="20.25" x14ac:dyDescent="0.2">
      <c r="A1" s="874" t="s">
        <v>84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  <c r="S1" s="874"/>
      <c r="T1" s="874"/>
      <c r="U1" s="874"/>
      <c r="V1" s="874"/>
      <c r="W1" s="874"/>
      <c r="X1" s="874"/>
      <c r="Y1" s="874"/>
      <c r="Z1" s="874"/>
      <c r="AA1" s="874"/>
      <c r="AB1" s="874"/>
      <c r="AC1" s="874"/>
      <c r="AD1" s="874"/>
      <c r="AE1" s="874"/>
      <c r="AF1" s="874"/>
    </row>
    <row r="2" spans="1:61" x14ac:dyDescent="0.2">
      <c r="K2" s="280">
        <f>SUM(K24:K25)</f>
        <v>140725254</v>
      </c>
      <c r="T2" s="280" t="e">
        <f>SUM(#REF!)</f>
        <v>#REF!</v>
      </c>
      <c r="U2" s="98"/>
      <c r="V2" s="98"/>
      <c r="W2" s="98"/>
      <c r="AH2" s="273"/>
    </row>
    <row r="3" spans="1:61" x14ac:dyDescent="0.2">
      <c r="B3" t="s">
        <v>50</v>
      </c>
      <c r="W3" s="98"/>
    </row>
    <row r="4" spans="1:61" s="15" customFormat="1" ht="30" customHeight="1" x14ac:dyDescent="0.2">
      <c r="A4" s="869" t="s">
        <v>8</v>
      </c>
      <c r="B4" s="869" t="s">
        <v>9</v>
      </c>
      <c r="C4" s="875" t="s">
        <v>57</v>
      </c>
      <c r="D4" s="876"/>
      <c r="E4" s="877"/>
      <c r="F4" s="877"/>
      <c r="G4" s="877"/>
      <c r="H4" s="877"/>
      <c r="I4" s="877"/>
      <c r="J4" s="877"/>
      <c r="K4" s="878"/>
      <c r="L4" s="879" t="s">
        <v>58</v>
      </c>
      <c r="M4" s="880"/>
      <c r="N4" s="880"/>
      <c r="O4" s="880"/>
      <c r="P4" s="880"/>
      <c r="Q4" s="880"/>
      <c r="R4" s="880"/>
      <c r="S4" s="880"/>
      <c r="T4" s="881"/>
      <c r="U4" s="882" t="s">
        <v>32</v>
      </c>
      <c r="V4" s="883"/>
      <c r="W4" s="883"/>
      <c r="X4" s="883"/>
      <c r="Y4" s="883"/>
      <c r="Z4" s="883"/>
      <c r="AA4" s="883"/>
      <c r="AB4" s="883"/>
      <c r="AC4" s="884"/>
      <c r="AD4" s="871" t="s">
        <v>31</v>
      </c>
      <c r="AE4" s="872"/>
      <c r="AF4" s="873"/>
      <c r="AG4" s="297" t="s">
        <v>60</v>
      </c>
      <c r="AH4" s="225"/>
      <c r="AI4" s="225"/>
      <c r="AJ4" s="225"/>
      <c r="AK4" s="225"/>
      <c r="AL4" s="225"/>
      <c r="AM4" s="225"/>
      <c r="AN4" s="225"/>
      <c r="AO4" s="225" t="s">
        <v>61</v>
      </c>
    </row>
    <row r="5" spans="1:61" s="80" customFormat="1" ht="38.25" customHeight="1" thickBot="1" x14ac:dyDescent="0.25">
      <c r="A5" s="870"/>
      <c r="B5" s="870"/>
      <c r="C5" s="386" t="s">
        <v>71</v>
      </c>
      <c r="D5" s="386" t="s">
        <v>246</v>
      </c>
      <c r="E5" s="387" t="s">
        <v>74</v>
      </c>
      <c r="F5" s="388" t="s">
        <v>75</v>
      </c>
      <c r="G5" s="388" t="s">
        <v>80</v>
      </c>
      <c r="H5" s="389" t="s">
        <v>131</v>
      </c>
      <c r="I5" s="389" t="s">
        <v>140</v>
      </c>
      <c r="J5" s="389" t="s">
        <v>76</v>
      </c>
      <c r="K5" s="390" t="s">
        <v>21</v>
      </c>
      <c r="L5" s="386" t="s">
        <v>71</v>
      </c>
      <c r="M5" s="386" t="s">
        <v>246</v>
      </c>
      <c r="N5" s="387" t="s">
        <v>74</v>
      </c>
      <c r="O5" s="388" t="s">
        <v>75</v>
      </c>
      <c r="P5" s="388" t="s">
        <v>80</v>
      </c>
      <c r="Q5" s="389" t="s">
        <v>131</v>
      </c>
      <c r="R5" s="389" t="s">
        <v>140</v>
      </c>
      <c r="S5" s="389" t="s">
        <v>76</v>
      </c>
      <c r="T5" s="390" t="s">
        <v>21</v>
      </c>
      <c r="U5" s="386" t="s">
        <v>71</v>
      </c>
      <c r="V5" s="386" t="s">
        <v>246</v>
      </c>
      <c r="W5" s="387" t="s">
        <v>74</v>
      </c>
      <c r="X5" s="388" t="s">
        <v>75</v>
      </c>
      <c r="Y5" s="388" t="s">
        <v>80</v>
      </c>
      <c r="Z5" s="389" t="s">
        <v>131</v>
      </c>
      <c r="AA5" s="389" t="s">
        <v>140</v>
      </c>
      <c r="AB5" s="389" t="s">
        <v>76</v>
      </c>
      <c r="AC5" s="391" t="s">
        <v>21</v>
      </c>
      <c r="AD5" s="346" t="s">
        <v>23</v>
      </c>
      <c r="AE5" s="346" t="s">
        <v>37</v>
      </c>
      <c r="AF5" s="392" t="s">
        <v>34</v>
      </c>
      <c r="AG5" s="297"/>
      <c r="AH5" s="393" t="s">
        <v>71</v>
      </c>
      <c r="AI5" s="394" t="s">
        <v>74</v>
      </c>
      <c r="AJ5" s="395" t="s">
        <v>83</v>
      </c>
      <c r="AK5" s="395" t="s">
        <v>144</v>
      </c>
      <c r="AL5" s="396" t="s">
        <v>131</v>
      </c>
      <c r="AM5" s="389" t="s">
        <v>140</v>
      </c>
      <c r="AN5" s="396" t="s">
        <v>76</v>
      </c>
      <c r="AO5" s="397" t="s">
        <v>21</v>
      </c>
    </row>
    <row r="6" spans="1:61" s="277" customFormat="1" ht="21.75" customHeight="1" thickTop="1" thickBot="1" x14ac:dyDescent="0.25">
      <c r="A6" s="398"/>
      <c r="B6" s="398" t="s">
        <v>43</v>
      </c>
      <c r="C6" s="399"/>
      <c r="D6" s="399"/>
      <c r="E6" s="399"/>
      <c r="F6" s="399"/>
      <c r="G6" s="399"/>
      <c r="H6" s="399"/>
      <c r="I6" s="399"/>
      <c r="J6" s="399"/>
      <c r="K6" s="400"/>
      <c r="L6" s="399"/>
      <c r="M6" s="399"/>
      <c r="N6" s="399"/>
      <c r="O6" s="399"/>
      <c r="P6" s="399"/>
      <c r="Q6" s="399"/>
      <c r="R6" s="399"/>
      <c r="S6" s="399"/>
      <c r="T6" s="400"/>
      <c r="U6" s="399"/>
      <c r="V6" s="399"/>
      <c r="W6" s="399"/>
      <c r="X6" s="399"/>
      <c r="Y6" s="399"/>
      <c r="Z6" s="399"/>
      <c r="AA6" s="399"/>
      <c r="AB6" s="399"/>
      <c r="AC6" s="400"/>
      <c r="AD6" s="401"/>
      <c r="AE6" s="401"/>
      <c r="AF6" s="402"/>
      <c r="AG6" s="403"/>
      <c r="AH6" s="404"/>
      <c r="AI6" s="404"/>
      <c r="AJ6" s="404"/>
      <c r="AK6" s="404"/>
      <c r="AL6" s="404"/>
      <c r="AM6" s="404"/>
      <c r="AN6" s="404"/>
      <c r="AO6" s="404"/>
      <c r="AP6" s="714"/>
      <c r="AQ6" s="714"/>
      <c r="AR6" s="714"/>
      <c r="AS6" s="714"/>
      <c r="AT6" s="714"/>
      <c r="AU6" s="714"/>
      <c r="AV6" s="714"/>
      <c r="AW6" s="714"/>
      <c r="AX6" s="714"/>
      <c r="AY6" s="714"/>
      <c r="AZ6" s="714"/>
      <c r="BA6" s="714"/>
      <c r="BB6" s="714"/>
      <c r="BC6" s="714"/>
      <c r="BD6" s="714"/>
      <c r="BE6" s="714"/>
      <c r="BF6" s="714"/>
      <c r="BG6" s="714"/>
      <c r="BH6" s="714"/>
      <c r="BI6" s="714"/>
    </row>
    <row r="7" spans="1:61" s="454" customFormat="1" ht="33" customHeight="1" thickTop="1" x14ac:dyDescent="0.2">
      <c r="A7" s="476">
        <v>1</v>
      </c>
      <c r="B7" s="481" t="s">
        <v>94</v>
      </c>
      <c r="C7" s="463"/>
      <c r="D7" s="463"/>
      <c r="E7" s="463"/>
      <c r="F7" s="463">
        <f>SUM(REN!BH9)</f>
        <v>7420000</v>
      </c>
      <c r="G7" s="463"/>
      <c r="H7" s="463"/>
      <c r="I7" s="463"/>
      <c r="J7" s="463"/>
      <c r="K7" s="478">
        <f>SUM(C7:J7)</f>
        <v>7420000</v>
      </c>
      <c r="L7" s="463"/>
      <c r="M7" s="463"/>
      <c r="N7" s="463"/>
      <c r="O7" s="463">
        <f>SUM(REN!AS9)</f>
        <v>3160000</v>
      </c>
      <c r="P7" s="463"/>
      <c r="Q7" s="463"/>
      <c r="R7" s="463"/>
      <c r="S7" s="463"/>
      <c r="T7" s="478">
        <f>SUM(L7:S7)</f>
        <v>3160000</v>
      </c>
      <c r="U7" s="463"/>
      <c r="V7" s="463"/>
      <c r="W7" s="463"/>
      <c r="X7" s="463">
        <f>SUM(REN!BF9)</f>
        <v>372200</v>
      </c>
      <c r="Y7" s="463"/>
      <c r="Z7" s="463"/>
      <c r="AA7" s="463"/>
      <c r="AB7" s="463"/>
      <c r="AC7" s="451">
        <f t="shared" ref="AC7:AC9" si="0">SUM(U7:AB7)</f>
        <v>372200</v>
      </c>
      <c r="AD7" s="463">
        <f>SUM(REN!BG9)</f>
        <v>0</v>
      </c>
      <c r="AE7" s="491">
        <f t="shared" ref="AE7:AE9" si="1">SUM(AF7-AD7)</f>
        <v>4260000</v>
      </c>
      <c r="AF7" s="492">
        <f>SUM(K7-T7)</f>
        <v>4260000</v>
      </c>
      <c r="AG7" s="443">
        <f>SUM(REN!BJ9)</f>
        <v>1</v>
      </c>
      <c r="AH7" s="465"/>
      <c r="AI7" s="465"/>
      <c r="AJ7" s="494">
        <f>SUM(O7+X7)/F7</f>
        <v>0.47603773584905662</v>
      </c>
      <c r="AK7" s="465"/>
      <c r="AL7" s="465"/>
      <c r="AM7" s="465"/>
      <c r="AN7" s="465"/>
      <c r="AO7" s="465">
        <f>SUM(T7+AC7)/K7</f>
        <v>0.47603773584905662</v>
      </c>
      <c r="AP7" s="717">
        <f>SUM(AF7)</f>
        <v>4260000</v>
      </c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s="454" customFormat="1" ht="21.75" customHeight="1" x14ac:dyDescent="0.2">
      <c r="A8" s="455">
        <v>2</v>
      </c>
      <c r="B8" s="482" t="s">
        <v>56</v>
      </c>
      <c r="C8" s="457"/>
      <c r="D8" s="457"/>
      <c r="E8" s="457"/>
      <c r="F8" s="457"/>
      <c r="G8" s="457"/>
      <c r="H8" s="457">
        <f>SUM(REN!BH20)</f>
        <v>4911000</v>
      </c>
      <c r="I8" s="457"/>
      <c r="J8" s="457"/>
      <c r="K8" s="458">
        <f>SUM(C8:J8)</f>
        <v>4911000</v>
      </c>
      <c r="L8" s="457"/>
      <c r="M8" s="457"/>
      <c r="N8" s="457"/>
      <c r="O8" s="457"/>
      <c r="P8" s="457"/>
      <c r="Q8" s="457">
        <f>SUM(REN!AS20)</f>
        <v>3234000</v>
      </c>
      <c r="R8" s="457"/>
      <c r="S8" s="457"/>
      <c r="T8" s="458">
        <f>SUM(L8:S8)</f>
        <v>3234000</v>
      </c>
      <c r="U8" s="457"/>
      <c r="V8" s="457"/>
      <c r="W8" s="457"/>
      <c r="X8" s="457"/>
      <c r="Y8" s="457"/>
      <c r="Z8" s="457">
        <f>SUM(REN!BF20)</f>
        <v>370480</v>
      </c>
      <c r="AA8" s="457"/>
      <c r="AB8" s="457"/>
      <c r="AC8" s="451">
        <f t="shared" si="0"/>
        <v>370480</v>
      </c>
      <c r="AD8" s="457">
        <f>SUM(REN!BG20)</f>
        <v>40000</v>
      </c>
      <c r="AE8" s="448">
        <f t="shared" ref="AE8" si="2">SUM(AF8-AD8)</f>
        <v>1637000</v>
      </c>
      <c r="AF8" s="449">
        <f t="shared" ref="AF8" si="3">SUM(K8-T8)</f>
        <v>1677000</v>
      </c>
      <c r="AG8" s="461">
        <f>SUM(REN!BJ20)</f>
        <v>1</v>
      </c>
      <c r="AH8" s="462"/>
      <c r="AI8" s="462"/>
      <c r="AJ8" s="470"/>
      <c r="AK8" s="462"/>
      <c r="AL8" s="470">
        <f>SUM(Q8+Z8)/H8</f>
        <v>0.73396049684382003</v>
      </c>
      <c r="AM8" s="462"/>
      <c r="AN8" s="462"/>
      <c r="AO8" s="462">
        <f>SUM(T8+AC8)/K8</f>
        <v>0.73396049684382003</v>
      </c>
      <c r="AP8" s="717">
        <f>SUM(AF8-AD8)</f>
        <v>1637000</v>
      </c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</row>
    <row r="9" spans="1:61" s="454" customFormat="1" ht="21.75" customHeight="1" thickBot="1" x14ac:dyDescent="0.25">
      <c r="A9" s="455">
        <v>3</v>
      </c>
      <c r="B9" s="482" t="s">
        <v>95</v>
      </c>
      <c r="C9" s="457"/>
      <c r="D9" s="457"/>
      <c r="E9" s="457"/>
      <c r="F9" s="457">
        <f>SUM(REN!BH34)</f>
        <v>1680900</v>
      </c>
      <c r="G9" s="457"/>
      <c r="H9" s="457"/>
      <c r="I9" s="457"/>
      <c r="J9" s="457"/>
      <c r="K9" s="458">
        <f>SUM(C9:J9)</f>
        <v>1680900</v>
      </c>
      <c r="L9" s="457"/>
      <c r="M9" s="457"/>
      <c r="N9" s="457"/>
      <c r="O9" s="457">
        <f>SUM(REN!AS34)</f>
        <v>1466500</v>
      </c>
      <c r="P9" s="457"/>
      <c r="Q9" s="457"/>
      <c r="R9" s="457"/>
      <c r="S9" s="457"/>
      <c r="T9" s="458">
        <f>SUM(L9:S9)</f>
        <v>1466500</v>
      </c>
      <c r="U9" s="457"/>
      <c r="V9" s="457"/>
      <c r="W9" s="457"/>
      <c r="X9" s="457">
        <f>SUM(REN!BF34)</f>
        <v>3060</v>
      </c>
      <c r="Y9" s="457"/>
      <c r="Z9" s="457"/>
      <c r="AA9" s="457"/>
      <c r="AB9" s="457"/>
      <c r="AC9" s="451">
        <f t="shared" si="0"/>
        <v>3060</v>
      </c>
      <c r="AD9" s="457">
        <f>SUM(REN!BG34)</f>
        <v>123240</v>
      </c>
      <c r="AE9" s="493">
        <f t="shared" si="1"/>
        <v>91160</v>
      </c>
      <c r="AF9" s="701">
        <f>SUM(REN!BI34)</f>
        <v>214400</v>
      </c>
      <c r="AG9" s="461">
        <f>SUM(REN!BJ34)</f>
        <v>1</v>
      </c>
      <c r="AH9" s="462"/>
      <c r="AI9" s="462"/>
      <c r="AJ9" s="495">
        <f>SUM(O9+X9)/F9</f>
        <v>0.87426973645071093</v>
      </c>
      <c r="AK9" s="462"/>
      <c r="AL9" s="462"/>
      <c r="AM9" s="462"/>
      <c r="AN9" s="462"/>
      <c r="AO9" s="462">
        <f>SUM(T9+AC9)/K9</f>
        <v>0.87426973645071093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spans="1:61" s="28" customFormat="1" ht="21.75" customHeight="1" thickTop="1" thickBot="1" x14ac:dyDescent="0.25">
      <c r="A10" s="407"/>
      <c r="B10" s="408" t="s">
        <v>40</v>
      </c>
      <c r="C10" s="409">
        <f t="shared" ref="C10:AF10" si="4">SUM(C7:C9)</f>
        <v>0</v>
      </c>
      <c r="D10" s="409">
        <f t="shared" si="4"/>
        <v>0</v>
      </c>
      <c r="E10" s="409">
        <f t="shared" si="4"/>
        <v>0</v>
      </c>
      <c r="F10" s="409">
        <f t="shared" si="4"/>
        <v>9100900</v>
      </c>
      <c r="G10" s="409">
        <f t="shared" si="4"/>
        <v>0</v>
      </c>
      <c r="H10" s="409">
        <f t="shared" si="4"/>
        <v>4911000</v>
      </c>
      <c r="I10" s="409">
        <f t="shared" si="4"/>
        <v>0</v>
      </c>
      <c r="J10" s="409">
        <f t="shared" si="4"/>
        <v>0</v>
      </c>
      <c r="K10" s="409">
        <f t="shared" si="4"/>
        <v>14011900</v>
      </c>
      <c r="L10" s="409">
        <f t="shared" si="4"/>
        <v>0</v>
      </c>
      <c r="M10" s="409">
        <f t="shared" si="4"/>
        <v>0</v>
      </c>
      <c r="N10" s="409">
        <f t="shared" si="4"/>
        <v>0</v>
      </c>
      <c r="O10" s="409">
        <f t="shared" si="4"/>
        <v>4626500</v>
      </c>
      <c r="P10" s="409">
        <f t="shared" si="4"/>
        <v>0</v>
      </c>
      <c r="Q10" s="409">
        <f t="shared" si="4"/>
        <v>3234000</v>
      </c>
      <c r="R10" s="409">
        <f t="shared" si="4"/>
        <v>0</v>
      </c>
      <c r="S10" s="409">
        <f t="shared" si="4"/>
        <v>0</v>
      </c>
      <c r="T10" s="409">
        <f t="shared" si="4"/>
        <v>7860500</v>
      </c>
      <c r="U10" s="409">
        <f t="shared" si="4"/>
        <v>0</v>
      </c>
      <c r="V10" s="409">
        <f t="shared" si="4"/>
        <v>0</v>
      </c>
      <c r="W10" s="409">
        <f t="shared" si="4"/>
        <v>0</v>
      </c>
      <c r="X10" s="409">
        <f t="shared" si="4"/>
        <v>375260</v>
      </c>
      <c r="Y10" s="409">
        <f t="shared" si="4"/>
        <v>0</v>
      </c>
      <c r="Z10" s="409">
        <f t="shared" si="4"/>
        <v>370480</v>
      </c>
      <c r="AA10" s="409">
        <f t="shared" si="4"/>
        <v>0</v>
      </c>
      <c r="AB10" s="409">
        <f t="shared" si="4"/>
        <v>0</v>
      </c>
      <c r="AC10" s="409">
        <f t="shared" si="4"/>
        <v>745740</v>
      </c>
      <c r="AD10" s="409">
        <f t="shared" si="4"/>
        <v>163240</v>
      </c>
      <c r="AE10" s="409">
        <f t="shared" si="4"/>
        <v>5988160</v>
      </c>
      <c r="AF10" s="409">
        <f t="shared" si="4"/>
        <v>6151400</v>
      </c>
      <c r="AG10" s="410">
        <f>SUM(AG7:AG9)/3</f>
        <v>1</v>
      </c>
      <c r="AH10" s="411"/>
      <c r="AI10" s="411"/>
      <c r="AJ10" s="495">
        <f>SUM(O10+X10)/F10</f>
        <v>0.54958960102846977</v>
      </c>
      <c r="AK10" s="496"/>
      <c r="AL10" s="497">
        <f>SUM(Q10+Z10)/H10</f>
        <v>0.73396049684382003</v>
      </c>
      <c r="AM10" s="411"/>
      <c r="AN10" s="411"/>
      <c r="AO10" s="411">
        <f>SUM(T10+AC10)/K10</f>
        <v>0.61420935062339865</v>
      </c>
    </row>
    <row r="11" spans="1:61" s="277" customFormat="1" ht="21.75" customHeight="1" thickTop="1" thickBot="1" x14ac:dyDescent="0.25">
      <c r="A11" s="398" t="s">
        <v>39</v>
      </c>
      <c r="B11" s="398" t="s">
        <v>44</v>
      </c>
      <c r="C11" s="399"/>
      <c r="D11" s="399"/>
      <c r="E11" s="399"/>
      <c r="F11" s="399"/>
      <c r="G11" s="399"/>
      <c r="H11" s="399"/>
      <c r="I11" s="399"/>
      <c r="J11" s="399"/>
      <c r="K11" s="400"/>
      <c r="L11" s="399"/>
      <c r="M11" s="399"/>
      <c r="N11" s="399"/>
      <c r="O11" s="399"/>
      <c r="P11" s="399"/>
      <c r="Q11" s="399"/>
      <c r="R11" s="399"/>
      <c r="S11" s="399"/>
      <c r="T11" s="400"/>
      <c r="U11" s="399"/>
      <c r="V11" s="399"/>
      <c r="W11" s="399"/>
      <c r="X11" s="399"/>
      <c r="Y11" s="399"/>
      <c r="Z11" s="399"/>
      <c r="AA11" s="399"/>
      <c r="AB11" s="399"/>
      <c r="AC11" s="400"/>
      <c r="AD11" s="401"/>
      <c r="AE11" s="401"/>
      <c r="AF11" s="402"/>
      <c r="AG11" s="403"/>
      <c r="AH11" s="412"/>
      <c r="AI11" s="412"/>
      <c r="AJ11" s="412"/>
      <c r="AK11" s="412"/>
      <c r="AL11" s="412"/>
      <c r="AM11" s="412"/>
      <c r="AN11" s="412"/>
      <c r="AO11" s="412"/>
      <c r="AP11" s="714"/>
      <c r="AQ11" s="714"/>
      <c r="AR11" s="714"/>
      <c r="AS11" s="714"/>
      <c r="AT11" s="714"/>
      <c r="AU11" s="714"/>
      <c r="AV11" s="714"/>
      <c r="AW11" s="714"/>
      <c r="AX11" s="714"/>
      <c r="AY11" s="714"/>
      <c r="AZ11" s="714"/>
      <c r="BA11" s="714"/>
      <c r="BB11" s="714"/>
      <c r="BC11" s="714"/>
      <c r="BD11" s="714"/>
      <c r="BE11" s="714"/>
      <c r="BF11" s="714"/>
      <c r="BG11" s="714"/>
      <c r="BH11" s="714"/>
      <c r="BI11" s="714"/>
    </row>
    <row r="12" spans="1:61" s="6" customFormat="1" ht="21.75" customHeight="1" thickTop="1" thickBot="1" x14ac:dyDescent="0.25">
      <c r="A12" s="413"/>
      <c r="B12" s="414"/>
      <c r="C12" s="405"/>
      <c r="D12" s="405"/>
      <c r="E12" s="405"/>
      <c r="F12" s="405"/>
      <c r="G12" s="405"/>
      <c r="H12" s="405"/>
      <c r="I12" s="405"/>
      <c r="J12" s="405"/>
      <c r="K12" s="406"/>
      <c r="L12" s="405"/>
      <c r="M12" s="405"/>
      <c r="N12" s="405"/>
      <c r="O12" s="405"/>
      <c r="P12" s="405"/>
      <c r="Q12" s="405"/>
      <c r="R12" s="405"/>
      <c r="S12" s="405"/>
      <c r="T12" s="406"/>
      <c r="U12" s="415"/>
      <c r="V12" s="415"/>
      <c r="W12" s="405"/>
      <c r="X12" s="405"/>
      <c r="Y12" s="405"/>
      <c r="Z12" s="405"/>
      <c r="AA12" s="405"/>
      <c r="AB12" s="405"/>
      <c r="AC12" s="416"/>
      <c r="AD12" s="405"/>
      <c r="AE12" s="405"/>
      <c r="AF12" s="406"/>
      <c r="AG12" s="417"/>
      <c r="AH12" s="418"/>
      <c r="AI12" s="418"/>
      <c r="AJ12" s="418"/>
      <c r="AK12" s="418"/>
      <c r="AL12" s="418"/>
      <c r="AM12" s="418"/>
      <c r="AN12" s="418"/>
      <c r="AO12" s="418"/>
    </row>
    <row r="13" spans="1:61" s="28" customFormat="1" ht="21.75" customHeight="1" thickTop="1" thickBot="1" x14ac:dyDescent="0.25">
      <c r="A13" s="407"/>
      <c r="B13" s="408" t="s">
        <v>40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10"/>
      <c r="AH13" s="411"/>
      <c r="AI13" s="411"/>
      <c r="AJ13" s="411"/>
      <c r="AK13" s="411"/>
      <c r="AL13" s="411"/>
      <c r="AM13" s="411"/>
      <c r="AN13" s="411"/>
      <c r="AO13" s="411"/>
    </row>
    <row r="14" spans="1:61" s="277" customFormat="1" ht="21.75" customHeight="1" thickTop="1" thickBot="1" x14ac:dyDescent="0.25">
      <c r="A14" s="398" t="s">
        <v>42</v>
      </c>
      <c r="B14" s="398" t="s">
        <v>36</v>
      </c>
      <c r="C14" s="399"/>
      <c r="D14" s="399"/>
      <c r="E14" s="399"/>
      <c r="F14" s="399"/>
      <c r="G14" s="399"/>
      <c r="H14" s="399"/>
      <c r="I14" s="399"/>
      <c r="J14" s="399"/>
      <c r="K14" s="400"/>
      <c r="L14" s="399"/>
      <c r="M14" s="399"/>
      <c r="N14" s="399"/>
      <c r="O14" s="399"/>
      <c r="P14" s="399"/>
      <c r="Q14" s="399"/>
      <c r="R14" s="399"/>
      <c r="S14" s="399"/>
      <c r="T14" s="400"/>
      <c r="U14" s="399"/>
      <c r="V14" s="399"/>
      <c r="W14" s="399"/>
      <c r="X14" s="399"/>
      <c r="Y14" s="399"/>
      <c r="Z14" s="399"/>
      <c r="AA14" s="399"/>
      <c r="AB14" s="399"/>
      <c r="AC14" s="400"/>
      <c r="AD14" s="401"/>
      <c r="AE14" s="401"/>
      <c r="AF14" s="402"/>
      <c r="AG14" s="403"/>
      <c r="AH14" s="412"/>
      <c r="AI14" s="412"/>
      <c r="AJ14" s="412"/>
      <c r="AK14" s="412"/>
      <c r="AL14" s="412"/>
      <c r="AM14" s="412"/>
      <c r="AN14" s="412"/>
      <c r="AO14" s="412"/>
      <c r="AP14" s="714"/>
      <c r="AQ14" s="714"/>
      <c r="AR14" s="714"/>
      <c r="AS14" s="714"/>
      <c r="AT14" s="714"/>
      <c r="AU14" s="714"/>
      <c r="AV14" s="714"/>
      <c r="AW14" s="714"/>
      <c r="AX14" s="714"/>
      <c r="AY14" s="714"/>
      <c r="AZ14" s="714"/>
      <c r="BA14" s="714"/>
      <c r="BB14" s="714"/>
      <c r="BC14" s="714"/>
      <c r="BD14" s="714"/>
      <c r="BE14" s="714"/>
      <c r="BF14" s="714"/>
      <c r="BG14" s="714"/>
      <c r="BH14" s="714"/>
      <c r="BI14" s="714"/>
    </row>
    <row r="15" spans="1:61" s="454" customFormat="1" ht="21.75" customHeight="1" thickTop="1" x14ac:dyDescent="0.2">
      <c r="A15" s="476">
        <v>1</v>
      </c>
      <c r="B15" s="477" t="s">
        <v>143</v>
      </c>
      <c r="C15" s="463"/>
      <c r="D15" s="463"/>
      <c r="E15" s="463"/>
      <c r="F15" s="463"/>
      <c r="G15" s="463"/>
      <c r="H15" s="463">
        <f>SUM(UMUM!BH8)</f>
        <v>14523900</v>
      </c>
      <c r="I15" s="463"/>
      <c r="J15" s="463"/>
      <c r="K15" s="478">
        <f t="shared" ref="K15:K21" si="5">SUM(C15:J15)</f>
        <v>14523900</v>
      </c>
      <c r="L15" s="463"/>
      <c r="M15" s="463"/>
      <c r="N15" s="463"/>
      <c r="O15" s="463"/>
      <c r="P15" s="463"/>
      <c r="Q15" s="463">
        <f>SUM(UMUM!AS8)</f>
        <v>12420860</v>
      </c>
      <c r="R15" s="463"/>
      <c r="S15" s="463"/>
      <c r="T15" s="478">
        <f t="shared" ref="T15:T21" si="6">SUM(L15:S15)</f>
        <v>12420860</v>
      </c>
      <c r="U15" s="440"/>
      <c r="V15" s="440"/>
      <c r="W15" s="463"/>
      <c r="X15" s="463"/>
      <c r="Y15" s="463"/>
      <c r="Z15" s="463">
        <f>SUM(UMUM!BF8)</f>
        <v>902400.00000000012</v>
      </c>
      <c r="AA15" s="463"/>
      <c r="AB15" s="463"/>
      <c r="AC15" s="442">
        <f t="shared" ref="AC15:AC21" si="7">SUM(U15:AB15)</f>
        <v>902400.00000000012</v>
      </c>
      <c r="AD15" s="463">
        <f>SUM(UMUM!BG8)</f>
        <v>337599.99999999988</v>
      </c>
      <c r="AE15" s="463">
        <f t="shared" ref="AE15" si="8">SUM(AF15-AD15)</f>
        <v>1050000</v>
      </c>
      <c r="AF15" s="478">
        <f>SUM(UMUM!BI8)</f>
        <v>1387600</v>
      </c>
      <c r="AG15" s="443">
        <f>SUM(UMUM!BJ8)</f>
        <v>1</v>
      </c>
      <c r="AH15" s="465"/>
      <c r="AI15" s="465"/>
      <c r="AJ15" s="465"/>
      <c r="AK15" s="465"/>
      <c r="AL15" s="470">
        <f>SUM(Q15+Z15)/H15</f>
        <v>0.91733349857820556</v>
      </c>
      <c r="AM15" s="465"/>
      <c r="AN15" s="465"/>
      <c r="AO15" s="465">
        <f t="shared" ref="AO15:AO22" si="9">SUM(T15+AC15)/K15</f>
        <v>0.91733349857820556</v>
      </c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</row>
    <row r="16" spans="1:61" s="454" customFormat="1" ht="21.75" customHeight="1" x14ac:dyDescent="0.2">
      <c r="A16" s="446">
        <f>A15+1</f>
        <v>2</v>
      </c>
      <c r="B16" s="447" t="s">
        <v>82</v>
      </c>
      <c r="C16" s="448"/>
      <c r="D16" s="448"/>
      <c r="E16" s="448"/>
      <c r="F16" s="448"/>
      <c r="G16" s="448"/>
      <c r="H16" s="448"/>
      <c r="I16" s="448"/>
      <c r="J16" s="448">
        <f>SUM(UMUM!BH19)</f>
        <v>1234974</v>
      </c>
      <c r="K16" s="449">
        <f t="shared" si="5"/>
        <v>1234974</v>
      </c>
      <c r="L16" s="448"/>
      <c r="M16" s="448"/>
      <c r="N16" s="448"/>
      <c r="O16" s="448"/>
      <c r="P16" s="448"/>
      <c r="Q16" s="448"/>
      <c r="R16" s="448"/>
      <c r="S16" s="448">
        <f>SUM(UMUM!AS19)</f>
        <v>1177600</v>
      </c>
      <c r="T16" s="449">
        <f t="shared" si="6"/>
        <v>1177600</v>
      </c>
      <c r="U16" s="468"/>
      <c r="V16" s="468"/>
      <c r="W16" s="448"/>
      <c r="X16" s="448"/>
      <c r="Y16" s="448"/>
      <c r="Z16" s="448"/>
      <c r="AA16" s="448"/>
      <c r="AB16" s="448">
        <f>SUM(UMUM!BF19)</f>
        <v>45960</v>
      </c>
      <c r="AC16" s="451">
        <f t="shared" si="7"/>
        <v>45960</v>
      </c>
      <c r="AD16" s="448">
        <f>SUM(UMUM!BG19)</f>
        <v>12974</v>
      </c>
      <c r="AE16" s="448">
        <f t="shared" ref="AE16" si="10">SUM(AF16-AD16)</f>
        <v>0</v>
      </c>
      <c r="AF16" s="478">
        <f>SUM(UMUM!BI19)</f>
        <v>12974</v>
      </c>
      <c r="AG16" s="452">
        <f>SUM(UMUM!BJ19)</f>
        <v>1</v>
      </c>
      <c r="AH16" s="470"/>
      <c r="AI16" s="470"/>
      <c r="AJ16" s="470"/>
      <c r="AK16" s="470"/>
      <c r="AL16" s="479"/>
      <c r="AM16" s="479"/>
      <c r="AN16" s="470">
        <f>SUM(S16+AB16)/J16</f>
        <v>0.99075770016210862</v>
      </c>
      <c r="AO16" s="470">
        <f t="shared" si="9"/>
        <v>0.99075770016210862</v>
      </c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454" customFormat="1" ht="21.75" customHeight="1" x14ac:dyDescent="0.2">
      <c r="A17" s="446">
        <f t="shared" ref="A17:A21" si="11">A16+1</f>
        <v>3</v>
      </c>
      <c r="B17" s="447" t="s">
        <v>221</v>
      </c>
      <c r="C17" s="448"/>
      <c r="D17" s="448"/>
      <c r="E17" s="448"/>
      <c r="F17" s="448"/>
      <c r="G17" s="448"/>
      <c r="H17" s="448">
        <f>SUM(UMUM!BH35)</f>
        <v>3150000</v>
      </c>
      <c r="I17" s="448"/>
      <c r="J17" s="448"/>
      <c r="K17" s="449">
        <f t="shared" si="5"/>
        <v>3150000</v>
      </c>
      <c r="L17" s="448"/>
      <c r="M17" s="448"/>
      <c r="N17" s="448"/>
      <c r="O17" s="448"/>
      <c r="P17" s="448"/>
      <c r="Q17" s="448">
        <f>SUM(UMUM!AS35)</f>
        <v>3200000</v>
      </c>
      <c r="R17" s="448"/>
      <c r="S17" s="448"/>
      <c r="T17" s="449">
        <f t="shared" si="6"/>
        <v>3200000</v>
      </c>
      <c r="U17" s="468"/>
      <c r="V17" s="468"/>
      <c r="W17" s="448"/>
      <c r="X17" s="448"/>
      <c r="Y17" s="448"/>
      <c r="Z17" s="448">
        <f>SUM(UMUM!BF35)</f>
        <v>378000.00000000006</v>
      </c>
      <c r="AA17" s="448"/>
      <c r="AB17" s="448"/>
      <c r="AC17" s="451">
        <f t="shared" si="7"/>
        <v>378000.00000000006</v>
      </c>
      <c r="AD17" s="468">
        <f>SUM(UMUM!BG35)</f>
        <v>71999.999999999942</v>
      </c>
      <c r="AE17" s="448">
        <f>SUM(AF17-AD17)</f>
        <v>0</v>
      </c>
      <c r="AF17" s="478">
        <f>SUM(K17-T17-AC17)+500000</f>
        <v>71999.999999999942</v>
      </c>
      <c r="AG17" s="452">
        <f>SUM(UMUM!BJ35)</f>
        <v>1</v>
      </c>
      <c r="AH17" s="470"/>
      <c r="AI17" s="470"/>
      <c r="AJ17" s="470"/>
      <c r="AK17" s="470"/>
      <c r="AL17" s="470">
        <f>SUM(Q17+Z17)/H17</f>
        <v>1.1358730158730159</v>
      </c>
      <c r="AM17" s="470"/>
      <c r="AN17" s="470"/>
      <c r="AO17" s="470">
        <f t="shared" si="9"/>
        <v>1.1358730158730159</v>
      </c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445" customFormat="1" ht="18.75" customHeight="1" x14ac:dyDescent="0.2">
      <c r="A18" s="446">
        <f t="shared" si="11"/>
        <v>4</v>
      </c>
      <c r="B18" s="471" t="s">
        <v>145</v>
      </c>
      <c r="C18" s="468"/>
      <c r="D18" s="468"/>
      <c r="E18" s="468"/>
      <c r="F18" s="468"/>
      <c r="G18" s="468"/>
      <c r="H18" s="468"/>
      <c r="I18" s="468">
        <f>SUM(UMUM!BH43)</f>
        <v>549108</v>
      </c>
      <c r="J18" s="468"/>
      <c r="K18" s="469">
        <f t="shared" si="5"/>
        <v>549108</v>
      </c>
      <c r="L18" s="468"/>
      <c r="M18" s="468"/>
      <c r="N18" s="468"/>
      <c r="O18" s="468"/>
      <c r="P18" s="468"/>
      <c r="Q18" s="468"/>
      <c r="R18" s="468">
        <f>SUM(UMUM!AS43)</f>
        <v>540000</v>
      </c>
      <c r="S18" s="468"/>
      <c r="T18" s="469">
        <f t="shared" si="6"/>
        <v>540000</v>
      </c>
      <c r="U18" s="468"/>
      <c r="V18" s="468"/>
      <c r="W18" s="468"/>
      <c r="X18" s="468"/>
      <c r="Y18" s="468"/>
      <c r="Z18" s="468"/>
      <c r="AA18" s="468">
        <f>SUM(UMUM!BF43)</f>
        <v>0</v>
      </c>
      <c r="AB18" s="468"/>
      <c r="AC18" s="469">
        <f t="shared" si="7"/>
        <v>0</v>
      </c>
      <c r="AD18" s="468">
        <f>SUM(UMUM!BG43)</f>
        <v>9108</v>
      </c>
      <c r="AE18" s="468">
        <f t="shared" ref="AE18:AE21" si="12">SUM(AF18-AD18)</f>
        <v>0</v>
      </c>
      <c r="AF18" s="478">
        <f t="shared" ref="AF17:AF20" si="13">SUM(K18-T18-AC18)</f>
        <v>9108</v>
      </c>
      <c r="AG18" s="452">
        <f>SUM(UMUM!BJ43)</f>
        <v>1</v>
      </c>
      <c r="AH18" s="470"/>
      <c r="AI18" s="470"/>
      <c r="AJ18" s="470"/>
      <c r="AK18" s="470"/>
      <c r="AL18" s="470"/>
      <c r="AM18" s="470">
        <f>SUM(R18+AA18)/I18</f>
        <v>0.98341309906247953</v>
      </c>
      <c r="AN18" s="470"/>
      <c r="AO18" s="470">
        <f t="shared" si="9"/>
        <v>0.98341309906247953</v>
      </c>
      <c r="AP18" s="6"/>
      <c r="AQ18" s="554"/>
      <c r="AR18" s="554"/>
      <c r="AS18" s="554"/>
      <c r="AT18" s="554"/>
      <c r="AU18" s="554"/>
      <c r="AV18" s="554"/>
      <c r="AW18" s="554"/>
      <c r="AX18" s="554"/>
      <c r="AY18" s="554"/>
      <c r="AZ18" s="554"/>
      <c r="BA18" s="554"/>
      <c r="BB18" s="554"/>
      <c r="BC18" s="554"/>
      <c r="BD18" s="554"/>
      <c r="BE18" s="554"/>
      <c r="BF18" s="554"/>
      <c r="BG18" s="554"/>
      <c r="BH18" s="554"/>
      <c r="BI18" s="554"/>
    </row>
    <row r="19" spans="1:61" s="454" customFormat="1" ht="24" customHeight="1" thickBot="1" x14ac:dyDescent="0.25">
      <c r="A19" s="446">
        <f t="shared" si="11"/>
        <v>5</v>
      </c>
      <c r="B19" s="480" t="s">
        <v>146</v>
      </c>
      <c r="C19" s="448"/>
      <c r="D19" s="448"/>
      <c r="E19" s="448"/>
      <c r="F19" s="448"/>
      <c r="G19" s="448"/>
      <c r="H19" s="448">
        <f>SUM(UMUM!BH52)</f>
        <v>21200000</v>
      </c>
      <c r="I19" s="448"/>
      <c r="J19" s="448"/>
      <c r="K19" s="449">
        <f t="shared" si="5"/>
        <v>21200000</v>
      </c>
      <c r="L19" s="448"/>
      <c r="M19" s="448"/>
      <c r="N19" s="448"/>
      <c r="O19" s="448"/>
      <c r="P19" s="448"/>
      <c r="Q19" s="448">
        <f>SUM(UMUM!AS52)</f>
        <v>17800000</v>
      </c>
      <c r="R19" s="448"/>
      <c r="S19" s="448"/>
      <c r="T19" s="449">
        <f t="shared" ref="T19" si="14">SUM(L19:S19)</f>
        <v>17800000</v>
      </c>
      <c r="U19" s="468"/>
      <c r="V19" s="468"/>
      <c r="W19" s="448"/>
      <c r="X19" s="448"/>
      <c r="Y19" s="448"/>
      <c r="Z19" s="448">
        <f>SUM(UMUM!BF51)</f>
        <v>1428000.0000000002</v>
      </c>
      <c r="AA19" s="448"/>
      <c r="AB19" s="448"/>
      <c r="AC19" s="451">
        <f t="shared" ref="AC19" si="15">SUM(U19:AB19)</f>
        <v>1428000.0000000002</v>
      </c>
      <c r="AD19" s="448">
        <f>SUM(UMUM!BG52)</f>
        <v>907999.99999999977</v>
      </c>
      <c r="AE19" s="468">
        <f t="shared" ref="AE19" si="16">SUM(AF19-AD19)</f>
        <v>0</v>
      </c>
      <c r="AF19" s="478">
        <f>SUM(UMUM!BI52)</f>
        <v>907999.99999999977</v>
      </c>
      <c r="AG19" s="452">
        <f>SUM(UMUM!BJ51)</f>
        <v>1</v>
      </c>
      <c r="AH19" s="470"/>
      <c r="AI19" s="470"/>
      <c r="AJ19" s="470"/>
      <c r="AK19" s="470"/>
      <c r="AL19" s="470">
        <f>SUM(Q19+Z19)/H19</f>
        <v>0.90698113207547171</v>
      </c>
      <c r="AM19" s="495"/>
      <c r="AN19" s="495"/>
      <c r="AO19" s="470">
        <f t="shared" ref="AO19" si="17">SUM(T19+AC19)/K19</f>
        <v>0.90698113207547171</v>
      </c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6" customFormat="1" ht="24" customHeight="1" thickTop="1" thickBot="1" x14ac:dyDescent="0.25">
      <c r="A20" s="689">
        <f t="shared" si="11"/>
        <v>6</v>
      </c>
      <c r="B20" s="690" t="s">
        <v>284</v>
      </c>
      <c r="C20" s="691"/>
      <c r="D20" s="691"/>
      <c r="E20" s="691"/>
      <c r="F20" s="691"/>
      <c r="G20" s="691">
        <f>SUM(UMUM!BH64)</f>
        <v>407100</v>
      </c>
      <c r="H20" s="691"/>
      <c r="I20" s="691"/>
      <c r="J20" s="691"/>
      <c r="K20" s="692">
        <f t="shared" si="5"/>
        <v>407100</v>
      </c>
      <c r="L20" s="691"/>
      <c r="M20" s="691"/>
      <c r="N20" s="691"/>
      <c r="O20" s="691"/>
      <c r="P20" s="691">
        <f>SUM(UMUM!AS64)</f>
        <v>407000</v>
      </c>
      <c r="Q20" s="691"/>
      <c r="R20" s="691"/>
      <c r="S20" s="691"/>
      <c r="T20" s="692">
        <f t="shared" ref="T20" si="18">SUM(L20:S20)</f>
        <v>407000</v>
      </c>
      <c r="U20" s="693"/>
      <c r="V20" s="693"/>
      <c r="W20" s="691"/>
      <c r="X20" s="691"/>
      <c r="Y20" s="691">
        <f>SUM(UMUM!BF64)</f>
        <v>0</v>
      </c>
      <c r="Z20" s="691"/>
      <c r="AA20" s="691"/>
      <c r="AB20" s="691"/>
      <c r="AC20" s="694">
        <f t="shared" ref="AC20" si="19">SUM(U20:AB20)</f>
        <v>0</v>
      </c>
      <c r="AD20" s="691">
        <f>SUM(UMUM!BG64)</f>
        <v>100</v>
      </c>
      <c r="AE20" s="693">
        <f t="shared" ref="AE20" si="20">SUM(AF20-AD20)</f>
        <v>0</v>
      </c>
      <c r="AF20" s="695">
        <f t="shared" si="13"/>
        <v>100</v>
      </c>
      <c r="AG20" s="696">
        <f>SUM(UMUM!BJ52)</f>
        <v>1</v>
      </c>
      <c r="AH20" s="697"/>
      <c r="AI20" s="697"/>
      <c r="AJ20" s="697"/>
      <c r="AK20" s="697"/>
      <c r="AL20" s="697" t="e">
        <f>SUM(Q20+Z20)/H20</f>
        <v>#DIV/0!</v>
      </c>
      <c r="AM20" s="698"/>
      <c r="AN20" s="698"/>
      <c r="AO20" s="697">
        <f t="shared" ref="AO20" si="21">SUM(T20+AC20)/K20</f>
        <v>0.99975436010808161</v>
      </c>
    </row>
    <row r="21" spans="1:61" s="6" customFormat="1" ht="24" customHeight="1" thickTop="1" thickBot="1" x14ac:dyDescent="0.25">
      <c r="A21" s="689">
        <f t="shared" si="11"/>
        <v>7</v>
      </c>
      <c r="B21" s="690" t="s">
        <v>285</v>
      </c>
      <c r="C21" s="691"/>
      <c r="D21" s="691">
        <f>SUM(UMUM!BH89)</f>
        <v>11575000</v>
      </c>
      <c r="E21" s="691"/>
      <c r="F21" s="691"/>
      <c r="G21" s="691"/>
      <c r="H21" s="691"/>
      <c r="I21" s="691"/>
      <c r="J21" s="691"/>
      <c r="K21" s="692">
        <f t="shared" si="5"/>
        <v>11575000</v>
      </c>
      <c r="L21" s="691"/>
      <c r="M21" s="691">
        <f>SUM(UMUM!AS89)</f>
        <v>9287726</v>
      </c>
      <c r="N21" s="691"/>
      <c r="O21" s="691"/>
      <c r="P21" s="691"/>
      <c r="Q21" s="691"/>
      <c r="R21" s="691"/>
      <c r="S21" s="691"/>
      <c r="T21" s="692">
        <f t="shared" si="6"/>
        <v>9287726</v>
      </c>
      <c r="U21" s="693"/>
      <c r="V21" s="693">
        <f>SUM(UMUM!BF89)</f>
        <v>19035</v>
      </c>
      <c r="W21" s="691"/>
      <c r="X21" s="691"/>
      <c r="Y21" s="691"/>
      <c r="Z21" s="691"/>
      <c r="AA21" s="691"/>
      <c r="AB21" s="691"/>
      <c r="AC21" s="694">
        <f t="shared" si="7"/>
        <v>19035</v>
      </c>
      <c r="AD21" s="691">
        <f>SUM(UMUM!BG89)</f>
        <v>0</v>
      </c>
      <c r="AE21" s="693">
        <f t="shared" si="12"/>
        <v>3255274</v>
      </c>
      <c r="AF21" s="695">
        <f>SUM(UMUM!BI89)</f>
        <v>3255274</v>
      </c>
      <c r="AG21" s="696">
        <f>SUM(UMUM!BJ52)</f>
        <v>1</v>
      </c>
      <c r="AH21" s="697"/>
      <c r="AI21" s="697"/>
      <c r="AJ21" s="697"/>
      <c r="AK21" s="697"/>
      <c r="AL21" s="697" t="e">
        <f>SUM(Q21+Z21)/H21</f>
        <v>#DIV/0!</v>
      </c>
      <c r="AM21" s="698"/>
      <c r="AN21" s="698"/>
      <c r="AO21" s="697">
        <f t="shared" si="9"/>
        <v>0.80403982721382294</v>
      </c>
    </row>
    <row r="22" spans="1:61" s="28" customFormat="1" ht="21.75" customHeight="1" thickTop="1" thickBot="1" x14ac:dyDescent="0.25">
      <c r="A22" s="407"/>
      <c r="B22" s="408" t="s">
        <v>40</v>
      </c>
      <c r="C22" s="409">
        <f t="shared" ref="C22:AF22" si="22">SUM(C15:C21)</f>
        <v>0</v>
      </c>
      <c r="D22" s="409">
        <f t="shared" si="22"/>
        <v>11575000</v>
      </c>
      <c r="E22" s="409">
        <f t="shared" si="22"/>
        <v>0</v>
      </c>
      <c r="F22" s="409">
        <f t="shared" si="22"/>
        <v>0</v>
      </c>
      <c r="G22" s="409">
        <f t="shared" si="22"/>
        <v>407100</v>
      </c>
      <c r="H22" s="409">
        <f t="shared" si="22"/>
        <v>38873900</v>
      </c>
      <c r="I22" s="409">
        <f t="shared" si="22"/>
        <v>549108</v>
      </c>
      <c r="J22" s="409">
        <f t="shared" si="22"/>
        <v>1234974</v>
      </c>
      <c r="K22" s="409">
        <f t="shared" si="22"/>
        <v>52640082</v>
      </c>
      <c r="L22" s="409">
        <f t="shared" si="22"/>
        <v>0</v>
      </c>
      <c r="M22" s="409">
        <f t="shared" si="22"/>
        <v>9287726</v>
      </c>
      <c r="N22" s="409">
        <f t="shared" si="22"/>
        <v>0</v>
      </c>
      <c r="O22" s="409">
        <f t="shared" si="22"/>
        <v>0</v>
      </c>
      <c r="P22" s="409">
        <f t="shared" si="22"/>
        <v>407000</v>
      </c>
      <c r="Q22" s="409">
        <f t="shared" si="22"/>
        <v>33420860</v>
      </c>
      <c r="R22" s="409">
        <f t="shared" si="22"/>
        <v>540000</v>
      </c>
      <c r="S22" s="409">
        <f t="shared" si="22"/>
        <v>1177600</v>
      </c>
      <c r="T22" s="409">
        <f t="shared" si="22"/>
        <v>44833186</v>
      </c>
      <c r="U22" s="409">
        <f t="shared" si="22"/>
        <v>0</v>
      </c>
      <c r="V22" s="409">
        <f t="shared" si="22"/>
        <v>19035</v>
      </c>
      <c r="W22" s="409">
        <f t="shared" si="22"/>
        <v>0</v>
      </c>
      <c r="X22" s="409">
        <f t="shared" si="22"/>
        <v>0</v>
      </c>
      <c r="Y22" s="409">
        <f t="shared" si="22"/>
        <v>0</v>
      </c>
      <c r="Z22" s="409">
        <f t="shared" si="22"/>
        <v>2708400.0000000005</v>
      </c>
      <c r="AA22" s="409">
        <f t="shared" si="22"/>
        <v>0</v>
      </c>
      <c r="AB22" s="409">
        <f t="shared" si="22"/>
        <v>45960</v>
      </c>
      <c r="AC22" s="409">
        <f t="shared" si="22"/>
        <v>2773395.0000000005</v>
      </c>
      <c r="AD22" s="409">
        <f t="shared" si="22"/>
        <v>1339781.9999999995</v>
      </c>
      <c r="AE22" s="409">
        <f t="shared" si="22"/>
        <v>4305274</v>
      </c>
      <c r="AF22" s="409">
        <f t="shared" si="22"/>
        <v>5645056</v>
      </c>
      <c r="AG22" s="410">
        <f>SUM(AG15:AG21)/7</f>
        <v>1</v>
      </c>
      <c r="AH22" s="411"/>
      <c r="AI22" s="411"/>
      <c r="AJ22" s="411"/>
      <c r="AK22" s="411"/>
      <c r="AL22" s="411">
        <f>SUM(Q22+Z22)/H22</f>
        <v>0.92939633018554868</v>
      </c>
      <c r="AM22" s="465">
        <f>SUM(R22+AA22)/I22</f>
        <v>0.98341309906247953</v>
      </c>
      <c r="AN22" s="511">
        <f>SUM(S22+AB22)/J22</f>
        <v>0.99075770016210862</v>
      </c>
      <c r="AO22" s="411">
        <f t="shared" si="9"/>
        <v>0.90437892934893227</v>
      </c>
    </row>
    <row r="23" spans="1:61" s="278" customFormat="1" ht="21.75" customHeight="1" thickTop="1" thickBot="1" x14ac:dyDescent="0.25">
      <c r="A23" s="398" t="s">
        <v>45</v>
      </c>
      <c r="B23" s="398" t="s">
        <v>38</v>
      </c>
      <c r="C23" s="399"/>
      <c r="D23" s="399"/>
      <c r="E23" s="399">
        <f>SUM(E15:E22)</f>
        <v>0</v>
      </c>
      <c r="F23" s="399"/>
      <c r="G23" s="399"/>
      <c r="H23" s="399"/>
      <c r="I23" s="399"/>
      <c r="J23" s="399"/>
      <c r="K23" s="400"/>
      <c r="L23" s="399"/>
      <c r="M23" s="399"/>
      <c r="N23" s="399"/>
      <c r="O23" s="399"/>
      <c r="P23" s="399"/>
      <c r="Q23" s="399"/>
      <c r="R23" s="399"/>
      <c r="S23" s="399"/>
      <c r="T23" s="400"/>
      <c r="U23" s="399"/>
      <c r="V23" s="399"/>
      <c r="W23" s="399"/>
      <c r="X23" s="399"/>
      <c r="Y23" s="399"/>
      <c r="Z23" s="399"/>
      <c r="AA23" s="399"/>
      <c r="AB23" s="399"/>
      <c r="AC23" s="400"/>
      <c r="AD23" s="399"/>
      <c r="AE23" s="399"/>
      <c r="AF23" s="400"/>
      <c r="AG23" s="403"/>
      <c r="AH23" s="412"/>
      <c r="AI23" s="412"/>
      <c r="AJ23" s="412"/>
      <c r="AK23" s="412"/>
      <c r="AL23" s="412"/>
      <c r="AM23" s="412"/>
      <c r="AN23" s="412"/>
      <c r="AO23" s="412"/>
      <c r="AP23" s="715"/>
      <c r="AQ23" s="715"/>
      <c r="AR23" s="715"/>
      <c r="AS23" s="715"/>
      <c r="AT23" s="715"/>
      <c r="AU23" s="715"/>
      <c r="AV23" s="715"/>
      <c r="AW23" s="715"/>
      <c r="AX23" s="715"/>
      <c r="AY23" s="715"/>
      <c r="AZ23" s="715"/>
      <c r="BA23" s="715"/>
      <c r="BB23" s="715"/>
      <c r="BC23" s="715"/>
      <c r="BD23" s="715"/>
      <c r="BE23" s="715"/>
      <c r="BF23" s="715"/>
      <c r="BG23" s="715"/>
      <c r="BH23" s="715"/>
      <c r="BI23" s="715"/>
    </row>
    <row r="24" spans="1:61" s="445" customFormat="1" ht="31.5" customHeight="1" thickTop="1" x14ac:dyDescent="0.2">
      <c r="A24" s="438">
        <v>1</v>
      </c>
      <c r="B24" s="439" t="s">
        <v>211</v>
      </c>
      <c r="C24" s="440">
        <f>SUM(KESRA!BH23)</f>
        <v>107502516</v>
      </c>
      <c r="D24" s="440"/>
      <c r="E24" s="440"/>
      <c r="F24" s="440"/>
      <c r="G24" s="440"/>
      <c r="H24" s="440"/>
      <c r="I24" s="440"/>
      <c r="J24" s="440"/>
      <c r="K24" s="441">
        <f t="shared" ref="K24:K30" si="23">SUM(C24:J24)</f>
        <v>107502516</v>
      </c>
      <c r="L24" s="440">
        <f>SUM(KESRA!AS23)</f>
        <v>73395700</v>
      </c>
      <c r="M24" s="440"/>
      <c r="N24" s="440"/>
      <c r="O24" s="440"/>
      <c r="P24" s="440"/>
      <c r="Q24" s="440"/>
      <c r="R24" s="440"/>
      <c r="S24" s="440"/>
      <c r="T24" s="478">
        <f t="shared" ref="T24:T29" si="24">SUM(L24:S24)</f>
        <v>73395700</v>
      </c>
      <c r="U24" s="468">
        <f>SUM(KESRA!BF23)</f>
        <v>4358800</v>
      </c>
      <c r="V24" s="468"/>
      <c r="W24" s="468"/>
      <c r="X24" s="468"/>
      <c r="Y24" s="468"/>
      <c r="Z24" s="468"/>
      <c r="AA24" s="468"/>
      <c r="AB24" s="468"/>
      <c r="AC24" s="442">
        <f t="shared" ref="AC24:AC29" si="25">SUM(U24:AB24)</f>
        <v>4358800</v>
      </c>
      <c r="AD24" s="440">
        <f>SUM(KESRA!BG23)</f>
        <v>12827723.5</v>
      </c>
      <c r="AE24" s="440">
        <f t="shared" ref="AE24:AE30" si="26">SUM(AF24-AD24)</f>
        <v>16920292.5</v>
      </c>
      <c r="AF24" s="441">
        <f>SUM(KESRA!BI23)</f>
        <v>29748016</v>
      </c>
      <c r="AG24" s="443">
        <f>SUM(KESRA!BJ23)</f>
        <v>1</v>
      </c>
      <c r="AH24" s="465">
        <f>SUM(L24+U24)/C24</f>
        <v>0.72328074628504513</v>
      </c>
      <c r="AI24" s="465"/>
      <c r="AJ24" s="465"/>
      <c r="AK24" s="465"/>
      <c r="AL24" s="465"/>
      <c r="AM24" s="465"/>
      <c r="AN24" s="465"/>
      <c r="AO24" s="465">
        <f t="shared" ref="AO24:AO29" si="27">SUM(T24+AC24)/K24</f>
        <v>0.72328074628504513</v>
      </c>
      <c r="AP24" s="554"/>
      <c r="AQ24" s="554"/>
      <c r="AR24" s="554"/>
      <c r="AS24" s="554"/>
      <c r="AT24" s="554"/>
      <c r="AU24" s="554"/>
      <c r="AV24" s="554"/>
      <c r="AW24" s="554"/>
      <c r="AX24" s="554"/>
      <c r="AY24" s="554"/>
      <c r="AZ24" s="554"/>
      <c r="BA24" s="554"/>
      <c r="BB24" s="554"/>
      <c r="BC24" s="554"/>
      <c r="BD24" s="554"/>
      <c r="BE24" s="554"/>
      <c r="BF24" s="554"/>
      <c r="BG24" s="554"/>
      <c r="BH24" s="554"/>
      <c r="BI24" s="554"/>
    </row>
    <row r="25" spans="1:61" s="445" customFormat="1" ht="31.5" customHeight="1" x14ac:dyDescent="0.2">
      <c r="A25" s="466">
        <v>2</v>
      </c>
      <c r="B25" s="439" t="s">
        <v>211</v>
      </c>
      <c r="C25" s="468"/>
      <c r="D25" s="468"/>
      <c r="E25" s="468"/>
      <c r="F25" s="468"/>
      <c r="G25" s="468"/>
      <c r="H25" s="468"/>
      <c r="I25" s="468"/>
      <c r="J25" s="468">
        <f>SUM(KESRA!BH34)</f>
        <v>33222738</v>
      </c>
      <c r="K25" s="469">
        <f t="shared" si="23"/>
        <v>33222738</v>
      </c>
      <c r="L25" s="468"/>
      <c r="M25" s="468"/>
      <c r="N25" s="468"/>
      <c r="O25" s="468"/>
      <c r="P25" s="468"/>
      <c r="Q25" s="468"/>
      <c r="R25" s="468"/>
      <c r="S25" s="468">
        <f>SUM(KESRA!AS34)</f>
        <v>28192000</v>
      </c>
      <c r="T25" s="449">
        <f t="shared" si="24"/>
        <v>28192000</v>
      </c>
      <c r="U25" s="468"/>
      <c r="V25" s="468"/>
      <c r="W25" s="468"/>
      <c r="X25" s="468"/>
      <c r="Y25" s="468"/>
      <c r="Z25" s="468"/>
      <c r="AA25" s="468"/>
      <c r="AB25" s="468">
        <f>SUM(KESRA!BF34)</f>
        <v>0</v>
      </c>
      <c r="AC25" s="451">
        <f t="shared" si="25"/>
        <v>0</v>
      </c>
      <c r="AD25" s="468">
        <f>SUM(KESRA!BG34)</f>
        <v>738</v>
      </c>
      <c r="AE25" s="468">
        <f t="shared" si="26"/>
        <v>5030000</v>
      </c>
      <c r="AF25" s="469">
        <f>SUM(KESRA!BI34)</f>
        <v>5030738</v>
      </c>
      <c r="AG25" s="452">
        <f>SUM(KESRA!BJ34)</f>
        <v>1</v>
      </c>
      <c r="AH25" s="470"/>
      <c r="AI25" s="470"/>
      <c r="AJ25" s="470"/>
      <c r="AK25" s="470"/>
      <c r="AL25" s="470"/>
      <c r="AM25" s="470"/>
      <c r="AN25" s="470">
        <f>SUM(S25+AB25)/J25</f>
        <v>0.8485754545576587</v>
      </c>
      <c r="AO25" s="470">
        <f t="shared" si="27"/>
        <v>0.8485754545576587</v>
      </c>
      <c r="AP25" s="554"/>
      <c r="AQ25" s="554"/>
      <c r="AR25" s="554"/>
      <c r="AS25" s="554"/>
      <c r="AT25" s="554"/>
      <c r="AU25" s="554"/>
      <c r="AV25" s="554"/>
      <c r="AW25" s="554"/>
      <c r="AX25" s="554"/>
      <c r="AY25" s="554"/>
      <c r="AZ25" s="554"/>
      <c r="BA25" s="554"/>
      <c r="BB25" s="554"/>
      <c r="BC25" s="554"/>
      <c r="BD25" s="554"/>
      <c r="BE25" s="554"/>
      <c r="BF25" s="554"/>
      <c r="BG25" s="554"/>
      <c r="BH25" s="554"/>
      <c r="BI25" s="554"/>
    </row>
    <row r="26" spans="1:61" s="445" customFormat="1" ht="31.5" customHeight="1" x14ac:dyDescent="0.2">
      <c r="A26" s="466">
        <v>3</v>
      </c>
      <c r="B26" s="467" t="s">
        <v>212</v>
      </c>
      <c r="C26" s="468"/>
      <c r="D26" s="468"/>
      <c r="E26" s="468"/>
      <c r="F26" s="468"/>
      <c r="G26" s="468"/>
      <c r="H26" s="468">
        <f>SUM(KESRA!BH44)</f>
        <v>3200000</v>
      </c>
      <c r="I26" s="468"/>
      <c r="J26" s="468"/>
      <c r="K26" s="469">
        <f t="shared" si="23"/>
        <v>3200000</v>
      </c>
      <c r="L26" s="468"/>
      <c r="M26" s="468"/>
      <c r="N26" s="468"/>
      <c r="O26" s="468"/>
      <c r="P26" s="468"/>
      <c r="Q26" s="468">
        <f>SUM(KESRA!AS44)</f>
        <v>2720000</v>
      </c>
      <c r="R26" s="468"/>
      <c r="S26" s="468"/>
      <c r="T26" s="449">
        <f t="shared" si="24"/>
        <v>2720000</v>
      </c>
      <c r="U26" s="468"/>
      <c r="V26" s="468"/>
      <c r="W26" s="468"/>
      <c r="X26" s="468"/>
      <c r="Y26" s="468"/>
      <c r="Z26" s="468">
        <f>SUM(KESRA!BF44)</f>
        <v>380800.00000000006</v>
      </c>
      <c r="AA26" s="468"/>
      <c r="AB26" s="468"/>
      <c r="AC26" s="451">
        <f t="shared" si="25"/>
        <v>380800.00000000006</v>
      </c>
      <c r="AD26" s="468">
        <f>SUM(KESRA!BG44)</f>
        <v>99199.999999999942</v>
      </c>
      <c r="AE26" s="468">
        <f t="shared" si="26"/>
        <v>0</v>
      </c>
      <c r="AF26" s="469">
        <f>SUM(KESRA!BI44)</f>
        <v>99199.999999999942</v>
      </c>
      <c r="AG26" s="452">
        <f>SUM(KESRA!BJ44)</f>
        <v>1</v>
      </c>
      <c r="AH26" s="470"/>
      <c r="AI26" s="470"/>
      <c r="AJ26" s="470"/>
      <c r="AK26" s="470"/>
      <c r="AL26" s="470">
        <f t="shared" ref="AL26:AL31" si="28">SUM(Q26+Z26)/H26</f>
        <v>0.96899999999999997</v>
      </c>
      <c r="AM26" s="470"/>
      <c r="AN26" s="470"/>
      <c r="AO26" s="470">
        <f t="shared" si="27"/>
        <v>0.96899999999999997</v>
      </c>
      <c r="AP26" s="554"/>
      <c r="AQ26" s="554"/>
      <c r="AR26" s="554"/>
      <c r="AS26" s="554"/>
      <c r="AT26" s="554"/>
      <c r="AU26" s="554"/>
      <c r="AV26" s="554"/>
      <c r="AW26" s="554"/>
      <c r="AX26" s="554"/>
      <c r="AY26" s="554"/>
      <c r="AZ26" s="554"/>
      <c r="BA26" s="554"/>
      <c r="BB26" s="554"/>
      <c r="BC26" s="554"/>
      <c r="BD26" s="554"/>
      <c r="BE26" s="554"/>
      <c r="BF26" s="554"/>
      <c r="BG26" s="554"/>
      <c r="BH26" s="554"/>
      <c r="BI26" s="554"/>
    </row>
    <row r="27" spans="1:61" s="445" customFormat="1" ht="31.5" customHeight="1" x14ac:dyDescent="0.2">
      <c r="A27" s="466">
        <v>4</v>
      </c>
      <c r="B27" s="471" t="s">
        <v>213</v>
      </c>
      <c r="C27" s="468"/>
      <c r="D27" s="468"/>
      <c r="E27" s="468">
        <f>SUM(KESRA!BH61)</f>
        <v>81454700</v>
      </c>
      <c r="F27" s="468"/>
      <c r="G27" s="468"/>
      <c r="H27" s="468"/>
      <c r="I27" s="468"/>
      <c r="J27" s="468"/>
      <c r="K27" s="469">
        <f t="shared" si="23"/>
        <v>81454700</v>
      </c>
      <c r="L27" s="468"/>
      <c r="M27" s="468"/>
      <c r="N27" s="468">
        <f>SUM(KESRA!AS61)</f>
        <v>74501791</v>
      </c>
      <c r="O27" s="468"/>
      <c r="P27" s="468"/>
      <c r="Q27" s="468"/>
      <c r="R27" s="468"/>
      <c r="S27" s="468"/>
      <c r="T27" s="449">
        <f t="shared" si="24"/>
        <v>74501791</v>
      </c>
      <c r="U27" s="468"/>
      <c r="V27" s="468"/>
      <c r="W27" s="468">
        <f>SUM(KESRA!BF61)</f>
        <v>6201800</v>
      </c>
      <c r="X27" s="468"/>
      <c r="Y27" s="468"/>
      <c r="Z27" s="468"/>
      <c r="AA27" s="468"/>
      <c r="AB27" s="468"/>
      <c r="AC27" s="451">
        <f t="shared" si="25"/>
        <v>6201800</v>
      </c>
      <c r="AD27" s="468">
        <f>SUM(KESRA!BG61)</f>
        <v>4531500</v>
      </c>
      <c r="AE27" s="468">
        <f>SUM(AF27-AD27)</f>
        <v>1449300</v>
      </c>
      <c r="AF27" s="469">
        <f>SUM(KESRA!BI61)</f>
        <v>5980800</v>
      </c>
      <c r="AG27" s="452">
        <f>SUM(KESRA!BJ61)</f>
        <v>1</v>
      </c>
      <c r="AH27" s="470"/>
      <c r="AI27" s="470">
        <f>SUM(N27+W27)/E27</f>
        <v>0.9907788132544838</v>
      </c>
      <c r="AJ27" s="470"/>
      <c r="AK27" s="470"/>
      <c r="AL27" s="470"/>
      <c r="AM27" s="470"/>
      <c r="AN27" s="470"/>
      <c r="AO27" s="470">
        <f t="shared" si="27"/>
        <v>0.9907788132544838</v>
      </c>
      <c r="AP27" s="554"/>
      <c r="AQ27" s="554"/>
      <c r="AR27" s="554"/>
      <c r="AS27" s="554"/>
      <c r="AT27" s="554"/>
      <c r="AU27" s="554"/>
      <c r="AV27" s="554"/>
      <c r="AW27" s="554"/>
      <c r="AX27" s="554"/>
      <c r="AY27" s="554"/>
      <c r="AZ27" s="554"/>
      <c r="BA27" s="554"/>
      <c r="BB27" s="554"/>
      <c r="BC27" s="554"/>
      <c r="BD27" s="554"/>
      <c r="BE27" s="554"/>
      <c r="BF27" s="554"/>
      <c r="BG27" s="554"/>
      <c r="BH27" s="554"/>
      <c r="BI27" s="554"/>
    </row>
    <row r="28" spans="1:61" s="445" customFormat="1" ht="31.5" customHeight="1" x14ac:dyDescent="0.2">
      <c r="A28" s="466">
        <v>5</v>
      </c>
      <c r="B28" s="471" t="s">
        <v>214</v>
      </c>
      <c r="C28" s="468"/>
      <c r="D28" s="468"/>
      <c r="E28" s="468"/>
      <c r="F28" s="468"/>
      <c r="G28" s="468"/>
      <c r="H28" s="468">
        <f>SUM(KESRA!BH72)</f>
        <v>7082000</v>
      </c>
      <c r="I28" s="468"/>
      <c r="J28" s="468"/>
      <c r="K28" s="469">
        <f t="shared" si="23"/>
        <v>7082000</v>
      </c>
      <c r="L28" s="468"/>
      <c r="M28" s="468"/>
      <c r="N28" s="468"/>
      <c r="O28" s="468"/>
      <c r="P28" s="468"/>
      <c r="Q28" s="468">
        <f>SUM(KESRA!AS72)</f>
        <v>3770000</v>
      </c>
      <c r="R28" s="468"/>
      <c r="S28" s="468"/>
      <c r="T28" s="449">
        <f t="shared" si="24"/>
        <v>3770000</v>
      </c>
      <c r="U28" s="468"/>
      <c r="V28" s="468"/>
      <c r="W28" s="468"/>
      <c r="X28" s="468"/>
      <c r="Y28" s="468"/>
      <c r="Z28" s="468">
        <f>SUM(KESRA!BF72)</f>
        <v>20160</v>
      </c>
      <c r="AA28" s="468"/>
      <c r="AB28" s="468"/>
      <c r="AC28" s="451">
        <f t="shared" si="25"/>
        <v>20160</v>
      </c>
      <c r="AD28" s="468">
        <f>SUM(KESRA!BG72)</f>
        <v>21000</v>
      </c>
      <c r="AE28" s="468">
        <f t="shared" ref="AE28" si="29">SUM(AF28-AD28)</f>
        <v>3291000</v>
      </c>
      <c r="AF28" s="469">
        <f>SUM(KESRA!BI72)</f>
        <v>3312000</v>
      </c>
      <c r="AG28" s="452">
        <f>SUM(KESRA!BJ61)</f>
        <v>1</v>
      </c>
      <c r="AH28" s="470"/>
      <c r="AI28" s="470"/>
      <c r="AJ28" s="470"/>
      <c r="AK28" s="470"/>
      <c r="AL28" s="470">
        <f t="shared" si="28"/>
        <v>0.53518215193448182</v>
      </c>
      <c r="AM28" s="470"/>
      <c r="AN28" s="470"/>
      <c r="AO28" s="470">
        <f t="shared" si="27"/>
        <v>0.53518215193448182</v>
      </c>
      <c r="AP28" s="554"/>
      <c r="AQ28" s="554"/>
      <c r="AR28" s="554"/>
      <c r="AS28" s="554"/>
      <c r="AT28" s="554"/>
      <c r="AU28" s="554"/>
      <c r="AV28" s="554"/>
      <c r="AW28" s="554"/>
      <c r="AX28" s="554"/>
      <c r="AY28" s="554"/>
      <c r="AZ28" s="554"/>
      <c r="BA28" s="554"/>
      <c r="BB28" s="554"/>
      <c r="BC28" s="554"/>
      <c r="BD28" s="554"/>
      <c r="BE28" s="554"/>
      <c r="BF28" s="554"/>
      <c r="BG28" s="554"/>
      <c r="BH28" s="554"/>
      <c r="BI28" s="554"/>
    </row>
    <row r="29" spans="1:61" s="445" customFormat="1" ht="31.5" customHeight="1" x14ac:dyDescent="0.2">
      <c r="A29" s="472">
        <v>6</v>
      </c>
      <c r="B29" s="473" t="s">
        <v>235</v>
      </c>
      <c r="C29" s="474"/>
      <c r="D29" s="474"/>
      <c r="E29" s="474">
        <f>SUM(KESRA!BH80)</f>
        <v>42000000</v>
      </c>
      <c r="F29" s="474"/>
      <c r="G29" s="474"/>
      <c r="H29" s="474"/>
      <c r="I29" s="474"/>
      <c r="J29" s="474"/>
      <c r="K29" s="475">
        <f t="shared" si="23"/>
        <v>42000000</v>
      </c>
      <c r="L29" s="474"/>
      <c r="M29" s="474"/>
      <c r="N29" s="474">
        <f>SUM(KESRA!AS80)</f>
        <v>30000000</v>
      </c>
      <c r="O29" s="474"/>
      <c r="P29" s="474"/>
      <c r="Q29" s="474"/>
      <c r="R29" s="474"/>
      <c r="S29" s="474"/>
      <c r="T29" s="458">
        <f t="shared" si="24"/>
        <v>30000000</v>
      </c>
      <c r="U29" s="474"/>
      <c r="V29" s="474"/>
      <c r="W29" s="474">
        <f>SUM(KESRA!BF80)</f>
        <v>4900000.0000000009</v>
      </c>
      <c r="X29" s="474"/>
      <c r="Y29" s="474"/>
      <c r="Z29" s="474"/>
      <c r="AA29" s="474"/>
      <c r="AB29" s="474"/>
      <c r="AC29" s="460">
        <f t="shared" si="25"/>
        <v>4900000.0000000009</v>
      </c>
      <c r="AD29" s="474">
        <f>SUM(KESRA!BG80)</f>
        <v>2099999.9999999991</v>
      </c>
      <c r="AE29" s="474">
        <f t="shared" si="26"/>
        <v>0</v>
      </c>
      <c r="AF29" s="475">
        <f>SUM(KESRA!BI80)</f>
        <v>2099999.9999999991</v>
      </c>
      <c r="AG29" s="461">
        <f>SUM(KESRA!BJ80)</f>
        <v>1</v>
      </c>
      <c r="AH29" s="462"/>
      <c r="AI29" s="462">
        <f>SUM(N29+W29)/E29</f>
        <v>0.830952380952381</v>
      </c>
      <c r="AJ29" s="462"/>
      <c r="AK29" s="462"/>
      <c r="AL29" s="462"/>
      <c r="AM29" s="462"/>
      <c r="AN29" s="462"/>
      <c r="AO29" s="462">
        <f t="shared" si="27"/>
        <v>0.830952380952381</v>
      </c>
      <c r="AP29" s="554"/>
      <c r="AQ29" s="554"/>
      <c r="AR29" s="554"/>
      <c r="AS29" s="554"/>
      <c r="AT29" s="554"/>
      <c r="AU29" s="554"/>
      <c r="AV29" s="554"/>
      <c r="AW29" s="554"/>
      <c r="AX29" s="554"/>
      <c r="AY29" s="554"/>
      <c r="AZ29" s="554"/>
      <c r="BA29" s="554"/>
      <c r="BB29" s="554"/>
      <c r="BC29" s="554"/>
      <c r="BD29" s="554"/>
      <c r="BE29" s="554"/>
      <c r="BF29" s="554"/>
      <c r="BG29" s="554"/>
      <c r="BH29" s="554"/>
      <c r="BI29" s="554"/>
    </row>
    <row r="30" spans="1:61" s="445" customFormat="1" ht="31.5" customHeight="1" thickBot="1" x14ac:dyDescent="0.25">
      <c r="A30" s="466">
        <v>7</v>
      </c>
      <c r="B30" s="471" t="s">
        <v>215</v>
      </c>
      <c r="C30" s="468"/>
      <c r="D30" s="468"/>
      <c r="E30" s="468"/>
      <c r="F30" s="468"/>
      <c r="G30" s="468"/>
      <c r="H30" s="468">
        <f>SUM(KESRA!BH118)</f>
        <v>9052000</v>
      </c>
      <c r="I30" s="468"/>
      <c r="J30" s="468">
        <f>SUM(KESRA!BH63)</f>
        <v>0</v>
      </c>
      <c r="K30" s="469">
        <f t="shared" si="23"/>
        <v>9052000</v>
      </c>
      <c r="L30" s="468"/>
      <c r="M30" s="468"/>
      <c r="N30" s="468"/>
      <c r="O30" s="468"/>
      <c r="P30" s="468"/>
      <c r="Q30" s="468">
        <f>SUM(KESRA!AS118)</f>
        <v>7759000</v>
      </c>
      <c r="R30" s="468"/>
      <c r="S30" s="468">
        <f>SUM(KESRA!AS63)</f>
        <v>0</v>
      </c>
      <c r="T30" s="449">
        <f t="shared" ref="T30" si="30">SUM(L30:S30)</f>
        <v>7759000</v>
      </c>
      <c r="U30" s="468"/>
      <c r="V30" s="468"/>
      <c r="W30" s="468"/>
      <c r="X30" s="468"/>
      <c r="Y30" s="468"/>
      <c r="Z30" s="468">
        <f>SUM(KESRA!BF118)</f>
        <v>883100</v>
      </c>
      <c r="AA30" s="468"/>
      <c r="AB30" s="468">
        <f>SUM(KESRA!BF63)</f>
        <v>0</v>
      </c>
      <c r="AC30" s="451">
        <f t="shared" ref="AC30" si="31">SUM(U30:AB30)</f>
        <v>883100</v>
      </c>
      <c r="AD30" s="468">
        <f>SUM(KESRA!BG118)</f>
        <v>373900</v>
      </c>
      <c r="AE30" s="468">
        <f t="shared" si="26"/>
        <v>36000</v>
      </c>
      <c r="AF30" s="469">
        <f>SUM(KESRA!BI118)</f>
        <v>409900</v>
      </c>
      <c r="AG30" s="452">
        <f>SUM(KESRA!BJ118)</f>
        <v>1</v>
      </c>
      <c r="AH30" s="470"/>
      <c r="AI30" s="470"/>
      <c r="AJ30" s="470"/>
      <c r="AK30" s="470"/>
      <c r="AL30" s="470">
        <f t="shared" ref="AL30" si="32">SUM(Q30+Z30)/H30</f>
        <v>0.95471718957136542</v>
      </c>
      <c r="AM30" s="470"/>
      <c r="AN30" s="470"/>
      <c r="AO30" s="470">
        <f t="shared" ref="AO30" si="33">SUM(T30+AC30)/K30</f>
        <v>0.95471718957136542</v>
      </c>
      <c r="AP30" s="554"/>
      <c r="AQ30" s="554"/>
      <c r="AR30" s="554"/>
      <c r="AS30" s="554"/>
      <c r="AT30" s="554"/>
      <c r="AU30" s="554"/>
      <c r="AV30" s="554"/>
      <c r="AW30" s="554"/>
      <c r="AX30" s="554"/>
      <c r="AY30" s="554"/>
      <c r="AZ30" s="554"/>
      <c r="BA30" s="554"/>
      <c r="BB30" s="554"/>
      <c r="BC30" s="554"/>
      <c r="BD30" s="554"/>
      <c r="BE30" s="554"/>
      <c r="BF30" s="554"/>
      <c r="BG30" s="554"/>
      <c r="BH30" s="554"/>
      <c r="BI30" s="554"/>
    </row>
    <row r="31" spans="1:61" s="28" customFormat="1" ht="21.75" customHeight="1" thickTop="1" thickBot="1" x14ac:dyDescent="0.25">
      <c r="A31" s="407"/>
      <c r="B31" s="408" t="s">
        <v>40</v>
      </c>
      <c r="C31" s="409">
        <f t="shared" ref="C31:AF31" si="34">SUM(C24:C30)</f>
        <v>107502516</v>
      </c>
      <c r="D31" s="409">
        <f t="shared" si="34"/>
        <v>0</v>
      </c>
      <c r="E31" s="409">
        <f t="shared" si="34"/>
        <v>123454700</v>
      </c>
      <c r="F31" s="409">
        <f t="shared" si="34"/>
        <v>0</v>
      </c>
      <c r="G31" s="409">
        <f t="shared" si="34"/>
        <v>0</v>
      </c>
      <c r="H31" s="409">
        <f t="shared" si="34"/>
        <v>19334000</v>
      </c>
      <c r="I31" s="409">
        <f t="shared" si="34"/>
        <v>0</v>
      </c>
      <c r="J31" s="409">
        <f t="shared" si="34"/>
        <v>33222738</v>
      </c>
      <c r="K31" s="409">
        <f t="shared" si="34"/>
        <v>283513954</v>
      </c>
      <c r="L31" s="409">
        <f t="shared" si="34"/>
        <v>73395700</v>
      </c>
      <c r="M31" s="409">
        <f t="shared" si="34"/>
        <v>0</v>
      </c>
      <c r="N31" s="409">
        <f t="shared" si="34"/>
        <v>104501791</v>
      </c>
      <c r="O31" s="409">
        <f t="shared" si="34"/>
        <v>0</v>
      </c>
      <c r="P31" s="409">
        <f t="shared" si="34"/>
        <v>0</v>
      </c>
      <c r="Q31" s="409">
        <f t="shared" si="34"/>
        <v>14249000</v>
      </c>
      <c r="R31" s="409">
        <f t="shared" si="34"/>
        <v>0</v>
      </c>
      <c r="S31" s="409">
        <f t="shared" si="34"/>
        <v>28192000</v>
      </c>
      <c r="T31" s="409">
        <f t="shared" si="34"/>
        <v>220338491</v>
      </c>
      <c r="U31" s="409">
        <f t="shared" si="34"/>
        <v>4358800</v>
      </c>
      <c r="V31" s="409">
        <f t="shared" si="34"/>
        <v>0</v>
      </c>
      <c r="W31" s="409">
        <f t="shared" si="34"/>
        <v>11101800</v>
      </c>
      <c r="X31" s="409">
        <f t="shared" si="34"/>
        <v>0</v>
      </c>
      <c r="Y31" s="409">
        <f t="shared" si="34"/>
        <v>0</v>
      </c>
      <c r="Z31" s="409">
        <f t="shared" si="34"/>
        <v>1284060</v>
      </c>
      <c r="AA31" s="409">
        <f t="shared" si="34"/>
        <v>0</v>
      </c>
      <c r="AB31" s="409">
        <f t="shared" si="34"/>
        <v>0</v>
      </c>
      <c r="AC31" s="409">
        <f t="shared" si="34"/>
        <v>16744660</v>
      </c>
      <c r="AD31" s="409">
        <f t="shared" si="34"/>
        <v>19954061.5</v>
      </c>
      <c r="AE31" s="409">
        <f t="shared" si="34"/>
        <v>26726592.5</v>
      </c>
      <c r="AF31" s="409">
        <f t="shared" si="34"/>
        <v>46680654</v>
      </c>
      <c r="AG31" s="410">
        <f>SUM(AG24:AG30)/7</f>
        <v>1</v>
      </c>
      <c r="AH31" s="411">
        <f>SUM(L31+U31)/C31</f>
        <v>0.72328074628504513</v>
      </c>
      <c r="AI31" s="411">
        <f>SUM(N31+W31)/E31</f>
        <v>0.9364049404356416</v>
      </c>
      <c r="AJ31" s="411"/>
      <c r="AK31" s="411"/>
      <c r="AL31" s="411">
        <f t="shared" si="28"/>
        <v>0.80340643426088754</v>
      </c>
      <c r="AM31" s="411"/>
      <c r="AN31" s="411">
        <f>SUM(S31+AB31)/J31</f>
        <v>0.8485754545576587</v>
      </c>
      <c r="AO31" s="411">
        <f>SUM(T31+AC31)/K31</f>
        <v>0.83623097789394873</v>
      </c>
    </row>
    <row r="32" spans="1:61" s="278" customFormat="1" ht="21.75" customHeight="1" thickTop="1" thickBot="1" x14ac:dyDescent="0.25">
      <c r="A32" s="398" t="s">
        <v>46</v>
      </c>
      <c r="B32" s="398" t="s">
        <v>41</v>
      </c>
      <c r="C32" s="399"/>
      <c r="D32" s="399"/>
      <c r="E32" s="399"/>
      <c r="F32" s="399"/>
      <c r="G32" s="399"/>
      <c r="H32" s="399"/>
      <c r="I32" s="399"/>
      <c r="J32" s="399"/>
      <c r="K32" s="400"/>
      <c r="L32" s="399"/>
      <c r="M32" s="399"/>
      <c r="N32" s="399"/>
      <c r="O32" s="399"/>
      <c r="P32" s="399"/>
      <c r="Q32" s="399"/>
      <c r="R32" s="399"/>
      <c r="S32" s="399"/>
      <c r="T32" s="400"/>
      <c r="U32" s="399"/>
      <c r="V32" s="399"/>
      <c r="W32" s="399"/>
      <c r="X32" s="399"/>
      <c r="Y32" s="399"/>
      <c r="Z32" s="399"/>
      <c r="AA32" s="399"/>
      <c r="AB32" s="399"/>
      <c r="AC32" s="400"/>
      <c r="AD32" s="399"/>
      <c r="AE32" s="399"/>
      <c r="AF32" s="400"/>
      <c r="AG32" s="403"/>
      <c r="AH32" s="412"/>
      <c r="AI32" s="412"/>
      <c r="AJ32" s="412"/>
      <c r="AK32" s="412"/>
      <c r="AL32" s="412"/>
      <c r="AM32" s="412"/>
      <c r="AN32" s="412"/>
      <c r="AO32" s="412"/>
      <c r="AP32" s="715"/>
      <c r="AQ32" s="715"/>
      <c r="AR32" s="715"/>
      <c r="AS32" s="715"/>
      <c r="AT32" s="715"/>
      <c r="AU32" s="715"/>
      <c r="AV32" s="715"/>
      <c r="AW32" s="715"/>
      <c r="AX32" s="715"/>
      <c r="AY32" s="715"/>
      <c r="AZ32" s="715"/>
      <c r="BA32" s="715"/>
      <c r="BB32" s="715"/>
      <c r="BC32" s="715"/>
      <c r="BD32" s="715"/>
      <c r="BE32" s="715"/>
      <c r="BF32" s="715"/>
      <c r="BG32" s="715"/>
      <c r="BH32" s="715"/>
      <c r="BI32" s="715"/>
    </row>
    <row r="33" spans="1:61" s="445" customFormat="1" ht="21.75" customHeight="1" thickTop="1" x14ac:dyDescent="0.2">
      <c r="A33" s="438">
        <v>1</v>
      </c>
      <c r="B33" s="439" t="s">
        <v>210</v>
      </c>
      <c r="C33" s="440"/>
      <c r="D33" s="440"/>
      <c r="E33" s="440"/>
      <c r="F33" s="440"/>
      <c r="G33" s="440"/>
      <c r="H33" s="440">
        <f>SUM(PEMER!BH6)</f>
        <v>2800000</v>
      </c>
      <c r="I33" s="440"/>
      <c r="J33" s="440"/>
      <c r="K33" s="441">
        <f>SUM(C33:J33)</f>
        <v>2800000</v>
      </c>
      <c r="L33" s="440"/>
      <c r="M33" s="440"/>
      <c r="N33" s="440"/>
      <c r="O33" s="440"/>
      <c r="P33" s="440"/>
      <c r="Q33" s="440">
        <f>SUM(PEMER!AS6)</f>
        <v>2800000</v>
      </c>
      <c r="R33" s="440"/>
      <c r="S33" s="440"/>
      <c r="T33" s="478">
        <f t="shared" ref="T33:T35" si="35">SUM(L33:S33)</f>
        <v>2800000</v>
      </c>
      <c r="U33" s="440"/>
      <c r="V33" s="440"/>
      <c r="W33" s="440"/>
      <c r="X33" s="464"/>
      <c r="Y33" s="464"/>
      <c r="Z33" s="440">
        <f>SUM(PEMER!BF6)</f>
        <v>0</v>
      </c>
      <c r="AA33" s="440"/>
      <c r="AB33" s="440"/>
      <c r="AC33" s="442">
        <f t="shared" ref="AC33:AC35" si="36">SUM(U33:AB33)</f>
        <v>0</v>
      </c>
      <c r="AD33" s="440">
        <f>SUM(PEMER!BG6)</f>
        <v>0</v>
      </c>
      <c r="AE33" s="440">
        <f t="shared" ref="AE33" si="37">SUM(AF33-AD33)</f>
        <v>0</v>
      </c>
      <c r="AF33" s="441">
        <f>SUM(PEMER!BI6)</f>
        <v>0</v>
      </c>
      <c r="AG33" s="443">
        <f>SUM(PEMER!BJ6)</f>
        <v>1</v>
      </c>
      <c r="AH33" s="465"/>
      <c r="AI33" s="465"/>
      <c r="AJ33" s="465"/>
      <c r="AK33" s="465"/>
      <c r="AL33" s="465">
        <f t="shared" ref="AL33:AL36" si="38">SUM(Q33+Z33)/H33</f>
        <v>1</v>
      </c>
      <c r="AM33" s="465"/>
      <c r="AN33" s="465"/>
      <c r="AO33" s="465">
        <f t="shared" ref="AO33:AO36" si="39">SUM(T33+AC33)/K33</f>
        <v>1</v>
      </c>
      <c r="AP33" s="554"/>
      <c r="AQ33" s="554"/>
      <c r="AR33" s="554"/>
      <c r="AS33" s="554"/>
      <c r="AT33" s="554"/>
      <c r="AU33" s="554"/>
      <c r="AV33" s="554"/>
      <c r="AW33" s="554"/>
      <c r="AX33" s="554"/>
      <c r="AY33" s="554"/>
      <c r="AZ33" s="554"/>
      <c r="BA33" s="554"/>
      <c r="BB33" s="554"/>
      <c r="BC33" s="554"/>
      <c r="BD33" s="554"/>
      <c r="BE33" s="554"/>
      <c r="BF33" s="554"/>
      <c r="BG33" s="554"/>
      <c r="BH33" s="554"/>
      <c r="BI33" s="554"/>
    </row>
    <row r="34" spans="1:61" s="445" customFormat="1" ht="26.25" customHeight="1" x14ac:dyDescent="0.2">
      <c r="A34" s="466">
        <v>2</v>
      </c>
      <c r="B34" s="467" t="s">
        <v>209</v>
      </c>
      <c r="C34" s="468"/>
      <c r="D34" s="468"/>
      <c r="E34" s="468">
        <f>SUM(PEMER!BH13)</f>
        <v>413207</v>
      </c>
      <c r="F34" s="468"/>
      <c r="G34" s="468"/>
      <c r="H34" s="468"/>
      <c r="I34" s="468"/>
      <c r="J34" s="468"/>
      <c r="K34" s="469">
        <f>SUM(C34:J34)</f>
        <v>413207</v>
      </c>
      <c r="L34" s="468"/>
      <c r="M34" s="468"/>
      <c r="N34" s="468">
        <f>SUM(PEMER!AS13)</f>
        <v>0</v>
      </c>
      <c r="O34" s="468"/>
      <c r="P34" s="468"/>
      <c r="Q34" s="468"/>
      <c r="R34" s="468"/>
      <c r="S34" s="468"/>
      <c r="T34" s="449">
        <f t="shared" ref="T34" si="40">SUM(L34:S34)</f>
        <v>0</v>
      </c>
      <c r="U34" s="468">
        <f>SUM(PEMER!BF13)</f>
        <v>0</v>
      </c>
      <c r="V34" s="468">
        <f>SUM(PEMER!BG13)</f>
        <v>0</v>
      </c>
      <c r="W34" s="450">
        <f>SUM(PEMER!BF13)</f>
        <v>0</v>
      </c>
      <c r="X34" s="468"/>
      <c r="Y34" s="468"/>
      <c r="Z34" s="468"/>
      <c r="AA34" s="468"/>
      <c r="AB34" s="468"/>
      <c r="AC34" s="451">
        <f t="shared" ref="AC34" si="41">SUM(U34:AB34)</f>
        <v>0</v>
      </c>
      <c r="AD34" s="468">
        <f>SUM(PEMER!BG13)</f>
        <v>0</v>
      </c>
      <c r="AE34" s="468">
        <f t="shared" ref="AE34" si="42">SUM(AF34-AD34)</f>
        <v>163207</v>
      </c>
      <c r="AF34" s="469">
        <f>SUM(PEMER!BI15)</f>
        <v>163207</v>
      </c>
      <c r="AG34" s="452">
        <f>SUM(PEMER!BJ15)</f>
        <v>0</v>
      </c>
      <c r="AH34" s="470"/>
      <c r="AI34" s="470">
        <f t="shared" ref="AI34" si="43">SUM(N34+W34)/E34</f>
        <v>0</v>
      </c>
      <c r="AJ34" s="470"/>
      <c r="AK34" s="470"/>
      <c r="AL34" s="470"/>
      <c r="AM34" s="470"/>
      <c r="AN34" s="470"/>
      <c r="AO34" s="470">
        <f t="shared" ref="AO34" si="44">SUM(T34+AC34)/K34</f>
        <v>0</v>
      </c>
      <c r="AP34" s="718">
        <f>SUM(AF34)</f>
        <v>163207</v>
      </c>
      <c r="AQ34" s="554"/>
      <c r="AR34" s="554"/>
      <c r="AS34" s="554"/>
      <c r="AT34" s="554"/>
      <c r="AU34" s="554"/>
      <c r="AV34" s="554"/>
      <c r="AW34" s="554"/>
      <c r="AX34" s="554"/>
      <c r="AY34" s="554"/>
      <c r="AZ34" s="554"/>
      <c r="BA34" s="554"/>
      <c r="BB34" s="554"/>
      <c r="BC34" s="554"/>
      <c r="BD34" s="554"/>
      <c r="BE34" s="554"/>
      <c r="BF34" s="554"/>
      <c r="BG34" s="554"/>
      <c r="BH34" s="554"/>
      <c r="BI34" s="554"/>
    </row>
    <row r="35" spans="1:61" s="445" customFormat="1" ht="26.25" customHeight="1" thickBot="1" x14ac:dyDescent="0.25">
      <c r="A35" s="466">
        <v>3</v>
      </c>
      <c r="B35" s="467" t="s">
        <v>286</v>
      </c>
      <c r="C35" s="468"/>
      <c r="D35" s="468"/>
      <c r="E35" s="468"/>
      <c r="F35" s="468"/>
      <c r="G35" s="468">
        <f>SUM(PEMER!BH24)</f>
        <v>139000</v>
      </c>
      <c r="H35" s="468"/>
      <c r="I35" s="468"/>
      <c r="J35" s="468"/>
      <c r="K35" s="469">
        <f>SUM(C35:J35)</f>
        <v>139000</v>
      </c>
      <c r="L35" s="468"/>
      <c r="M35" s="468"/>
      <c r="N35" s="468">
        <f>SUM(PEMER!AS15)</f>
        <v>0</v>
      </c>
      <c r="O35" s="468"/>
      <c r="P35" s="468">
        <f>SUM(PEMER!AS24)</f>
        <v>103000</v>
      </c>
      <c r="Q35" s="468"/>
      <c r="R35" s="468"/>
      <c r="S35" s="468"/>
      <c r="T35" s="449">
        <f t="shared" si="35"/>
        <v>103000</v>
      </c>
      <c r="U35" s="468">
        <f>SUM(PEMER!BF15)</f>
        <v>0</v>
      </c>
      <c r="V35" s="468">
        <f>SUM(PEMER!BG15)</f>
        <v>0</v>
      </c>
      <c r="W35" s="450">
        <f>SUM(PEMER!BF15)</f>
        <v>0</v>
      </c>
      <c r="X35" s="468"/>
      <c r="Y35" s="468">
        <f>SUM(PEMER!BF24)</f>
        <v>12360</v>
      </c>
      <c r="Z35" s="468"/>
      <c r="AA35" s="468"/>
      <c r="AB35" s="468"/>
      <c r="AC35" s="451">
        <f t="shared" si="36"/>
        <v>12360</v>
      </c>
      <c r="AD35" s="468">
        <f>SUM(PEMER!BG24)</f>
        <v>36000</v>
      </c>
      <c r="AE35" s="468">
        <f t="shared" ref="AE35" si="45">SUM(AF35-AD35)</f>
        <v>0</v>
      </c>
      <c r="AF35" s="469">
        <f>SUM(PEMER!BI24)</f>
        <v>36000</v>
      </c>
      <c r="AG35" s="452">
        <f>SUM(PEMER!BJ24)</f>
        <v>1</v>
      </c>
      <c r="AH35" s="470"/>
      <c r="AI35" s="470" t="e">
        <f t="shared" ref="AI35:AI36" si="46">SUM(N35+W35)/E35</f>
        <v>#DIV/0!</v>
      </c>
      <c r="AJ35" s="470"/>
      <c r="AK35" s="470"/>
      <c r="AL35" s="470"/>
      <c r="AM35" s="470"/>
      <c r="AN35" s="470"/>
      <c r="AO35" s="470">
        <f t="shared" si="39"/>
        <v>0.82992805755395682</v>
      </c>
      <c r="AP35" s="554"/>
      <c r="AQ35" s="554"/>
      <c r="AR35" s="554"/>
      <c r="AS35" s="554"/>
      <c r="AT35" s="554"/>
      <c r="AU35" s="554"/>
      <c r="AV35" s="554"/>
      <c r="AW35" s="554"/>
      <c r="AX35" s="554"/>
      <c r="AY35" s="554"/>
      <c r="AZ35" s="554"/>
      <c r="BA35" s="554"/>
      <c r="BB35" s="554"/>
      <c r="BC35" s="554"/>
      <c r="BD35" s="554"/>
      <c r="BE35" s="554"/>
      <c r="BF35" s="554"/>
      <c r="BG35" s="554"/>
      <c r="BH35" s="554"/>
      <c r="BI35" s="554"/>
    </row>
    <row r="36" spans="1:61" s="28" customFormat="1" ht="21.75" customHeight="1" thickTop="1" thickBot="1" x14ac:dyDescent="0.25">
      <c r="A36" s="407"/>
      <c r="B36" s="408" t="s">
        <v>40</v>
      </c>
      <c r="C36" s="409">
        <f t="shared" ref="C36:AF36" si="47">SUM(C33:C35)</f>
        <v>0</v>
      </c>
      <c r="D36" s="409">
        <f t="shared" si="47"/>
        <v>0</v>
      </c>
      <c r="E36" s="409">
        <f t="shared" si="47"/>
        <v>413207</v>
      </c>
      <c r="F36" s="409">
        <f t="shared" si="47"/>
        <v>0</v>
      </c>
      <c r="G36" s="409">
        <f t="shared" si="47"/>
        <v>139000</v>
      </c>
      <c r="H36" s="409">
        <f t="shared" si="47"/>
        <v>2800000</v>
      </c>
      <c r="I36" s="409">
        <f t="shared" si="47"/>
        <v>0</v>
      </c>
      <c r="J36" s="409">
        <f t="shared" si="47"/>
        <v>0</v>
      </c>
      <c r="K36" s="409">
        <f t="shared" si="47"/>
        <v>3352207</v>
      </c>
      <c r="L36" s="409">
        <f t="shared" si="47"/>
        <v>0</v>
      </c>
      <c r="M36" s="409">
        <f t="shared" si="47"/>
        <v>0</v>
      </c>
      <c r="N36" s="409">
        <f t="shared" si="47"/>
        <v>0</v>
      </c>
      <c r="O36" s="409">
        <f t="shared" si="47"/>
        <v>0</v>
      </c>
      <c r="P36" s="409">
        <f t="shared" si="47"/>
        <v>103000</v>
      </c>
      <c r="Q36" s="409">
        <f t="shared" si="47"/>
        <v>2800000</v>
      </c>
      <c r="R36" s="409">
        <f t="shared" si="47"/>
        <v>0</v>
      </c>
      <c r="S36" s="409">
        <f t="shared" si="47"/>
        <v>0</v>
      </c>
      <c r="T36" s="409">
        <f t="shared" si="47"/>
        <v>2903000</v>
      </c>
      <c r="U36" s="409">
        <f t="shared" si="47"/>
        <v>0</v>
      </c>
      <c r="V36" s="409">
        <f t="shared" si="47"/>
        <v>0</v>
      </c>
      <c r="W36" s="409">
        <f t="shared" si="47"/>
        <v>0</v>
      </c>
      <c r="X36" s="409">
        <f t="shared" si="47"/>
        <v>0</v>
      </c>
      <c r="Y36" s="409">
        <f t="shared" si="47"/>
        <v>12360</v>
      </c>
      <c r="Z36" s="409">
        <f t="shared" si="47"/>
        <v>0</v>
      </c>
      <c r="AA36" s="409">
        <f t="shared" si="47"/>
        <v>0</v>
      </c>
      <c r="AB36" s="409">
        <f t="shared" si="47"/>
        <v>0</v>
      </c>
      <c r="AC36" s="409">
        <f t="shared" si="47"/>
        <v>12360</v>
      </c>
      <c r="AD36" s="409">
        <f t="shared" si="47"/>
        <v>36000</v>
      </c>
      <c r="AE36" s="409">
        <f t="shared" si="47"/>
        <v>163207</v>
      </c>
      <c r="AF36" s="409">
        <f t="shared" si="47"/>
        <v>199207</v>
      </c>
      <c r="AG36" s="410">
        <f>SUM(AG33:AG35)/2</f>
        <v>1</v>
      </c>
      <c r="AH36" s="411"/>
      <c r="AI36" s="411">
        <f t="shared" si="46"/>
        <v>0</v>
      </c>
      <c r="AJ36" s="411"/>
      <c r="AK36" s="411"/>
      <c r="AL36" s="411">
        <f t="shared" si="38"/>
        <v>1</v>
      </c>
      <c r="AM36" s="411"/>
      <c r="AN36" s="411"/>
      <c r="AO36" s="411">
        <f t="shared" si="39"/>
        <v>0.86968376356233368</v>
      </c>
    </row>
    <row r="37" spans="1:61" s="278" customFormat="1" ht="21.75" customHeight="1" thickTop="1" thickBot="1" x14ac:dyDescent="0.25">
      <c r="A37" s="398" t="s">
        <v>47</v>
      </c>
      <c r="B37" s="398" t="s">
        <v>48</v>
      </c>
      <c r="C37" s="399"/>
      <c r="D37" s="399"/>
      <c r="E37" s="399"/>
      <c r="F37" s="399"/>
      <c r="G37" s="399"/>
      <c r="H37" s="399"/>
      <c r="I37" s="399"/>
      <c r="J37" s="399"/>
      <c r="K37" s="400"/>
      <c r="L37" s="399"/>
      <c r="M37" s="399"/>
      <c r="N37" s="399"/>
      <c r="O37" s="399"/>
      <c r="P37" s="399"/>
      <c r="Q37" s="399"/>
      <c r="R37" s="399"/>
      <c r="S37" s="399"/>
      <c r="T37" s="400"/>
      <c r="U37" s="399"/>
      <c r="V37" s="399"/>
      <c r="W37" s="399"/>
      <c r="X37" s="399"/>
      <c r="Y37" s="399"/>
      <c r="Z37" s="399"/>
      <c r="AA37" s="399"/>
      <c r="AB37" s="399"/>
      <c r="AC37" s="400"/>
      <c r="AD37" s="399"/>
      <c r="AE37" s="399"/>
      <c r="AF37" s="400"/>
      <c r="AG37" s="403"/>
      <c r="AH37" s="412"/>
      <c r="AI37" s="412"/>
      <c r="AJ37" s="412"/>
      <c r="AK37" s="412"/>
      <c r="AL37" s="412"/>
      <c r="AM37" s="412"/>
      <c r="AN37" s="412"/>
      <c r="AO37" s="412"/>
      <c r="AP37" s="715"/>
      <c r="AQ37" s="715"/>
      <c r="AR37" s="715"/>
      <c r="AS37" s="715"/>
      <c r="AT37" s="715"/>
      <c r="AU37" s="715"/>
      <c r="AV37" s="715"/>
      <c r="AW37" s="715"/>
      <c r="AX37" s="715"/>
      <c r="AY37" s="715"/>
      <c r="AZ37" s="715"/>
      <c r="BA37" s="715"/>
      <c r="BB37" s="715"/>
      <c r="BC37" s="715"/>
      <c r="BD37" s="715"/>
      <c r="BE37" s="715"/>
      <c r="BF37" s="715"/>
      <c r="BG37" s="715"/>
      <c r="BH37" s="715"/>
      <c r="BI37" s="715"/>
    </row>
    <row r="38" spans="1:61" s="445" customFormat="1" ht="21.75" customHeight="1" thickTop="1" x14ac:dyDescent="0.2">
      <c r="A38" s="438">
        <v>1</v>
      </c>
      <c r="B38" s="439" t="s">
        <v>216</v>
      </c>
      <c r="C38" s="440"/>
      <c r="D38" s="440"/>
      <c r="E38" s="440"/>
      <c r="F38" s="440">
        <f>SUM(YAN!CB13)</f>
        <v>4872380</v>
      </c>
      <c r="G38" s="440"/>
      <c r="H38" s="440"/>
      <c r="I38" s="440"/>
      <c r="J38" s="440"/>
      <c r="K38" s="441">
        <f t="shared" ref="K38:K43" si="48">SUM(C38:J38)</f>
        <v>4872380</v>
      </c>
      <c r="L38" s="440"/>
      <c r="M38" s="440"/>
      <c r="N38" s="440"/>
      <c r="O38" s="440">
        <f>SUM(YAN!BH13)</f>
        <v>4781000</v>
      </c>
      <c r="P38" s="440"/>
      <c r="Q38" s="440"/>
      <c r="R38" s="440"/>
      <c r="S38" s="440"/>
      <c r="T38" s="441">
        <f t="shared" ref="T38:T43" si="49">SUM(L38:S38)</f>
        <v>4781000</v>
      </c>
      <c r="U38" s="440"/>
      <c r="V38" s="440"/>
      <c r="W38" s="440"/>
      <c r="X38" s="440">
        <f>SUM(YAN!BZ13)</f>
        <v>348530</v>
      </c>
      <c r="Y38" s="440"/>
      <c r="Z38" s="440"/>
      <c r="AA38" s="440"/>
      <c r="AB38" s="440"/>
      <c r="AC38" s="442">
        <f t="shared" ref="AC38:AC43" si="50">SUM(U38:AB38)</f>
        <v>348530</v>
      </c>
      <c r="AD38" s="440">
        <f>SUM(YAN!CA13)</f>
        <v>35000</v>
      </c>
      <c r="AE38" s="440">
        <f>SUM(AF38-AD38)</f>
        <v>56380</v>
      </c>
      <c r="AF38" s="441">
        <f>SUM(YAN!CC13)</f>
        <v>91380</v>
      </c>
      <c r="AG38" s="443">
        <f>SUM(YAN!CD13)</f>
        <v>1</v>
      </c>
      <c r="AH38" s="444"/>
      <c r="AI38" s="444"/>
      <c r="AJ38" s="444">
        <f>SUM(O38+X38)/F38</f>
        <v>1.0527770822472795</v>
      </c>
      <c r="AK38" s="444"/>
      <c r="AL38" s="444"/>
      <c r="AM38" s="444"/>
      <c r="AN38" s="444"/>
      <c r="AO38" s="444">
        <f>SUM(T38+AC38)/K38</f>
        <v>1.0527770822472795</v>
      </c>
      <c r="AP38" s="554"/>
      <c r="AQ38" s="554"/>
      <c r="AR38" s="554"/>
      <c r="AS38" s="554"/>
      <c r="AT38" s="554"/>
      <c r="AU38" s="554"/>
      <c r="AV38" s="554"/>
      <c r="AW38" s="554"/>
      <c r="AX38" s="554"/>
      <c r="AY38" s="554"/>
      <c r="AZ38" s="554"/>
      <c r="BA38" s="554"/>
      <c r="BB38" s="554"/>
      <c r="BC38" s="554"/>
      <c r="BD38" s="554"/>
      <c r="BE38" s="554"/>
      <c r="BF38" s="554"/>
      <c r="BG38" s="554"/>
      <c r="BH38" s="554"/>
      <c r="BI38" s="554"/>
    </row>
    <row r="39" spans="1:61" s="454" customFormat="1" ht="21.75" customHeight="1" x14ac:dyDescent="0.2">
      <c r="A39" s="446">
        <v>2</v>
      </c>
      <c r="B39" s="447" t="s">
        <v>217</v>
      </c>
      <c r="C39" s="448"/>
      <c r="D39" s="448"/>
      <c r="E39" s="448"/>
      <c r="F39" s="448"/>
      <c r="G39" s="448"/>
      <c r="H39" s="448">
        <f>SUM(YAN!CB35)</f>
        <v>22800000</v>
      </c>
      <c r="I39" s="448"/>
      <c r="J39" s="448"/>
      <c r="K39" s="449">
        <f t="shared" si="48"/>
        <v>22800000</v>
      </c>
      <c r="L39" s="448"/>
      <c r="M39" s="448"/>
      <c r="N39" s="448"/>
      <c r="O39" s="448"/>
      <c r="P39" s="448"/>
      <c r="Q39" s="448">
        <f>SUM(YAN!BH35)</f>
        <v>22800000</v>
      </c>
      <c r="R39" s="448"/>
      <c r="S39" s="448"/>
      <c r="T39" s="449">
        <f t="shared" si="49"/>
        <v>22800000</v>
      </c>
      <c r="U39" s="448">
        <f>SUM(YAN!BZ35)</f>
        <v>0</v>
      </c>
      <c r="V39" s="448"/>
      <c r="W39" s="448"/>
      <c r="X39" s="450">
        <f>SUM(YAN!BZ35)</f>
        <v>0</v>
      </c>
      <c r="Y39" s="450"/>
      <c r="Z39" s="448">
        <f>SUM(YAN!BZ35)</f>
        <v>0</v>
      </c>
      <c r="AA39" s="448"/>
      <c r="AB39" s="448"/>
      <c r="AC39" s="451">
        <f t="shared" si="50"/>
        <v>0</v>
      </c>
      <c r="AD39" s="448">
        <f>SUM(YAN!CA35)</f>
        <v>0</v>
      </c>
      <c r="AE39" s="448">
        <f t="shared" ref="AE39:AE43" si="51">SUM(AF39-AD39)</f>
        <v>0</v>
      </c>
      <c r="AF39" s="449">
        <f>SUM(YAN!CC35)</f>
        <v>0</v>
      </c>
      <c r="AG39" s="452">
        <f>SUM(YAN!CD35)</f>
        <v>1</v>
      </c>
      <c r="AH39" s="453"/>
      <c r="AI39" s="453"/>
      <c r="AJ39" s="453"/>
      <c r="AK39" s="453"/>
      <c r="AL39" s="453">
        <f>SUM(Q39+Z39)/H39</f>
        <v>1</v>
      </c>
      <c r="AM39" s="453"/>
      <c r="AN39" s="453"/>
      <c r="AO39" s="453">
        <f>SUM(T39+AC39)/K39</f>
        <v>1</v>
      </c>
      <c r="AP39" s="554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454" customFormat="1" ht="21.75" customHeight="1" x14ac:dyDescent="0.2">
      <c r="A40" s="438">
        <v>3</v>
      </c>
      <c r="B40" s="447" t="s">
        <v>217</v>
      </c>
      <c r="C40" s="448"/>
      <c r="D40" s="448"/>
      <c r="E40" s="448"/>
      <c r="F40" s="448"/>
      <c r="G40" s="448">
        <f>SUM(YAN!CB59)</f>
        <v>20910000</v>
      </c>
      <c r="H40" s="448"/>
      <c r="I40" s="448"/>
      <c r="J40" s="448"/>
      <c r="K40" s="449">
        <f t="shared" si="48"/>
        <v>20910000</v>
      </c>
      <c r="L40" s="448"/>
      <c r="M40" s="448"/>
      <c r="N40" s="448"/>
      <c r="O40" s="448"/>
      <c r="P40" s="448">
        <f>SUM(YAN!BH59)</f>
        <v>20805000</v>
      </c>
      <c r="Q40" s="448">
        <f>SUM(YAN!BH36)</f>
        <v>0</v>
      </c>
      <c r="R40" s="448"/>
      <c r="S40" s="448"/>
      <c r="T40" s="449">
        <f t="shared" si="49"/>
        <v>20805000</v>
      </c>
      <c r="U40" s="448"/>
      <c r="V40" s="448"/>
      <c r="W40" s="448"/>
      <c r="X40" s="450"/>
      <c r="Y40" s="450">
        <f>SUM(YAN!BZ59)</f>
        <v>2600625</v>
      </c>
      <c r="Z40" s="448"/>
      <c r="AA40" s="448"/>
      <c r="AB40" s="448"/>
      <c r="AC40" s="451">
        <f t="shared" si="50"/>
        <v>2600625</v>
      </c>
      <c r="AD40" s="448">
        <f>SUM(YAN!CA36)</f>
        <v>0</v>
      </c>
      <c r="AE40" s="448">
        <f t="shared" ref="AE40" si="52">SUM(AF40-AD40)</f>
        <v>105000</v>
      </c>
      <c r="AF40" s="449">
        <f>SUM(YAN!CC59)</f>
        <v>105000</v>
      </c>
      <c r="AG40" s="452">
        <f>SUM(YAN!CD59)</f>
        <v>1</v>
      </c>
      <c r="AH40" s="453"/>
      <c r="AI40" s="453"/>
      <c r="AJ40" s="453"/>
      <c r="AK40" s="453"/>
      <c r="AL40" s="453" t="e">
        <f>SUM(Q40+Z40)/H40</f>
        <v>#DIV/0!</v>
      </c>
      <c r="AM40" s="453"/>
      <c r="AN40" s="453"/>
      <c r="AO40" s="453">
        <f>SUM(T40+AC40)/K40</f>
        <v>1.1193507890961263</v>
      </c>
      <c r="AP40" s="554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454" customFormat="1" ht="29.25" customHeight="1" x14ac:dyDescent="0.2">
      <c r="A41" s="446">
        <v>4</v>
      </c>
      <c r="B41" s="456" t="s">
        <v>218</v>
      </c>
      <c r="C41" s="457"/>
      <c r="D41" s="457"/>
      <c r="E41" s="457">
        <f>SUM(YAN!CB49)</f>
        <v>14606200</v>
      </c>
      <c r="F41" s="457"/>
      <c r="G41" s="457"/>
      <c r="H41" s="457"/>
      <c r="I41" s="457"/>
      <c r="J41" s="457"/>
      <c r="K41" s="458">
        <f t="shared" si="48"/>
        <v>14606200</v>
      </c>
      <c r="L41" s="457"/>
      <c r="M41" s="457"/>
      <c r="N41" s="457">
        <f>SUM(YAN!BH49)</f>
        <v>11436000</v>
      </c>
      <c r="O41" s="457"/>
      <c r="P41" s="457"/>
      <c r="Q41" s="457"/>
      <c r="R41" s="457"/>
      <c r="S41" s="457"/>
      <c r="T41" s="458">
        <f t="shared" si="49"/>
        <v>11436000</v>
      </c>
      <c r="U41" s="457"/>
      <c r="V41" s="457"/>
      <c r="W41" s="459">
        <f>SUM(YAN!BZ49)</f>
        <v>597440</v>
      </c>
      <c r="X41" s="457"/>
      <c r="Y41" s="457"/>
      <c r="Z41" s="457"/>
      <c r="AA41" s="457"/>
      <c r="AB41" s="457"/>
      <c r="AC41" s="460">
        <f t="shared" si="50"/>
        <v>597440</v>
      </c>
      <c r="AD41" s="457">
        <f>SUM(YAN!CA49)</f>
        <v>572760</v>
      </c>
      <c r="AE41" s="457">
        <f t="shared" ref="AE41:AE42" si="53">SUM(AF41-AD41)</f>
        <v>0</v>
      </c>
      <c r="AF41" s="458">
        <f>SUM(YAN!CC49)</f>
        <v>572760</v>
      </c>
      <c r="AG41" s="461">
        <f>SUM(YAN!CD48)</f>
        <v>1</v>
      </c>
      <c r="AH41" s="462"/>
      <c r="AI41" s="462">
        <f>SUM(N41+W41)/E41</f>
        <v>0.82385836151771163</v>
      </c>
      <c r="AJ41" s="462"/>
      <c r="AK41" s="462"/>
      <c r="AL41" s="462"/>
      <c r="AM41" s="462"/>
      <c r="AN41" s="462"/>
      <c r="AO41" s="462">
        <f t="shared" ref="AO41" si="54">SUM(T41+AC41)/K41</f>
        <v>0.82385836151771163</v>
      </c>
      <c r="AP41" s="554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445" customFormat="1" ht="29.25" customHeight="1" x14ac:dyDescent="0.2">
      <c r="A42" s="438">
        <v>5</v>
      </c>
      <c r="B42" s="439" t="s">
        <v>287</v>
      </c>
      <c r="C42" s="474"/>
      <c r="D42" s="474">
        <f>SUM(YAN!CB93)</f>
        <v>2050000</v>
      </c>
      <c r="E42" s="474"/>
      <c r="F42" s="474"/>
      <c r="G42" s="474"/>
      <c r="H42" s="474"/>
      <c r="I42" s="474"/>
      <c r="J42" s="474"/>
      <c r="K42" s="475">
        <f t="shared" si="48"/>
        <v>2050000</v>
      </c>
      <c r="L42" s="474"/>
      <c r="M42" s="474">
        <f>SUM(YAN!BH93)</f>
        <v>1948000</v>
      </c>
      <c r="N42" s="474"/>
      <c r="O42" s="474"/>
      <c r="P42" s="474"/>
      <c r="Q42" s="474"/>
      <c r="R42" s="474"/>
      <c r="S42" s="474"/>
      <c r="T42" s="475">
        <f t="shared" si="49"/>
        <v>1948000</v>
      </c>
      <c r="U42" s="474"/>
      <c r="V42" s="474">
        <f>SUM(YAN!BI93)</f>
        <v>79560</v>
      </c>
      <c r="W42" s="474"/>
      <c r="X42" s="474"/>
      <c r="Y42" s="474"/>
      <c r="Z42" s="474"/>
      <c r="AA42" s="474"/>
      <c r="AB42" s="474"/>
      <c r="AC42" s="475">
        <f t="shared" si="50"/>
        <v>79560</v>
      </c>
      <c r="AD42" s="474">
        <f>SUM(YAN!CA93)</f>
        <v>102000</v>
      </c>
      <c r="AE42" s="474">
        <f t="shared" si="53"/>
        <v>0</v>
      </c>
      <c r="AF42" s="475">
        <f>SUM(YAN!CC93)</f>
        <v>102000</v>
      </c>
      <c r="AG42" s="679">
        <f>SUM(YAN!CD48)</f>
        <v>1</v>
      </c>
      <c r="AH42" s="462"/>
      <c r="AI42" s="462" t="e">
        <f>SUM(N42+W42)/E42</f>
        <v>#DIV/0!</v>
      </c>
      <c r="AJ42" s="462"/>
      <c r="AK42" s="462"/>
      <c r="AL42" s="462"/>
      <c r="AM42" s="462"/>
      <c r="AN42" s="462"/>
      <c r="AO42" s="462">
        <f>SUM(T42+AC42)/K42</f>
        <v>0.98905365853658533</v>
      </c>
      <c r="AP42" s="554"/>
      <c r="AQ42" s="554"/>
      <c r="AR42" s="554"/>
      <c r="AS42" s="554"/>
      <c r="AT42" s="554"/>
      <c r="AU42" s="554"/>
      <c r="AV42" s="554"/>
      <c r="AW42" s="554"/>
      <c r="AX42" s="554"/>
      <c r="AY42" s="554"/>
      <c r="AZ42" s="554"/>
      <c r="BA42" s="554"/>
      <c r="BB42" s="554"/>
      <c r="BC42" s="554"/>
      <c r="BD42" s="554"/>
      <c r="BE42" s="554"/>
      <c r="BF42" s="554"/>
      <c r="BG42" s="554"/>
      <c r="BH42" s="554"/>
      <c r="BI42" s="554"/>
    </row>
    <row r="43" spans="1:61" s="445" customFormat="1" ht="36.75" customHeight="1" thickBot="1" x14ac:dyDescent="0.25">
      <c r="A43" s="446">
        <v>6</v>
      </c>
      <c r="B43" s="473" t="s">
        <v>283</v>
      </c>
      <c r="C43" s="474"/>
      <c r="D43" s="474">
        <f>SUM(YAN!CB80)</f>
        <v>3434600</v>
      </c>
      <c r="E43" s="474"/>
      <c r="F43" s="474"/>
      <c r="G43" s="474"/>
      <c r="H43" s="474"/>
      <c r="I43" s="474"/>
      <c r="J43" s="474"/>
      <c r="K43" s="475">
        <f t="shared" si="48"/>
        <v>3434600</v>
      </c>
      <c r="L43" s="474"/>
      <c r="M43" s="474">
        <f>SUM(YAN!BH80)</f>
        <v>2354000</v>
      </c>
      <c r="N43" s="474"/>
      <c r="O43" s="474"/>
      <c r="P43" s="474"/>
      <c r="Q43" s="474"/>
      <c r="R43" s="474"/>
      <c r="S43" s="474"/>
      <c r="T43" s="475">
        <f t="shared" si="49"/>
        <v>2354000</v>
      </c>
      <c r="U43" s="474"/>
      <c r="V43" s="474">
        <f>SUM(YAN!BZ80)</f>
        <v>201730</v>
      </c>
      <c r="W43" s="474"/>
      <c r="X43" s="474"/>
      <c r="Y43" s="474"/>
      <c r="Z43" s="474"/>
      <c r="AA43" s="474"/>
      <c r="AB43" s="474"/>
      <c r="AC43" s="475">
        <f t="shared" si="50"/>
        <v>201730</v>
      </c>
      <c r="AD43" s="474">
        <f>SUM(YAN!CA80)</f>
        <v>1080600</v>
      </c>
      <c r="AE43" s="474">
        <f t="shared" si="51"/>
        <v>0</v>
      </c>
      <c r="AF43" s="475">
        <f>SUM(YAN!CC80)</f>
        <v>1080600</v>
      </c>
      <c r="AG43" s="679">
        <f>SUM(YAN!CD49)</f>
        <v>1</v>
      </c>
      <c r="AH43" s="462"/>
      <c r="AI43" s="462" t="e">
        <f>SUM(N43+W43)/E43</f>
        <v>#DIV/0!</v>
      </c>
      <c r="AJ43" s="462"/>
      <c r="AK43" s="462"/>
      <c r="AL43" s="462"/>
      <c r="AM43" s="462"/>
      <c r="AN43" s="462"/>
      <c r="AO43" s="462">
        <f>SUM(T43+AC43)/K43</f>
        <v>0.74411285156932394</v>
      </c>
      <c r="AP43" s="554"/>
      <c r="AQ43" s="554"/>
      <c r="AR43" s="554"/>
      <c r="AS43" s="554"/>
      <c r="AT43" s="554"/>
      <c r="AU43" s="554"/>
      <c r="AV43" s="554"/>
      <c r="AW43" s="554"/>
      <c r="AX43" s="554"/>
      <c r="AY43" s="554"/>
      <c r="AZ43" s="554"/>
      <c r="BA43" s="554"/>
      <c r="BB43" s="554"/>
      <c r="BC43" s="554"/>
      <c r="BD43" s="554"/>
      <c r="BE43" s="554"/>
      <c r="BF43" s="554"/>
      <c r="BG43" s="554"/>
      <c r="BH43" s="554"/>
      <c r="BI43" s="554"/>
    </row>
    <row r="44" spans="1:61" s="28" customFormat="1" ht="21.75" customHeight="1" thickTop="1" thickBot="1" x14ac:dyDescent="0.25">
      <c r="A44" s="407"/>
      <c r="B44" s="408" t="s">
        <v>40</v>
      </c>
      <c r="C44" s="409">
        <f t="shared" ref="C44:AF44" si="55">SUM(C38:C43)</f>
        <v>0</v>
      </c>
      <c r="D44" s="409">
        <f t="shared" si="55"/>
        <v>5484600</v>
      </c>
      <c r="E44" s="409">
        <f t="shared" si="55"/>
        <v>14606200</v>
      </c>
      <c r="F44" s="409">
        <f t="shared" si="55"/>
        <v>4872380</v>
      </c>
      <c r="G44" s="409">
        <f t="shared" si="55"/>
        <v>20910000</v>
      </c>
      <c r="H44" s="409">
        <f t="shared" si="55"/>
        <v>22800000</v>
      </c>
      <c r="I44" s="409">
        <f t="shared" si="55"/>
        <v>0</v>
      </c>
      <c r="J44" s="409">
        <f t="shared" si="55"/>
        <v>0</v>
      </c>
      <c r="K44" s="409">
        <f t="shared" si="55"/>
        <v>68673180</v>
      </c>
      <c r="L44" s="409">
        <f t="shared" si="55"/>
        <v>0</v>
      </c>
      <c r="M44" s="409">
        <f t="shared" si="55"/>
        <v>4302000</v>
      </c>
      <c r="N44" s="409">
        <f t="shared" si="55"/>
        <v>11436000</v>
      </c>
      <c r="O44" s="409">
        <f t="shared" si="55"/>
        <v>4781000</v>
      </c>
      <c r="P44" s="409">
        <f t="shared" si="55"/>
        <v>20805000</v>
      </c>
      <c r="Q44" s="409">
        <f t="shared" si="55"/>
        <v>22800000</v>
      </c>
      <c r="R44" s="409">
        <f t="shared" si="55"/>
        <v>0</v>
      </c>
      <c r="S44" s="409">
        <f t="shared" si="55"/>
        <v>0</v>
      </c>
      <c r="T44" s="409">
        <f t="shared" si="55"/>
        <v>64124000</v>
      </c>
      <c r="U44" s="409">
        <f t="shared" si="55"/>
        <v>0</v>
      </c>
      <c r="V44" s="409">
        <f t="shared" si="55"/>
        <v>281290</v>
      </c>
      <c r="W44" s="409">
        <f t="shared" si="55"/>
        <v>597440</v>
      </c>
      <c r="X44" s="409">
        <f t="shared" si="55"/>
        <v>348530</v>
      </c>
      <c r="Y44" s="409">
        <f t="shared" si="55"/>
        <v>2600625</v>
      </c>
      <c r="Z44" s="409">
        <f t="shared" si="55"/>
        <v>0</v>
      </c>
      <c r="AA44" s="409">
        <f t="shared" si="55"/>
        <v>0</v>
      </c>
      <c r="AB44" s="409">
        <f t="shared" si="55"/>
        <v>0</v>
      </c>
      <c r="AC44" s="409">
        <f t="shared" si="55"/>
        <v>3827885</v>
      </c>
      <c r="AD44" s="409">
        <f t="shared" si="55"/>
        <v>1790360</v>
      </c>
      <c r="AE44" s="409">
        <f t="shared" si="55"/>
        <v>161380</v>
      </c>
      <c r="AF44" s="409">
        <f t="shared" si="55"/>
        <v>1951740</v>
      </c>
      <c r="AG44" s="410">
        <f>SUM(AG38:AG43)/6</f>
        <v>1</v>
      </c>
      <c r="AH44" s="411"/>
      <c r="AI44" s="411">
        <f>SUM(N44+W44)/E44</f>
        <v>0.82385836151771163</v>
      </c>
      <c r="AJ44" s="411">
        <f>SUM(O44+X44)/F44</f>
        <v>1.0527770822472795</v>
      </c>
      <c r="AK44" s="411"/>
      <c r="AL44" s="411">
        <f>SUM(Q44+Z44)/H44</f>
        <v>1</v>
      </c>
      <c r="AM44" s="411"/>
      <c r="AN44" s="411"/>
      <c r="AO44" s="411">
        <f>SUM(T44+AC44)/K44</f>
        <v>0.98949670016737246</v>
      </c>
    </row>
    <row r="45" spans="1:61" s="278" customFormat="1" ht="21.75" customHeight="1" thickTop="1" thickBot="1" x14ac:dyDescent="0.25">
      <c r="A45" s="398" t="s">
        <v>222</v>
      </c>
      <c r="B45" s="398" t="s">
        <v>223</v>
      </c>
      <c r="C45" s="399"/>
      <c r="D45" s="399"/>
      <c r="E45" s="399"/>
      <c r="F45" s="399"/>
      <c r="G45" s="399"/>
      <c r="H45" s="399"/>
      <c r="I45" s="399"/>
      <c r="J45" s="399"/>
      <c r="K45" s="400"/>
      <c r="L45" s="399"/>
      <c r="M45" s="399"/>
      <c r="N45" s="399"/>
      <c r="O45" s="399"/>
      <c r="P45" s="399"/>
      <c r="Q45" s="399"/>
      <c r="R45" s="399"/>
      <c r="S45" s="399"/>
      <c r="T45" s="400"/>
      <c r="U45" s="399"/>
      <c r="V45" s="399"/>
      <c r="W45" s="399"/>
      <c r="X45" s="399"/>
      <c r="Y45" s="399"/>
      <c r="Z45" s="399"/>
      <c r="AA45" s="399"/>
      <c r="AB45" s="399"/>
      <c r="AC45" s="400"/>
      <c r="AD45" s="399"/>
      <c r="AE45" s="399"/>
      <c r="AF45" s="400"/>
      <c r="AG45" s="403"/>
      <c r="AH45" s="412"/>
      <c r="AI45" s="412"/>
      <c r="AJ45" s="412"/>
      <c r="AK45" s="412"/>
      <c r="AL45" s="412"/>
      <c r="AM45" s="412"/>
      <c r="AN45" s="412"/>
      <c r="AO45" s="412"/>
      <c r="AP45" s="715"/>
      <c r="AQ45" s="715"/>
      <c r="AR45" s="715"/>
      <c r="AS45" s="715"/>
      <c r="AT45" s="715"/>
      <c r="AU45" s="715"/>
      <c r="AV45" s="715"/>
      <c r="AW45" s="715"/>
      <c r="AX45" s="715"/>
      <c r="AY45" s="715"/>
      <c r="AZ45" s="715"/>
      <c r="BA45" s="715"/>
      <c r="BB45" s="715"/>
      <c r="BC45" s="715"/>
      <c r="BD45" s="715"/>
      <c r="BE45" s="715"/>
      <c r="BF45" s="715"/>
      <c r="BG45" s="715"/>
      <c r="BH45" s="715"/>
      <c r="BI45" s="715"/>
    </row>
    <row r="46" spans="1:61" s="445" customFormat="1" ht="21.75" customHeight="1" thickTop="1" thickBot="1" x14ac:dyDescent="0.25">
      <c r="A46" s="438"/>
      <c r="B46" s="439" t="s">
        <v>224</v>
      </c>
      <c r="C46" s="440"/>
      <c r="D46" s="440"/>
      <c r="E46" s="440"/>
      <c r="F46" s="440"/>
      <c r="G46" s="440"/>
      <c r="H46" s="440">
        <v>15390823</v>
      </c>
      <c r="I46" s="440"/>
      <c r="J46" s="440"/>
      <c r="K46" s="441">
        <f>SUM(C46:J46)</f>
        <v>15390823</v>
      </c>
      <c r="L46" s="440"/>
      <c r="M46" s="440"/>
      <c r="N46" s="440"/>
      <c r="O46" s="440">
        <f>SUM(YAN!BH18)</f>
        <v>0</v>
      </c>
      <c r="P46" s="440"/>
      <c r="Q46" s="440">
        <v>15390823</v>
      </c>
      <c r="R46" s="440"/>
      <c r="S46" s="440"/>
      <c r="T46" s="441">
        <f>SUM(L46:S46)</f>
        <v>15390823</v>
      </c>
      <c r="U46" s="440"/>
      <c r="V46" s="440"/>
      <c r="W46" s="440"/>
      <c r="X46" s="440">
        <f>SUM(YAN!BZ18)</f>
        <v>0</v>
      </c>
      <c r="Y46" s="440"/>
      <c r="Z46" s="440"/>
      <c r="AA46" s="440"/>
      <c r="AB46" s="440"/>
      <c r="AC46" s="442">
        <f>SUM(U46:AB46)</f>
        <v>0</v>
      </c>
      <c r="AD46" s="440">
        <f>SUM(YAN!CA18)</f>
        <v>0</v>
      </c>
      <c r="AE46" s="440">
        <f>SUM(AF46-AD46)</f>
        <v>0</v>
      </c>
      <c r="AF46" s="441">
        <f>SUM(K46-T46-AC46)</f>
        <v>0</v>
      </c>
      <c r="AG46" s="443">
        <v>1</v>
      </c>
      <c r="AH46" s="444"/>
      <c r="AI46" s="444"/>
      <c r="AJ46" s="444"/>
      <c r="AK46" s="444"/>
      <c r="AL46" s="444">
        <f>SUM(Q46+Z46)/H46</f>
        <v>1</v>
      </c>
      <c r="AM46" s="444"/>
      <c r="AN46" s="444"/>
      <c r="AO46" s="444">
        <f t="shared" ref="AO46:AO47" si="56">SUM(T46+AC46)/K46</f>
        <v>1</v>
      </c>
      <c r="AP46" s="554"/>
      <c r="AQ46" s="554"/>
      <c r="AR46" s="554"/>
      <c r="AS46" s="554"/>
      <c r="AT46" s="554"/>
      <c r="AU46" s="554"/>
      <c r="AV46" s="554"/>
      <c r="AW46" s="554"/>
      <c r="AX46" s="554"/>
      <c r="AY46" s="554"/>
      <c r="AZ46" s="554"/>
      <c r="BA46" s="554"/>
      <c r="BB46" s="554"/>
      <c r="BC46" s="554"/>
      <c r="BD46" s="554"/>
      <c r="BE46" s="554"/>
      <c r="BF46" s="554"/>
      <c r="BG46" s="554"/>
      <c r="BH46" s="554"/>
      <c r="BI46" s="554"/>
    </row>
    <row r="47" spans="1:61" s="28" customFormat="1" ht="21.75" customHeight="1" thickTop="1" thickBot="1" x14ac:dyDescent="0.25">
      <c r="A47" s="407"/>
      <c r="B47" s="408" t="s">
        <v>40</v>
      </c>
      <c r="C47" s="409">
        <f>SUM(C46:C46)</f>
        <v>0</v>
      </c>
      <c r="D47" s="409">
        <f t="shared" ref="D47:AF47" si="57">SUM(D46:D46)</f>
        <v>0</v>
      </c>
      <c r="E47" s="409">
        <f t="shared" si="57"/>
        <v>0</v>
      </c>
      <c r="F47" s="409">
        <f t="shared" si="57"/>
        <v>0</v>
      </c>
      <c r="G47" s="409">
        <f t="shared" si="57"/>
        <v>0</v>
      </c>
      <c r="H47" s="409">
        <f t="shared" si="57"/>
        <v>15390823</v>
      </c>
      <c r="I47" s="409">
        <f t="shared" si="57"/>
        <v>0</v>
      </c>
      <c r="J47" s="409">
        <f t="shared" si="57"/>
        <v>0</v>
      </c>
      <c r="K47" s="409">
        <f t="shared" si="57"/>
        <v>15390823</v>
      </c>
      <c r="L47" s="409">
        <f t="shared" si="57"/>
        <v>0</v>
      </c>
      <c r="M47" s="409">
        <f t="shared" si="57"/>
        <v>0</v>
      </c>
      <c r="N47" s="409">
        <f t="shared" si="57"/>
        <v>0</v>
      </c>
      <c r="O47" s="409">
        <f t="shared" si="57"/>
        <v>0</v>
      </c>
      <c r="P47" s="409">
        <f t="shared" si="57"/>
        <v>0</v>
      </c>
      <c r="Q47" s="409">
        <f t="shared" si="57"/>
        <v>15390823</v>
      </c>
      <c r="R47" s="409">
        <f t="shared" si="57"/>
        <v>0</v>
      </c>
      <c r="S47" s="409">
        <f t="shared" si="57"/>
        <v>0</v>
      </c>
      <c r="T47" s="409">
        <f t="shared" si="57"/>
        <v>15390823</v>
      </c>
      <c r="U47" s="409">
        <f t="shared" si="57"/>
        <v>0</v>
      </c>
      <c r="V47" s="409">
        <f t="shared" si="57"/>
        <v>0</v>
      </c>
      <c r="W47" s="409">
        <f t="shared" si="57"/>
        <v>0</v>
      </c>
      <c r="X47" s="409">
        <f t="shared" si="57"/>
        <v>0</v>
      </c>
      <c r="Y47" s="409">
        <f t="shared" si="57"/>
        <v>0</v>
      </c>
      <c r="Z47" s="409">
        <f t="shared" si="57"/>
        <v>0</v>
      </c>
      <c r="AA47" s="409">
        <f t="shared" si="57"/>
        <v>0</v>
      </c>
      <c r="AB47" s="409">
        <f t="shared" si="57"/>
        <v>0</v>
      </c>
      <c r="AC47" s="409">
        <f t="shared" si="57"/>
        <v>0</v>
      </c>
      <c r="AD47" s="409">
        <f t="shared" si="57"/>
        <v>0</v>
      </c>
      <c r="AE47" s="409">
        <f t="shared" si="57"/>
        <v>0</v>
      </c>
      <c r="AF47" s="409">
        <f t="shared" si="57"/>
        <v>0</v>
      </c>
      <c r="AG47" s="410">
        <f>SUM(AG46)</f>
        <v>1</v>
      </c>
      <c r="AH47" s="411"/>
      <c r="AI47" s="411"/>
      <c r="AJ47" s="411"/>
      <c r="AK47" s="411"/>
      <c r="AL47" s="411">
        <f>SUM(Q47+Z47)/H47</f>
        <v>1</v>
      </c>
      <c r="AM47" s="411"/>
      <c r="AN47" s="411"/>
      <c r="AO47" s="411">
        <f t="shared" si="56"/>
        <v>1</v>
      </c>
    </row>
    <row r="48" spans="1:61" s="83" customFormat="1" ht="21.75" customHeight="1" thickTop="1" thickBot="1" x14ac:dyDescent="0.25">
      <c r="A48" s="419"/>
      <c r="B48" s="420" t="s">
        <v>33</v>
      </c>
      <c r="C48" s="713">
        <f>SUM(C10+C13+C22+C31+C36+C44+C47)</f>
        <v>107502516</v>
      </c>
      <c r="D48" s="713">
        <f t="shared" ref="D48:AF48" si="58">SUM(D10+D13+D22+D31+D36+D44+D47)</f>
        <v>17059600</v>
      </c>
      <c r="E48" s="713">
        <f t="shared" si="58"/>
        <v>138474107</v>
      </c>
      <c r="F48" s="713">
        <f t="shared" si="58"/>
        <v>13973280</v>
      </c>
      <c r="G48" s="713">
        <f t="shared" si="58"/>
        <v>21456100</v>
      </c>
      <c r="H48" s="713">
        <f t="shared" si="58"/>
        <v>104109723</v>
      </c>
      <c r="I48" s="713">
        <f t="shared" si="58"/>
        <v>549108</v>
      </c>
      <c r="J48" s="713">
        <f t="shared" si="58"/>
        <v>34457712</v>
      </c>
      <c r="K48" s="713">
        <f t="shared" si="58"/>
        <v>437582146</v>
      </c>
      <c r="L48" s="713">
        <f t="shared" si="58"/>
        <v>73395700</v>
      </c>
      <c r="M48" s="713">
        <f t="shared" si="58"/>
        <v>13589726</v>
      </c>
      <c r="N48" s="713">
        <f t="shared" si="58"/>
        <v>115937791</v>
      </c>
      <c r="O48" s="713">
        <f t="shared" si="58"/>
        <v>9407500</v>
      </c>
      <c r="P48" s="713">
        <f t="shared" si="58"/>
        <v>21315000</v>
      </c>
      <c r="Q48" s="713">
        <f t="shared" si="58"/>
        <v>91894683</v>
      </c>
      <c r="R48" s="713">
        <f t="shared" si="58"/>
        <v>540000</v>
      </c>
      <c r="S48" s="713">
        <f t="shared" si="58"/>
        <v>29369600</v>
      </c>
      <c r="T48" s="713">
        <f t="shared" si="58"/>
        <v>355450000</v>
      </c>
      <c r="U48" s="713">
        <f t="shared" si="58"/>
        <v>4358800</v>
      </c>
      <c r="V48" s="713">
        <f t="shared" si="58"/>
        <v>300325</v>
      </c>
      <c r="W48" s="713">
        <f>SUM(W10+W13+W22+W31+W36+W44+W47)+781924</f>
        <v>12481164</v>
      </c>
      <c r="X48" s="713">
        <f t="shared" si="58"/>
        <v>723790</v>
      </c>
      <c r="Y48" s="713">
        <f t="shared" si="58"/>
        <v>2612985</v>
      </c>
      <c r="Z48" s="713">
        <f t="shared" si="58"/>
        <v>4362940</v>
      </c>
      <c r="AA48" s="713">
        <f t="shared" si="58"/>
        <v>0</v>
      </c>
      <c r="AB48" s="713">
        <f t="shared" si="58"/>
        <v>45960</v>
      </c>
      <c r="AC48" s="713">
        <f>SUM(AC10+AC13+AC22+AC31+AC36+AC44+AC47)+781924</f>
        <v>24885964</v>
      </c>
      <c r="AD48" s="713">
        <f t="shared" si="58"/>
        <v>23283443.5</v>
      </c>
      <c r="AE48" s="713">
        <f t="shared" si="58"/>
        <v>37344613.5</v>
      </c>
      <c r="AF48" s="713">
        <f t="shared" si="58"/>
        <v>60628057</v>
      </c>
      <c r="AG48" s="722">
        <f>SUM(AG10+AG13+AG22+AG31+AG36+AG44+AG47)/6</f>
        <v>1</v>
      </c>
      <c r="AH48" s="411">
        <f>SUM(L48+U48)/C48</f>
        <v>0.72328074628504513</v>
      </c>
      <c r="AI48" s="411">
        <f>SUM(N48+W48)/E48</f>
        <v>0.92738604914780209</v>
      </c>
      <c r="AJ48" s="411">
        <f>SUM(O48+X48)/F48</f>
        <v>0.72504737613502346</v>
      </c>
      <c r="AK48" s="411"/>
      <c r="AL48" s="411">
        <f>SUM(Q48+Z48)/H48</f>
        <v>0.92457861020339094</v>
      </c>
      <c r="AM48" s="411"/>
      <c r="AN48" s="411">
        <f>SUM(S48+AB48)/J48</f>
        <v>0.85367130586035433</v>
      </c>
      <c r="AO48" s="411">
        <f>SUM(T48+AC48)/K48</f>
        <v>0.86917614778551777</v>
      </c>
    </row>
    <row r="49" spans="5:61" s="225" customFormat="1" ht="31.5" customHeight="1" thickTop="1" x14ac:dyDescent="0.2">
      <c r="E49" s="226"/>
      <c r="F49" s="227"/>
      <c r="G49" s="227"/>
      <c r="H49" s="483"/>
      <c r="K49" s="249">
        <f>SUM(C48:J48)</f>
        <v>437582146</v>
      </c>
      <c r="L49" s="228"/>
      <c r="M49" s="228"/>
      <c r="N49" s="228"/>
      <c r="O49" s="228"/>
      <c r="P49" s="228"/>
      <c r="Q49" s="228"/>
      <c r="R49" s="228"/>
      <c r="S49" s="228"/>
      <c r="T49" s="249">
        <f>SUM(L48:S48)</f>
        <v>355450000</v>
      </c>
      <c r="U49" s="382"/>
      <c r="V49" s="382"/>
      <c r="W49" s="382"/>
      <c r="X49" s="382"/>
      <c r="Y49" s="382"/>
      <c r="Z49" s="382"/>
      <c r="AA49" s="382"/>
      <c r="AB49" s="382"/>
      <c r="AC49" s="382">
        <f>SUM(U48:AB48)</f>
        <v>24885964</v>
      </c>
      <c r="AD49" s="381"/>
      <c r="AE49" s="226"/>
      <c r="AF49" s="226">
        <f>SUM(AD48:AE48)</f>
        <v>60628057</v>
      </c>
      <c r="AG49" s="297"/>
      <c r="AP49" s="226">
        <f>SUM(AP7:AP47)</f>
        <v>6060207</v>
      </c>
    </row>
    <row r="50" spans="5:61" s="248" customFormat="1" ht="24.75" customHeight="1" x14ac:dyDescent="0.2">
      <c r="E50" s="279"/>
      <c r="H50" s="484">
        <v>15390823</v>
      </c>
      <c r="I50" s="279" t="s">
        <v>219</v>
      </c>
      <c r="K50" s="281">
        <f>SUM(K48-K49)</f>
        <v>0</v>
      </c>
      <c r="T50" s="279">
        <f>SUM(T48-T49)</f>
        <v>0</v>
      </c>
      <c r="U50" s="383"/>
      <c r="V50" s="383"/>
      <c r="W50" s="383"/>
      <c r="X50" s="383"/>
      <c r="Y50" s="383"/>
      <c r="Z50" s="383"/>
      <c r="AA50" s="383"/>
      <c r="AB50" s="383"/>
      <c r="AC50" s="586"/>
      <c r="AD50" s="381"/>
      <c r="AF50" s="279"/>
      <c r="AG50" s="297"/>
      <c r="AH50" s="270"/>
      <c r="AI50" s="270"/>
      <c r="AJ50" s="270"/>
      <c r="AK50" s="270"/>
      <c r="AL50" s="270"/>
      <c r="AM50" s="270"/>
      <c r="AN50" s="270"/>
      <c r="AO50" s="270"/>
      <c r="AP50" s="716"/>
      <c r="AQ50" s="716"/>
      <c r="AR50" s="716"/>
      <c r="AS50" s="716"/>
      <c r="AT50" s="716"/>
      <c r="AU50" s="716"/>
      <c r="AV50" s="716"/>
      <c r="AW50" s="716"/>
      <c r="AX50" s="716"/>
      <c r="AY50" s="716"/>
      <c r="AZ50" s="716"/>
      <c r="BA50" s="716"/>
      <c r="BB50" s="716"/>
      <c r="BC50" s="716"/>
      <c r="BD50" s="716"/>
      <c r="BE50" s="716"/>
      <c r="BF50" s="716"/>
      <c r="BG50" s="716"/>
      <c r="BH50" s="716"/>
      <c r="BI50" s="716"/>
    </row>
    <row r="51" spans="5:61" ht="27" customHeight="1" x14ac:dyDescent="0.2">
      <c r="H51" s="485">
        <f>H48+H50</f>
        <v>119500546</v>
      </c>
      <c r="K51" s="280"/>
      <c r="L51" s="544">
        <f>SUM(C48-L48-U48)</f>
        <v>29748016</v>
      </c>
      <c r="M51" s="544">
        <f>SUM(D48-M48-W48)</f>
        <v>-9011290</v>
      </c>
      <c r="N51" s="544">
        <f t="shared" ref="N51:T51" si="59">SUM(E48-N48-W48)</f>
        <v>10055152</v>
      </c>
      <c r="O51" s="544">
        <f t="shared" si="59"/>
        <v>3841990</v>
      </c>
      <c r="P51" s="544">
        <f t="shared" si="59"/>
        <v>-2471885</v>
      </c>
      <c r="Q51" s="544">
        <f t="shared" si="59"/>
        <v>7852100</v>
      </c>
      <c r="R51" s="544">
        <f t="shared" si="59"/>
        <v>9108</v>
      </c>
      <c r="S51" s="544">
        <f t="shared" si="59"/>
        <v>5042152</v>
      </c>
      <c r="T51" s="544">
        <f t="shared" si="59"/>
        <v>57246182</v>
      </c>
      <c r="U51" s="384"/>
      <c r="V51" s="384"/>
      <c r="W51" s="384"/>
      <c r="X51" s="384"/>
      <c r="Y51" s="384"/>
      <c r="Z51" s="384"/>
      <c r="AA51" s="384"/>
      <c r="AB51" s="384"/>
      <c r="AC51" s="82"/>
      <c r="AD51" s="381"/>
    </row>
    <row r="52" spans="5:61" ht="27" customHeight="1" x14ac:dyDescent="0.2">
      <c r="H52" s="485"/>
      <c r="L52" s="866" t="s">
        <v>229</v>
      </c>
      <c r="M52" s="867"/>
      <c r="N52" s="867"/>
      <c r="O52" s="867"/>
      <c r="P52" s="867"/>
      <c r="Q52" s="867"/>
      <c r="R52" s="867"/>
      <c r="S52" s="867"/>
      <c r="T52" s="868"/>
      <c r="U52" s="385"/>
      <c r="V52" s="385"/>
      <c r="W52" s="385"/>
      <c r="X52" s="385"/>
      <c r="Y52" s="385"/>
      <c r="Z52" s="385"/>
      <c r="AA52" s="385"/>
      <c r="AB52" s="385"/>
      <c r="AC52" s="82"/>
    </row>
    <row r="53" spans="5:61" x14ac:dyDescent="0.2">
      <c r="H53" s="485"/>
    </row>
    <row r="54" spans="5:61" x14ac:dyDescent="0.2">
      <c r="H54" s="485"/>
    </row>
    <row r="55" spans="5:61" x14ac:dyDescent="0.2">
      <c r="H55" s="485"/>
    </row>
    <row r="56" spans="5:61" x14ac:dyDescent="0.2">
      <c r="H56" s="485"/>
    </row>
    <row r="57" spans="5:61" x14ac:dyDescent="0.2">
      <c r="H57" s="485"/>
    </row>
    <row r="58" spans="5:61" x14ac:dyDescent="0.2">
      <c r="H58" s="485"/>
    </row>
  </sheetData>
  <mergeCells count="8">
    <mergeCell ref="L52:T52"/>
    <mergeCell ref="A4:A5"/>
    <mergeCell ref="B4:B5"/>
    <mergeCell ref="AD4:AF4"/>
    <mergeCell ref="A1:AF1"/>
    <mergeCell ref="C4:K4"/>
    <mergeCell ref="L4:T4"/>
    <mergeCell ref="U4:AC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REN</vt:lpstr>
      <vt:lpstr>UMUM</vt:lpstr>
      <vt:lpstr>KESRA</vt:lpstr>
      <vt:lpstr>PEMER</vt:lpstr>
      <vt:lpstr>YAN</vt:lpstr>
      <vt:lpstr>REKAP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desa batupute</cp:lastModifiedBy>
  <cp:lastPrinted>2023-10-04T00:48:36Z</cp:lastPrinted>
  <dcterms:created xsi:type="dcterms:W3CDTF">2023-08-30T06:30:27Z</dcterms:created>
  <dcterms:modified xsi:type="dcterms:W3CDTF">2025-12-26T23:43:07Z</dcterms:modified>
</cp:coreProperties>
</file>