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350" tabRatio="723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_xlnm._FilterDatabase" localSheetId="3" hidden="1">KASHAR!$A$1:$AA$268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>#REF!</definedName>
    <definedName name="____________LLL02">#REF!</definedName>
    <definedName name="____________LLL03">#REF!</definedName>
    <definedName name="____________LLL04">#REF!</definedName>
    <definedName name="____________LLL05">#REF!</definedName>
    <definedName name="____________LLL06">#REF!</definedName>
    <definedName name="____________LLL07">#REF!</definedName>
    <definedName name="____________LLL08">#REF!</definedName>
    <definedName name="____________LLL09">#REF!</definedName>
    <definedName name="____________LLL10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>#REF!</definedName>
    <definedName name="____________MMM02">#REF!</definedName>
    <definedName name="____________MMM03">#REF!</definedName>
    <definedName name="____________MMM04">#REF!</definedName>
    <definedName name="____________MMM05">#REF!</definedName>
    <definedName name="____________MMM06">#REF!</definedName>
    <definedName name="____________MMM07">#REF!</definedName>
    <definedName name="____________MMM08">#REF!</definedName>
    <definedName name="____________MMM09">#REF!</definedName>
    <definedName name="____________MMM10">#REF!</definedName>
    <definedName name="____________MMM11">#REF!</definedName>
    <definedName name="____________MMM12">#REF!</definedName>
    <definedName name="____________MMM13">#REF!</definedName>
    <definedName name="____________MMM14">#REF!</definedName>
    <definedName name="____________MMM15">#REF!</definedName>
    <definedName name="____________MMM16">#REF!</definedName>
    <definedName name="____________MMM17">#REF!</definedName>
    <definedName name="____________MMM18">#REF!</definedName>
    <definedName name="____________MMM19">#REF!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#REF!</definedName>
    <definedName name="____________MMM27">#REF!</definedName>
    <definedName name="____________MMM28">#REF!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#REF!</definedName>
    <definedName name="____________MMM38">#REF!</definedName>
    <definedName name="____________MMM39">#REF!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#REF!</definedName>
    <definedName name="____________MMM45">#REF!</definedName>
    <definedName name="____________MMM46">#REF!</definedName>
    <definedName name="____________MMM47">#REF!</definedName>
    <definedName name="____________MMM48">#REF!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LLL01">#REF!</definedName>
    <definedName name="___________LLL02">#REF!</definedName>
    <definedName name="___________LLL03">#REF!</definedName>
    <definedName name="___________LLL04">#REF!</definedName>
    <definedName name="___________LLL05">#REF!</definedName>
    <definedName name="___________LLL06">#REF!</definedName>
    <definedName name="___________LLL07">#REF!</definedName>
    <definedName name="___________LLL08">#REF!</definedName>
    <definedName name="___________LLL09">#REF!</definedName>
    <definedName name="___________LLL10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>#REF!</definedName>
    <definedName name="___________MMM02">#REF!</definedName>
    <definedName name="___________MMM03">#REF!</definedName>
    <definedName name="___________MMM04">#REF!</definedName>
    <definedName name="___________MMM05">#REF!</definedName>
    <definedName name="___________MMM06">#REF!</definedName>
    <definedName name="___________MMM07">#REF!</definedName>
    <definedName name="___________MMM08">#REF!</definedName>
    <definedName name="___________MMM09">#REF!</definedName>
    <definedName name="___________MMM10">#REF!</definedName>
    <definedName name="___________MMM11">#REF!</definedName>
    <definedName name="___________MMM12">#REF!</definedName>
    <definedName name="___________MMM13">#REF!</definedName>
    <definedName name="___________MMM14">#REF!</definedName>
    <definedName name="___________MMM15">#REF!</definedName>
    <definedName name="___________MMM16">#REF!</definedName>
    <definedName name="___________MMM17">#REF!</definedName>
    <definedName name="___________MMM18">#REF!</definedName>
    <definedName name="___________MMM19">#REF!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#REF!</definedName>
    <definedName name="___________MMM27">#REF!</definedName>
    <definedName name="___________MMM28">#REF!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#REF!</definedName>
    <definedName name="___________MMM38">#REF!</definedName>
    <definedName name="___________MMM39">#REF!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#REF!</definedName>
    <definedName name="___________MMM45">#REF!</definedName>
    <definedName name="___________MMM46">#REF!</definedName>
    <definedName name="___________MMM47">#REF!</definedName>
    <definedName name="___________MMM48">#REF!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LLL01">#REF!</definedName>
    <definedName name="__________LLL02">#REF!</definedName>
    <definedName name="__________LLL03">#REF!</definedName>
    <definedName name="__________LLL04">#REF!</definedName>
    <definedName name="__________LLL05">#REF!</definedName>
    <definedName name="__________LLL06">#REF!</definedName>
    <definedName name="__________LLL07">#REF!</definedName>
    <definedName name="__________LLL08">#REF!</definedName>
    <definedName name="__________LLL09">#REF!</definedName>
    <definedName name="__________LLL10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>#REF!</definedName>
    <definedName name="__________MMM02">#REF!</definedName>
    <definedName name="__________MMM03">#REF!</definedName>
    <definedName name="__________MMM04">#REF!</definedName>
    <definedName name="__________MMM05">#REF!</definedName>
    <definedName name="__________MMM06">#REF!</definedName>
    <definedName name="__________MMM07">#REF!</definedName>
    <definedName name="__________MMM08">#REF!</definedName>
    <definedName name="__________MMM09">#REF!</definedName>
    <definedName name="__________MMM10">#REF!</definedName>
    <definedName name="__________MMM11">#REF!</definedName>
    <definedName name="__________MMM12">#REF!</definedName>
    <definedName name="__________MMM13">#REF!</definedName>
    <definedName name="__________MMM14">#REF!</definedName>
    <definedName name="__________MMM15">#REF!</definedName>
    <definedName name="__________MMM16">#REF!</definedName>
    <definedName name="__________MMM17">#REF!</definedName>
    <definedName name="__________MMM18">#REF!</definedName>
    <definedName name="__________MMM19">#REF!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#REF!</definedName>
    <definedName name="__________MMM27">#REF!</definedName>
    <definedName name="__________MMM28">#REF!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#REF!</definedName>
    <definedName name="__________MMM38">#REF!</definedName>
    <definedName name="__________MMM39">#REF!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#REF!</definedName>
    <definedName name="__________MMM45">#REF!</definedName>
    <definedName name="__________MMM46">#REF!</definedName>
    <definedName name="__________MMM47">#REF!</definedName>
    <definedName name="__________MMM48">#REF!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LLL01">#REF!</definedName>
    <definedName name="_________LLL02">#REF!</definedName>
    <definedName name="_________LLL03">#REF!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#REF!</definedName>
    <definedName name="_________LLL10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>#REF!</definedName>
    <definedName name="_________MMM02">#REF!</definedName>
    <definedName name="_________MMM03">#REF!</definedName>
    <definedName name="_________MMM04">#REF!</definedName>
    <definedName name="_________MMM05">#REF!</definedName>
    <definedName name="_________MMM06">#REF!</definedName>
    <definedName name="_________MMM07">#REF!</definedName>
    <definedName name="_________MMM08">#REF!</definedName>
    <definedName name="_________MMM09">#REF!</definedName>
    <definedName name="_________MMM10">#REF!</definedName>
    <definedName name="_________MMM11">#REF!</definedName>
    <definedName name="_________MMM12">#REF!</definedName>
    <definedName name="_________MMM13">#REF!</definedName>
    <definedName name="_________MMM14">#REF!</definedName>
    <definedName name="_________MMM15">#REF!</definedName>
    <definedName name="_________MMM16">#REF!</definedName>
    <definedName name="_________MMM17">#REF!</definedName>
    <definedName name="_________MMM18">#REF!</definedName>
    <definedName name="_________MMM19">#REF!</definedName>
    <definedName name="_________MMM20">#REF!</definedName>
    <definedName name="_________MMM21">#REF!</definedName>
    <definedName name="_________MMM22">#REF!</definedName>
    <definedName name="_________MMM23">#REF!</definedName>
    <definedName name="_________MMM24">#REF!</definedName>
    <definedName name="_________MMM25">#REF!</definedName>
    <definedName name="_________MMM26">#REF!</definedName>
    <definedName name="_________MMM27">#REF!</definedName>
    <definedName name="_________MMM28">#REF!</definedName>
    <definedName name="_________MMM29">#REF!</definedName>
    <definedName name="_________MMM30">#REF!</definedName>
    <definedName name="_________MMM31">#REF!</definedName>
    <definedName name="_________MMM32">#REF!</definedName>
    <definedName name="_________MMM33">#REF!</definedName>
    <definedName name="_________MMM34">#REF!</definedName>
    <definedName name="_________MMM35">#REF!</definedName>
    <definedName name="_________MMM36">#REF!</definedName>
    <definedName name="_________MMM37">#REF!</definedName>
    <definedName name="_________MMM38">#REF!</definedName>
    <definedName name="_________MMM39">#REF!</definedName>
    <definedName name="_________MMM40">#REF!</definedName>
    <definedName name="_________MMM41">#REF!</definedName>
    <definedName name="_________MMM411">#REF!</definedName>
    <definedName name="_________MMM42">#REF!</definedName>
    <definedName name="_________MMM43">#REF!</definedName>
    <definedName name="_________MMM44">#REF!</definedName>
    <definedName name="_________MMM45">#REF!</definedName>
    <definedName name="_________MMM46">#REF!</definedName>
    <definedName name="_________MMM47">#REF!</definedName>
    <definedName name="_________MMM48">#REF!</definedName>
    <definedName name="_________MMM49">#REF!</definedName>
    <definedName name="_________MMM50">#REF!</definedName>
    <definedName name="_________MMM51">#REF!</definedName>
    <definedName name="_________MMM52">#REF!</definedName>
    <definedName name="_________MMM53">#REF!</definedName>
    <definedName name="_________MMM54">#REF!</definedName>
    <definedName name="________LLL01">#REF!</definedName>
    <definedName name="________LLL02">#REF!</definedName>
    <definedName name="________LLL03">#REF!</definedName>
    <definedName name="________LLL04">#REF!</definedName>
    <definedName name="________LLL05">#REF!</definedName>
    <definedName name="________LLL06">#REF!</definedName>
    <definedName name="________LLL07">#REF!</definedName>
    <definedName name="________LLL08">#REF!</definedName>
    <definedName name="________LLL09">#REF!</definedName>
    <definedName name="________LLL10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>#REF!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#REF!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#REF!</definedName>
    <definedName name="________MMM16">#REF!</definedName>
    <definedName name="________MMM17">#REF!</definedName>
    <definedName name="________MMM18">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#REF!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#REF!</definedName>
    <definedName name="________MMM43">#REF!</definedName>
    <definedName name="________MMM44">#REF!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#REF!</definedName>
    <definedName name="________MMM52">#REF!</definedName>
    <definedName name="________MMM53">#REF!</definedName>
    <definedName name="________MMM54">#REF!</definedName>
    <definedName name="________xlnm.Print_Area">"#ref!"</definedName>
    <definedName name="_______LLL01">#REF!</definedName>
    <definedName name="_______LLL02">#REF!</definedName>
    <definedName name="_______LLL03">#REF!</definedName>
    <definedName name="_______LLL04">#REF!</definedName>
    <definedName name="_______LLL05">#REF!</definedName>
    <definedName name="_______LLL06">#REF!</definedName>
    <definedName name="_______LLL07">#REF!</definedName>
    <definedName name="_______LLL08">#REF!</definedName>
    <definedName name="_______LLL09">#REF!</definedName>
    <definedName name="_______LLL10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>#REF!</definedName>
    <definedName name="_______MMM02">#REF!</definedName>
    <definedName name="_______MMM03">#REF!</definedName>
    <definedName name="_______MMM04">#REF!</definedName>
    <definedName name="_______MMM05">#REF!</definedName>
    <definedName name="_______MMM06">#REF!</definedName>
    <definedName name="_______MMM07">#REF!</definedName>
    <definedName name="_______MMM08">#REF!</definedName>
    <definedName name="_______MMM09">#REF!</definedName>
    <definedName name="_______MMM10">#REF!</definedName>
    <definedName name="_______MMM11">#REF!</definedName>
    <definedName name="_______MMM12">#REF!</definedName>
    <definedName name="_______MMM13">#REF!</definedName>
    <definedName name="_______MMM14">#REF!</definedName>
    <definedName name="_______MMM15">#REF!</definedName>
    <definedName name="_______MMM16">#REF!</definedName>
    <definedName name="_______MMM17">#REF!</definedName>
    <definedName name="_______MMM18">#REF!</definedName>
    <definedName name="_______MMM19">#REF!</definedName>
    <definedName name="_______MMM20">#REF!</definedName>
    <definedName name="_______MMM21">#REF!</definedName>
    <definedName name="_______MMM22">#REF!</definedName>
    <definedName name="_______MMM23">#REF!</definedName>
    <definedName name="_______MMM24">#REF!</definedName>
    <definedName name="_______MMM25">#REF!</definedName>
    <definedName name="_______MMM26">#REF!</definedName>
    <definedName name="_______MMM27">#REF!</definedName>
    <definedName name="_______MMM28">#REF!</definedName>
    <definedName name="_______MMM29">#REF!</definedName>
    <definedName name="_______MMM30">#REF!</definedName>
    <definedName name="_______MMM31">#REF!</definedName>
    <definedName name="_______MMM32">#REF!</definedName>
    <definedName name="_______MMM33">#REF!</definedName>
    <definedName name="_______MMM34">#REF!</definedName>
    <definedName name="_______MMM35">#REF!</definedName>
    <definedName name="_______MMM36">#REF!</definedName>
    <definedName name="_______MMM37">#REF!</definedName>
    <definedName name="_______MMM38">#REF!</definedName>
    <definedName name="_______MMM39">#REF!</definedName>
    <definedName name="_______MMM40">#REF!</definedName>
    <definedName name="_______MMM41">#REF!</definedName>
    <definedName name="_______MMM411">#REF!</definedName>
    <definedName name="_______MMM42">#REF!</definedName>
    <definedName name="_______MMM43">#REF!</definedName>
    <definedName name="_______MMM44">#REF!</definedName>
    <definedName name="_______MMM45">#REF!</definedName>
    <definedName name="_______MMM46">#REF!</definedName>
    <definedName name="_______MMM47">#REF!</definedName>
    <definedName name="_______MMM48">#REF!</definedName>
    <definedName name="_______MMM49">#REF!</definedName>
    <definedName name="_______MMM50">#REF!</definedName>
    <definedName name="_______MMM51">#REF!</definedName>
    <definedName name="_______MMM52">#REF!</definedName>
    <definedName name="_______MMM53">#REF!</definedName>
    <definedName name="_______MMM54">#REF!</definedName>
    <definedName name="______HAL2">[4]Mobilisasi!#REF!</definedName>
    <definedName name="______LLL01">#REF!</definedName>
    <definedName name="______LLL02">#REF!</definedName>
    <definedName name="______LLL03">#REF!</definedName>
    <definedName name="______LLL04">#REF!</definedName>
    <definedName name="______LLL05">#REF!</definedName>
    <definedName name="______LLL06">#REF!</definedName>
    <definedName name="______LLL07">#REF!</definedName>
    <definedName name="______LLL08">#REF!</definedName>
    <definedName name="______LLL09">#REF!</definedName>
    <definedName name="______LLL10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>#REF!</definedName>
    <definedName name="______MMM02">#REF!</definedName>
    <definedName name="______MMM03">#REF!</definedName>
    <definedName name="______MMM04">#REF!</definedName>
    <definedName name="______MMM05">#REF!</definedName>
    <definedName name="______MMM06">#REF!</definedName>
    <definedName name="______MMM07">#REF!</definedName>
    <definedName name="______MMM08">#REF!</definedName>
    <definedName name="______MMM09">#REF!</definedName>
    <definedName name="______MMM10">#REF!</definedName>
    <definedName name="______MMM11">#REF!</definedName>
    <definedName name="______MMM12">#REF!</definedName>
    <definedName name="______MMM13">#REF!</definedName>
    <definedName name="______MMM14">#REF!</definedName>
    <definedName name="______MMM15">#REF!</definedName>
    <definedName name="______MMM16">#REF!</definedName>
    <definedName name="______MMM17">#REF!</definedName>
    <definedName name="______MMM18">#REF!</definedName>
    <definedName name="______MMM19">#REF!</definedName>
    <definedName name="______MMM20">#REF!</definedName>
    <definedName name="______MMM21">#REF!</definedName>
    <definedName name="______MMM22">#REF!</definedName>
    <definedName name="______MMM23">#REF!</definedName>
    <definedName name="______MMM24">#REF!</definedName>
    <definedName name="______MMM25">#REF!</definedName>
    <definedName name="______MMM26">#REF!</definedName>
    <definedName name="______MMM27">#REF!</definedName>
    <definedName name="______MMM28">#REF!</definedName>
    <definedName name="______MMM29">#REF!</definedName>
    <definedName name="______MMM30">#REF!</definedName>
    <definedName name="______MMM31">#REF!</definedName>
    <definedName name="______MMM32">#REF!</definedName>
    <definedName name="______MMM33">#REF!</definedName>
    <definedName name="______MMM34">#REF!</definedName>
    <definedName name="______MMM35">#REF!</definedName>
    <definedName name="______MMM36">#REF!</definedName>
    <definedName name="______MMM37">#REF!</definedName>
    <definedName name="______MMM38">#REF!</definedName>
    <definedName name="______MMM39">#REF!</definedName>
    <definedName name="______MMM40">#REF!</definedName>
    <definedName name="______MMM41">#REF!</definedName>
    <definedName name="______MMM411">#REF!</definedName>
    <definedName name="______MMM42">#REF!</definedName>
    <definedName name="______MMM43">#REF!</definedName>
    <definedName name="______MMM44">#REF!</definedName>
    <definedName name="______MMM45">#REF!</definedName>
    <definedName name="______MMM46">#REF!</definedName>
    <definedName name="______MMM47">#REF!</definedName>
    <definedName name="______MMM48">#REF!</definedName>
    <definedName name="______MMM49">#REF!</definedName>
    <definedName name="______MMM50">#REF!</definedName>
    <definedName name="______MMM51">#REF!</definedName>
    <definedName name="______MMM52">#REF!</definedName>
    <definedName name="______MMM53">#REF!</definedName>
    <definedName name="______MMM54">#REF!</definedName>
    <definedName name="______xlnm.Print_Area">"#ref!"</definedName>
    <definedName name="_____LLL01">#REF!</definedName>
    <definedName name="_____LLL02">#REF!</definedName>
    <definedName name="_____LLL03">#REF!</definedName>
    <definedName name="_____LLL04">#REF!</definedName>
    <definedName name="_____LLL05">#REF!</definedName>
    <definedName name="_____LLL06">#REF!</definedName>
    <definedName name="_____LLL07">#REF!</definedName>
    <definedName name="_____LLL08">#REF!</definedName>
    <definedName name="_____LLL09">#REF!</definedName>
    <definedName name="_____LLL10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>#REF!</definedName>
    <definedName name="_____MMM02">#REF!</definedName>
    <definedName name="_____MMM03">#REF!</definedName>
    <definedName name="_____MMM04">#REF!</definedName>
    <definedName name="_____MMM05">#REF!</definedName>
    <definedName name="_____MMM06">#REF!</definedName>
    <definedName name="_____MMM07">#REF!</definedName>
    <definedName name="_____MMM08">#REF!</definedName>
    <definedName name="_____MMM09">#REF!</definedName>
    <definedName name="_____MMM10">#REF!</definedName>
    <definedName name="_____MMM11">#REF!</definedName>
    <definedName name="_____MMM12">#REF!</definedName>
    <definedName name="_____MMM13">#REF!</definedName>
    <definedName name="_____MMM14">#REF!</definedName>
    <definedName name="_____MMM15">#REF!</definedName>
    <definedName name="_____MMM16">#REF!</definedName>
    <definedName name="_____MMM17">#REF!</definedName>
    <definedName name="_____MMM18">#REF!</definedName>
    <definedName name="_____MMM19">#REF!</definedName>
    <definedName name="_____MMM20">#REF!</definedName>
    <definedName name="_____MMM21">#REF!</definedName>
    <definedName name="_____MMM22">#REF!</definedName>
    <definedName name="_____MMM23">#REF!</definedName>
    <definedName name="_____MMM24">#REF!</definedName>
    <definedName name="_____MMM25">#REF!</definedName>
    <definedName name="_____MMM26">#REF!</definedName>
    <definedName name="_____MMM27">#REF!</definedName>
    <definedName name="_____MMM28">#REF!</definedName>
    <definedName name="_____MMM29">#REF!</definedName>
    <definedName name="_____MMM30">#REF!</definedName>
    <definedName name="_____MMM31">#REF!</definedName>
    <definedName name="_____MMM32">#REF!</definedName>
    <definedName name="_____MMM33">#REF!</definedName>
    <definedName name="_____MMM34">#REF!</definedName>
    <definedName name="_____MMM35">#REF!</definedName>
    <definedName name="_____MMM36">#REF!</definedName>
    <definedName name="_____MMM37">#REF!</definedName>
    <definedName name="_____MMM38">#REF!</definedName>
    <definedName name="_____MMM39">#REF!</definedName>
    <definedName name="_____MMM40">#REF!</definedName>
    <definedName name="_____MMM41">#REF!</definedName>
    <definedName name="_____MMM411">#REF!</definedName>
    <definedName name="_____MMM42">#REF!</definedName>
    <definedName name="_____MMM43">#REF!</definedName>
    <definedName name="_____MMM44">#REF!</definedName>
    <definedName name="_____MMM45">#REF!</definedName>
    <definedName name="_____MMM46">#REF!</definedName>
    <definedName name="_____MMM47">#REF!</definedName>
    <definedName name="_____MMM48">#REF!</definedName>
    <definedName name="_____MMM49">#REF!</definedName>
    <definedName name="_____MMM50">#REF!</definedName>
    <definedName name="_____MMM51">#REF!</definedName>
    <definedName name="_____MMM52">#REF!</definedName>
    <definedName name="_____MMM53">#REF!</definedName>
    <definedName name="_____MMM54">#REF!</definedName>
    <definedName name="_____xlnm.Print_Area">"#ref!"</definedName>
    <definedName name="____DIV4" hidden="1">'[6]Div2'!$I$12:$I$20</definedName>
    <definedName name="____DIV5" hidden="1">'[6]Div2'!$H$12:$H$20</definedName>
    <definedName name="____HAL2">[4]Mobilisasi!#REF!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>#REF!</definedName>
    <definedName name="__xlnm.Print_Area">"#ref!"</definedName>
    <definedName name="__xlnm_Print_Area">"#ref!"</definedName>
    <definedName name="_110">#REF!</definedName>
    <definedName name="_210">#REF!</definedName>
    <definedName name="_224">#REF!</definedName>
    <definedName name="_225">#REF!</definedName>
    <definedName name="_310">#REF!</definedName>
    <definedName name="_410">#REF!</definedName>
    <definedName name="_424">#REF!</definedName>
    <definedName name="_514">#REF!</definedName>
    <definedName name="_7.1__2">'[11]D7(1)'!#REF!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'[6]Div2'!$G$12:$G$20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>#REF!</definedName>
    <definedName name="_EEE02">'[11]5-Alt(1)'!$AW$9</definedName>
    <definedName name="_EEE03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>#REF!</definedName>
    <definedName name="_EEE13">'[11]5-Alt(1)'!$AW$20</definedName>
    <definedName name="_EEE14">#REF!</definedName>
    <definedName name="_EEE15">#REF!</definedName>
    <definedName name="_EEE16">'[11]5-Alt(1)'!$AW$23</definedName>
    <definedName name="_EEE17">'[11]5-Alt(1)'!$AW$24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'[11]5-Alt(1)'!$AW$30</definedName>
    <definedName name="_EEE24">#REF!</definedName>
    <definedName name="_EEE25">#REF!</definedName>
    <definedName name="_EEE26">#REF!</definedName>
    <definedName name="_EEE27">'[11]5-Alt(1)'!$AW$34</definedName>
    <definedName name="_EEE28">#REF!</definedName>
    <definedName name="_EEE29">'[11]5-Alt(1)'!$AW$36</definedName>
    <definedName name="_EEE30">#REF!</definedName>
    <definedName name="_EEE31">'[11]5-Alt(1)'!$AW$38</definedName>
    <definedName name="_EEE32">#REF!</definedName>
    <definedName name="_EEE33">#REF!</definedName>
    <definedName name="_Fill" hidden="1">#REF!</definedName>
    <definedName name="_xlnm._FilterDatabase" hidden="1">[12]REKAP!$A$1:$H$53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hidden="1">#REF!</definedName>
    <definedName name="_sp606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[13]RAB!#REF!</definedName>
    <definedName name="A.1">#REF!</definedName>
    <definedName name="A.16">#REF!</definedName>
    <definedName name="A.18_PASIR">#REF!</definedName>
    <definedName name="A.18_TANAH">#REF!</definedName>
    <definedName name="A.2">#REF!</definedName>
    <definedName name="A.4">#REF!</definedName>
    <definedName name="A.4A">[14]Analisa!$H$57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>#REF!</definedName>
    <definedName name="ALAT_BANTU">'[16]Hrg Bahan'!$N$122</definedName>
    <definedName name="ALATUTAMA">#REF!</definedName>
    <definedName name="ALT">'[18]daft sewa alt'!$C$4:$E$11</definedName>
    <definedName name="ALUMINIUM_U">'[16]Hrg Bahan'!#REF!</definedName>
    <definedName name="AMP">#REF!</definedName>
    <definedName name="AMPLAS_KASAR">'[16]Hrg Bahan'!#REF!</definedName>
    <definedName name="AN.1">#REF!</definedName>
    <definedName name="andi">'[17]Daftar Bahan'!$F$6:$J$45</definedName>
    <definedName name="Anl.G50c_voeg_hal.18">[19]Hrg.sat.!$I$1213</definedName>
    <definedName name="Anl.G50m_plesteran_hal.18">[19]Hrg.sat.!$I$1198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>#REF!</definedName>
    <definedName name="ASPAL">'[10]Kuantitas &amp; Harga'!#REF!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>#REF!</definedName>
    <definedName name="beton" hidden="1">'[24]Div2'!$G$12:$G$20</definedName>
    <definedName name="BetonK175">#N/A</definedName>
    <definedName name="BetonK250">"#ref!"</definedName>
    <definedName name="bg">'[25]hrg-jadi'!$H$21</definedName>
    <definedName name="bhn">#REF!</definedName>
    <definedName name="BHN.MAROS">#REF!</definedName>
    <definedName name="bhn.maros1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>#REF!</definedName>
    <definedName name="CONCRETEMIXER">#REF!</definedName>
    <definedName name="CONCRETEVIBRO">#REF!</definedName>
    <definedName name="CRANE">#REF!</definedName>
    <definedName name="D">#REF!</definedName>
    <definedName name="DAFTARSEWA">#REF!</definedName>
    <definedName name="DATAUPAH">'[11]4-Basic Price'!$D$8:$F$38</definedName>
    <definedName name="DAYWORKS">'[10]Kuantitas &amp; Harga'!#REF!</definedName>
    <definedName name="dd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>#REF!</definedName>
    <definedName name="Dibuat_tgl">#REF!</definedName>
    <definedName name="DINDING">#REF!</definedName>
    <definedName name="DINDING_POLOS_20.25">[16]Analisa!#REF!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'[6]Div2'!$H$12:$H$20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>#REF!</definedName>
    <definedName name="DUMPTRUCK2">#REF!</definedName>
    <definedName name="E">[13]RAB!#REF!</definedName>
    <definedName name="E.13">#REF!</definedName>
    <definedName name="E_001">#REF!</definedName>
    <definedName name="E_010">#REF!</definedName>
    <definedName name="E_031">#REF!</definedName>
    <definedName name="E_040">#REF!</definedName>
    <definedName name="E_052">#REF!</definedName>
    <definedName name="E_080">#REF!</definedName>
    <definedName name="E_081">#REF!</definedName>
    <definedName name="E_084">#REF!</definedName>
    <definedName name="E_087">#REF!</definedName>
    <definedName name="E_088">#REF!</definedName>
    <definedName name="E_089">#REF!</definedName>
    <definedName name="E_13">#REF!</definedName>
    <definedName name="E_153">#REF!</definedName>
    <definedName name="E_154">#REF!</definedName>
    <definedName name="E_155">#REF!</definedName>
    <definedName name="E_157">#REF!</definedName>
    <definedName name="E_182">#REF!</definedName>
    <definedName name="E_211">#REF!</definedName>
    <definedName name="E_212">#REF!</definedName>
    <definedName name="E_221">#REF!</definedName>
    <definedName name="E_251">#REF!</definedName>
    <definedName name="E_253">#REF!</definedName>
    <definedName name="E_301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>#REF!</definedName>
    <definedName name="F.1_II">#REF!</definedName>
    <definedName name="F.16">#REF!</definedName>
    <definedName name="F.21_I">#REF!</definedName>
    <definedName name="F.21_II">#REF!</definedName>
    <definedName name="F.22_I">#REF!</definedName>
    <definedName name="F.22_II">#REF!</definedName>
    <definedName name="F.27_I">#REF!</definedName>
    <definedName name="F.27_II">#REF!</definedName>
    <definedName name="F.30_I_TEAK">#REF!</definedName>
    <definedName name="F.30_I_TRIP">#REF!</definedName>
    <definedName name="F.30_II_TEAK">#REF!</definedName>
    <definedName name="F.30_II_TRIP">#REF!</definedName>
    <definedName name="F.31_I">#REF!</definedName>
    <definedName name="F.31_II">#REF!</definedName>
    <definedName name="F.33_I">#REF!</definedName>
    <definedName name="F.33_II">#REF!</definedName>
    <definedName name="F.35_B3">#REF!</definedName>
    <definedName name="F.35_B5">#REF!</definedName>
    <definedName name="F.35_R3">#REF!</definedName>
    <definedName name="F.35_R5">#REF!</definedName>
    <definedName name="F.36_B_I">#REF!</definedName>
    <definedName name="F.36_B_II">#REF!</definedName>
    <definedName name="F.36_R_I">#REF!</definedName>
    <definedName name="F.36_R_II">#REF!</definedName>
    <definedName name="F.36A_I">#REF!</definedName>
    <definedName name="F.36A_II">#REF!</definedName>
    <definedName name="F.37_P_I">#REF!</definedName>
    <definedName name="F.37_P_II">#REF!</definedName>
    <definedName name="F.37_T">#REF!</definedName>
    <definedName name="F.37_TEAK">#REF!</definedName>
    <definedName name="F.38_I">#REF!</definedName>
    <definedName name="F.38_II">#REF!</definedName>
    <definedName name="F.47_I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>#REF!</definedName>
    <definedName name="FINISHER">#REF!</definedName>
    <definedName name="FINISHING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GEOTEKSTIL">#REF!</definedName>
    <definedName name="FRRDS">#REF!</definedName>
    <definedName name="FULVIMIXER">#REF!</definedName>
    <definedName name="G">[13]RAB!#REF!</definedName>
    <definedName name="G.14">#REF!</definedName>
    <definedName name="G.16">#REF!</definedName>
    <definedName name="G.2">#REF!</definedName>
    <definedName name="G.32H">#REF!</definedName>
    <definedName name="G.32K">#REF!</definedName>
    <definedName name="G.32L">#REF!</definedName>
    <definedName name="G.33F">#REF!</definedName>
    <definedName name="G.33H">#REF!</definedName>
    <definedName name="G.33I">#REF!</definedName>
    <definedName name="G.33L">#REF!</definedName>
    <definedName name="G.44">#REF!</definedName>
    <definedName name="G.50H">#REF!</definedName>
    <definedName name="G.50I">#REF!</definedName>
    <definedName name="G.50J">#REF!</definedName>
    <definedName name="G.50K">#REF!</definedName>
    <definedName name="G.50O">#REF!</definedName>
    <definedName name="G.50P">#REF!</definedName>
    <definedName name="G.51C">#REF!</definedName>
    <definedName name="G.51D">#REF!</definedName>
    <definedName name="G.53">#REF!</definedName>
    <definedName name="G.53A">#REF!</definedName>
    <definedName name="G.55B">#REF!</definedName>
    <definedName name="G.55C">#REF!</definedName>
    <definedName name="G.5A">#REF!</definedName>
    <definedName name="G.5B">#REF!</definedName>
    <definedName name="G.5C">#REF!</definedName>
    <definedName name="G.6">#REF!</definedName>
    <definedName name="G.67">#REF!</definedName>
    <definedName name="G.72_20X20">#REF!</definedName>
    <definedName name="g.72_20x25">'[29]HrgBahan&amp;Analisa'!$W$806</definedName>
    <definedName name="G.72_30X30">#REF!</definedName>
    <definedName name="G.72_M_30X30">#REF!</definedName>
    <definedName name="G_1">#REF!</definedName>
    <definedName name="G_50m">#REF!</definedName>
    <definedName name="G_53A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>#REF!</definedName>
    <definedName name="H.10_SENG">#REF!</definedName>
    <definedName name="H.14_KARET">#REF!</definedName>
    <definedName name="H.14_SENG_PLAT">#REF!</definedName>
    <definedName name="H.17_KARET">#REF!</definedName>
    <definedName name="H.17_SENG_PLAT">#REF!</definedName>
    <definedName name="H.2">#REF!</definedName>
    <definedName name="H.6">#REF!</definedName>
    <definedName name="H.8_AS_GEL">#REF!</definedName>
    <definedName name="H.8_AS_GEN">#REF!</definedName>
    <definedName name="H.8_SENG">#REF!</definedName>
    <definedName name="HAK_ANGIN">'[16]Hrg Bahan'!#REF!</definedName>
    <definedName name="HANDEL_ROLLING">'[16]Hrg Bahan'!#REF!</definedName>
    <definedName name="HARGA">#REF!</definedName>
    <definedName name="hargasatuan">#REF!</definedName>
    <definedName name="hari">#N/A</definedName>
    <definedName name="hlll" hidden="1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>#REF!</definedName>
    <definedName name="ISOLASI_PIPA">'[16]Hrg Bahan'!#REF!</definedName>
    <definedName name="iv">[14]RAB!#REF!</definedName>
    <definedName name="JACKHAMMER">#REF!</definedName>
    <definedName name="JALUSI">[16]Analisa!#REF!</definedName>
    <definedName name="JAM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>#REF!</definedName>
    <definedName name="K.7_23_KAPUR">#REF!</definedName>
    <definedName name="K.720">'[15]Analisa K'!#REF!</definedName>
    <definedName name="K.8_23_ASGEN">#REF!</definedName>
    <definedName name="K.8_23_SENG">#REF!</definedName>
    <definedName name="K.850">'[15]Analisa K'!#REF!</definedName>
    <definedName name="K.9_23">#REF!</definedName>
    <definedName name="K.9_23B">#REF!</definedName>
    <definedName name="K_010">#REF!</definedName>
    <definedName name="K_011">#REF!</definedName>
    <definedName name="K_011_peng.kr.gal.t.saring.b_hal.2">#REF!</definedName>
    <definedName name="K_012">#REF!</definedName>
    <definedName name="K_012_peng.kr.sung.t.saring.a_hal.3">#REF!</definedName>
    <definedName name="K_013_peng.kr.sung.t.saring.b_hal.4">#REF!</definedName>
    <definedName name="K_014">#REF!</definedName>
    <definedName name="K_016">#REF!</definedName>
    <definedName name="K_016_peng.kr.sung.saring.a_hal.6">#REF!</definedName>
    <definedName name="K_017">#REF!</definedName>
    <definedName name="K_017_produk.bt.sung.pch.saring.a_hal.7">#REF!</definedName>
    <definedName name="K_023_produk.suplai_lasbutag.b_hal.47">#REF!</definedName>
    <definedName name="K_026">#REF!</definedName>
    <definedName name="K_035">#REF!</definedName>
    <definedName name="K_040">#REF!</definedName>
    <definedName name="K_110">#REF!</definedName>
    <definedName name="K_111">'[31]Analisa K'!$J$1879</definedName>
    <definedName name="K_115">#REF!</definedName>
    <definedName name="K_116">#REF!</definedName>
    <definedName name="K_210">#REF!</definedName>
    <definedName name="K_211">'[31]Analisa K'!$J$1739</definedName>
    <definedName name="K_224">#REF!</definedName>
    <definedName name="K_224_galian.tnh.konst.b_hal.8">[19]Hrg.sat.!$J$552</definedName>
    <definedName name="K_225">#REF!</definedName>
    <definedName name="K_225_urug.dan.padat_hal.19">[19]Hrg.sat.!$J$1320</definedName>
    <definedName name="K_310">#REF!</definedName>
    <definedName name="K_311">#REF!</definedName>
    <definedName name="K_321">#REF!</definedName>
    <definedName name="K_331">'[31]Analisa K'!$J$621</definedName>
    <definedName name="K_410">#REF!</definedName>
    <definedName name="K_411">'[31]Analisa K'!$J$691</definedName>
    <definedName name="K_421">#REF!</definedName>
    <definedName name="K_421_memotong_bahu_jln.a_hal.31">[19]Hrg.sat.!$J$2160</definedName>
    <definedName name="K_422">#REF!</definedName>
    <definedName name="K_424">#REF!</definedName>
    <definedName name="K_514">#REF!</definedName>
    <definedName name="K_514_lpb.kls.c.alat_hal.16">[19]Hrg.sat.!$J$1112</definedName>
    <definedName name="K_516">#REF!</definedName>
    <definedName name="K_516_konst.telford.b_hal.33">[19]Hrg.sat.!$J$2300</definedName>
    <definedName name="K_522">'[31]Analisa K'!$J$1181</definedName>
    <definedName name="K_522_lpa.kls.b.kr.saring_hal.17">[19]Hrg.sat.!$J$1182</definedName>
    <definedName name="K_523">#REF!</definedName>
    <definedName name="K_528">#REF!</definedName>
    <definedName name="K_528_menghampar.ATB.a">[19]Hrg.sat.!$J$3700</definedName>
    <definedName name="K_612">#REF!</definedName>
    <definedName name="K_614">#REF!</definedName>
    <definedName name="K_617">#REF!</definedName>
    <definedName name="K_618">#REF!</definedName>
    <definedName name="K_631">#REF!</definedName>
    <definedName name="K_636">#REF!</definedName>
    <definedName name="K_641">'[32]Analisa K'!$J$3559</definedName>
    <definedName name="K_705">#REF!</definedName>
    <definedName name="K_705_konst.pas.batu_hal.15">[19]Hrg.sat.!$J$1042</definedName>
    <definedName name="K_710">#REF!</definedName>
    <definedName name="K_710_acuan.beton_hal.13">[19]Hrg.sat.!$J$902</definedName>
    <definedName name="K_715">#REF!</definedName>
    <definedName name="K_715_tul.besi.btn_hal.12">[19]Hrg.sat.!$J$832</definedName>
    <definedName name="K_720">#REF!</definedName>
    <definedName name="K_721">#REF!</definedName>
    <definedName name="K_721_beton.massa.K175.alat.mix.125ltr_hal.30">[19]Hrg.sat.!$J$2090</definedName>
    <definedName name="K_722">#REF!</definedName>
    <definedName name="K_722_beton.strukt.K225.alat.mix.125ltr_hal.11">#REF!</definedName>
    <definedName name="K_850">#REF!</definedName>
    <definedName name="K_855">#REF!</definedName>
    <definedName name="K_860">#REF!</definedName>
    <definedName name="K_865">#REF!</definedName>
    <definedName name="K_870">#REF!</definedName>
    <definedName name="K_875">#REF!</definedName>
    <definedName name="K_877">#REF!</definedName>
    <definedName name="K_880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hidden="1">#REF!</definedName>
    <definedName name="KODE">'[33]ANALISA PANGKEP'!$B$420:$G$493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>#REF!</definedName>
    <definedName name="KUAS_4">'[16]Hrg Bahan'!#REF!</definedName>
    <definedName name="KUDA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>#REF!</definedName>
    <definedName name="KUSEN_JENDELA">#REF!</definedName>
    <definedName name="kwt_btn">'[25]hrg-jadi'!$H$144</definedName>
    <definedName name="L_061">#REF!</definedName>
    <definedName name="L_073">#REF!</definedName>
    <definedName name="L_079">#REF!</definedName>
    <definedName name="L_081">#REF!</definedName>
    <definedName name="L_082">#REF!</definedName>
    <definedName name="L_083">#REF!</definedName>
    <definedName name="L_091">#REF!</definedName>
    <definedName name="L_099">#REF!</definedName>
    <definedName name="L_101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>#REF!</definedName>
    <definedName name="M_020">#REF!</definedName>
    <definedName name="M_021">#REF!</definedName>
    <definedName name="M_023">#REF!</definedName>
    <definedName name="M_024">#REF!</definedName>
    <definedName name="M_025">#REF!</definedName>
    <definedName name="M_040">#REF!</definedName>
    <definedName name="M_041">#REF!</definedName>
    <definedName name="M_050">#REF!</definedName>
    <definedName name="M_061">#REF!</definedName>
    <definedName name="M_062">#REF!</definedName>
    <definedName name="M_063">#REF!</definedName>
    <definedName name="M_065">#REF!</definedName>
    <definedName name="M_080">#REF!</definedName>
    <definedName name="M_081">#REF!</definedName>
    <definedName name="M_165">#REF!</definedName>
    <definedName name="M_166">#REF!</definedName>
    <definedName name="M_167">#REF!</definedName>
    <definedName name="M_170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>#REF!</definedName>
    <definedName name="MK_014">#REF!</definedName>
    <definedName name="MK_017">#REF!</definedName>
    <definedName name="MK_023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hidden="1">#REF!</definedName>
    <definedName name="MMM17A">"#ref!"</definedName>
    <definedName name="MMM35A">"#ref!"</definedName>
    <definedName name="MOBILISASI">#REF!</definedName>
    <definedName name="MR_11">#REF!</definedName>
    <definedName name="MR_12">#REF!</definedName>
    <definedName name="MR_42">#REF!</definedName>
    <definedName name="MUR_BAUT_ANGKER">'[16]Hrg Bahan'!$N$111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>#REF!</definedName>
    <definedName name="P_GIP_1">#REF!</definedName>
    <definedName name="P_GIP_1_5">#REF!</definedName>
    <definedName name="P_GIP_2">#REF!</definedName>
    <definedName name="P_GIP_3">#REF!</definedName>
    <definedName name="P_GIP_4">#REF!</definedName>
    <definedName name="P_PVC_1">#REF!</definedName>
    <definedName name="P_PVC_1_5">#REF!</definedName>
    <definedName name="P_PVC_2">#REF!</definedName>
    <definedName name="P_PVC_3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>#REF!</definedName>
    <definedName name="PENUTUP_KRAN">'[16]Hrg Bahan'!$N$200</definedName>
    <definedName name="PERSIAPAN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16">'PESTISIDA tahap 1'!$A$1:$M$40</definedName>
    <definedName name="_xlnm.Print_Area" localSheetId="8">INVEN!$A$1:$P$54</definedName>
    <definedName name="_xlnm.Print_Area" localSheetId="3">KASHAR!$A$1:$W$266</definedName>
    <definedName name="_xlnm.Print_Area" localSheetId="5">MULTI!$A$1:$Q$63</definedName>
    <definedName name="_xlnm.Print_Area" localSheetId="0">NERACA!$A$1:$H$99</definedName>
    <definedName name="_xlnm.Print_Area" localSheetId="1">'RUGI LABA '!$A$1:$C$44</definedName>
    <definedName name="_xlnm.Print_Area" localSheetId="6">REKAP!$A$1:$AG$73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>#REF!</definedName>
    <definedName name="SPL.III_BDK_30">#REF!</definedName>
    <definedName name="SPL.III_PC">#REF!</definedName>
    <definedName name="SPL.IV_10X20">#REF!</definedName>
    <definedName name="SPL.IV_PORSEL">#REF!</definedName>
    <definedName name="SPL.V">#REF!</definedName>
    <definedName name="SPL.VIA">#REF!</definedName>
    <definedName name="SPL.VII_I">#REF!</definedName>
    <definedName name="SPL.VII_II">#REF!</definedName>
    <definedName name="SPL.VIII_ETER">#REF!</definedName>
    <definedName name="SPL.VIII_GAM">#REF!</definedName>
    <definedName name="SPL.VIII_TEAK">#REF!</definedName>
    <definedName name="SPL.VIII_TRIP">#REF!</definedName>
    <definedName name="SPL.X">#REF!</definedName>
    <definedName name="SPRAYER">#REF!</definedName>
    <definedName name="ss" hidden="1">#REF!</definedName>
    <definedName name="ssss">#REF!</definedName>
    <definedName name="STIKER_HITAM">'[16]Hrg Bahan'!#REF!</definedName>
    <definedName name="STIKER_PUTIH">'[16]Hrg Bahan'!#REF!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>#REF!</definedName>
    <definedName name="T_2">#REF!</definedName>
    <definedName name="Tabel">#REF!</definedName>
    <definedName name="Tabel_1">#REF!</definedName>
    <definedName name="tabel1">#REF!</definedName>
    <definedName name="TALANG_KARET">[16]Analisa!$M$465</definedName>
    <definedName name="TAMPER">#REF!</definedName>
    <definedName name="TANAH">#REF!</definedName>
    <definedName name="TANAH_TIMBUNAN">'[16]Hrg Bahan'!$N$17</definedName>
    <definedName name="TANDEMROLLER">#REF!</definedName>
    <definedName name="TANGKI_FIBER_3">'[16]Hrg Bahan'!$N$195</definedName>
    <definedName name="TANGKI_FIBER_6">'[16]Hrg Bahan'!#REF!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>#REF!</definedName>
    <definedName name="TEMBOK_1_4">[16]Analisa!#REF!</definedName>
    <definedName name="TENAGA">[39]HBU!$E$443:$E$453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>#REF!</definedName>
    <definedName name="TOTAL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>#REF!</definedName>
    <definedName name="VITTING">'[16]Hrg Bahan'!#REF!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>#REF!</definedName>
    <definedName name="WATERTANKER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>#REF!</definedName>
    <definedName name="_xlnm.Print_Area" localSheetId="4">MODUS!$A$2:$M$162</definedName>
    <definedName name="_xlnm.Print_Area" localSheetId="17">'PESTISIDA (2)'!$A$1:$M$59</definedName>
    <definedName name="_xlnm.Print_Area" localSheetId="19">'PESTISIDA (3)'!$A$1:$M$42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 hidden="1">'TOKO BENGKEL'!$A$1:$N$71</definedName>
    <definedName name="D" localSheetId="22">#REF!</definedName>
    <definedName name="\X" localSheetId="22">#REF!</definedName>
    <definedName name="____________LLL01" localSheetId="22">#REF!</definedName>
    <definedName name="____________LLL02" localSheetId="22">#REF!</definedName>
    <definedName name="____________LLL03" localSheetId="22">#REF!</definedName>
    <definedName name="____________LLL04" localSheetId="22">#REF!</definedName>
    <definedName name="____________LLL05" localSheetId="22">#REF!</definedName>
    <definedName name="____________LLL06" localSheetId="22">#REF!</definedName>
    <definedName name="____________LLL07" localSheetId="22">#REF!</definedName>
    <definedName name="____________LLL08" localSheetId="22">#REF!</definedName>
    <definedName name="____________LLL09" localSheetId="22">#REF!</definedName>
    <definedName name="____________LLL10" localSheetId="22">#REF!</definedName>
    <definedName name="____________LLL11" localSheetId="22">#REF!</definedName>
    <definedName name="____________MMM01" localSheetId="22">#REF!</definedName>
    <definedName name="____________MMM02" localSheetId="22">#REF!</definedName>
    <definedName name="____________MMM03" localSheetId="22">#REF!</definedName>
    <definedName name="____________MMM04" localSheetId="22">#REF!</definedName>
    <definedName name="____________MMM05" localSheetId="22">#REF!</definedName>
    <definedName name="____________MMM06" localSheetId="22">#REF!</definedName>
    <definedName name="____________MMM07" localSheetId="22">#REF!</definedName>
    <definedName name="____________MMM08" localSheetId="22">#REF!</definedName>
    <definedName name="____________MMM09" localSheetId="22">#REF!</definedName>
    <definedName name="____________MMM10" localSheetId="22">#REF!</definedName>
    <definedName name="____________MMM11" localSheetId="22">#REF!</definedName>
    <definedName name="____________MMM12" localSheetId="22">#REF!</definedName>
    <definedName name="____________MMM13" localSheetId="22">#REF!</definedName>
    <definedName name="____________MMM14" localSheetId="22">#REF!</definedName>
    <definedName name="____________MMM15" localSheetId="22">#REF!</definedName>
    <definedName name="____________MMM16" localSheetId="22">#REF!</definedName>
    <definedName name="____________MMM17" localSheetId="22">#REF!</definedName>
    <definedName name="____________MMM18" localSheetId="22">#REF!</definedName>
    <definedName name="____________MMM19" localSheetId="22">#REF!</definedName>
    <definedName name="____________MMM20" localSheetId="22">#REF!</definedName>
    <definedName name="____________MMM21" localSheetId="22">#REF!</definedName>
    <definedName name="____________MMM22" localSheetId="22">#REF!</definedName>
    <definedName name="____________MMM23" localSheetId="22">#REF!</definedName>
    <definedName name="____________MMM24" localSheetId="22">#REF!</definedName>
    <definedName name="____________MMM25" localSheetId="22">#REF!</definedName>
    <definedName name="____________MMM26" localSheetId="22">#REF!</definedName>
    <definedName name="____________MMM27" localSheetId="22">#REF!</definedName>
    <definedName name="____________MMM28" localSheetId="22">#REF!</definedName>
    <definedName name="____________MMM29" localSheetId="22">#REF!</definedName>
    <definedName name="____________MMM30" localSheetId="22">#REF!</definedName>
    <definedName name="____________MMM31" localSheetId="22">#REF!</definedName>
    <definedName name="____________MMM32" localSheetId="22">#REF!</definedName>
    <definedName name="____________MMM33" localSheetId="22">#REF!</definedName>
    <definedName name="____________MMM34" localSheetId="22">#REF!</definedName>
    <definedName name="____________MMM35" localSheetId="22">#REF!</definedName>
    <definedName name="____________MMM36" localSheetId="22">#REF!</definedName>
    <definedName name="____________MMM37" localSheetId="22">#REF!</definedName>
    <definedName name="____________MMM38" localSheetId="22">#REF!</definedName>
    <definedName name="____________MMM39" localSheetId="22">#REF!</definedName>
    <definedName name="____________MMM40" localSheetId="22">#REF!</definedName>
    <definedName name="____________MMM41" localSheetId="22">#REF!</definedName>
    <definedName name="____________MMM411" localSheetId="22">#REF!</definedName>
    <definedName name="____________MMM42" localSheetId="22">#REF!</definedName>
    <definedName name="____________MMM43" localSheetId="22">#REF!</definedName>
    <definedName name="____________MMM44" localSheetId="22">#REF!</definedName>
    <definedName name="____________MMM45" localSheetId="22">#REF!</definedName>
    <definedName name="____________MMM46" localSheetId="22">#REF!</definedName>
    <definedName name="____________MMM47" localSheetId="22">#REF!</definedName>
    <definedName name="____________MMM48" localSheetId="22">#REF!</definedName>
    <definedName name="____________MMM49" localSheetId="22">#REF!</definedName>
    <definedName name="____________MMM50" localSheetId="22">#REF!</definedName>
    <definedName name="____________MMM51" localSheetId="22">#REF!</definedName>
    <definedName name="____________MMM52" localSheetId="22">#REF!</definedName>
    <definedName name="____________MMM53" localSheetId="22">#REF!</definedName>
    <definedName name="____________MMM54" localSheetId="22">#REF!</definedName>
    <definedName name="___________LLL01" localSheetId="22">#REF!</definedName>
    <definedName name="___________LLL02" localSheetId="22">#REF!</definedName>
    <definedName name="___________LLL03" localSheetId="22">#REF!</definedName>
    <definedName name="___________LLL04" localSheetId="22">#REF!</definedName>
    <definedName name="___________LLL05" localSheetId="22">#REF!</definedName>
    <definedName name="___________LLL06" localSheetId="22">#REF!</definedName>
    <definedName name="___________LLL07" localSheetId="22">#REF!</definedName>
    <definedName name="___________LLL08" localSheetId="22">#REF!</definedName>
    <definedName name="___________LLL09" localSheetId="22">#REF!</definedName>
    <definedName name="___________LLL10" localSheetId="22">#REF!</definedName>
    <definedName name="___________LLL11" localSheetId="22">#REF!</definedName>
    <definedName name="___________MMM01" localSheetId="22">#REF!</definedName>
    <definedName name="___________MMM02" localSheetId="22">#REF!</definedName>
    <definedName name="___________MMM03" localSheetId="22">#REF!</definedName>
    <definedName name="___________MMM04" localSheetId="22">#REF!</definedName>
    <definedName name="___________MMM05" localSheetId="22">#REF!</definedName>
    <definedName name="___________MMM06" localSheetId="22">#REF!</definedName>
    <definedName name="___________MMM07" localSheetId="22">#REF!</definedName>
    <definedName name="___________MMM08" localSheetId="22">#REF!</definedName>
    <definedName name="___________MMM09" localSheetId="22">#REF!</definedName>
    <definedName name="___________MMM10" localSheetId="22">#REF!</definedName>
    <definedName name="___________MMM11" localSheetId="22">#REF!</definedName>
    <definedName name="___________MMM12" localSheetId="22">#REF!</definedName>
    <definedName name="___________MMM13" localSheetId="22">#REF!</definedName>
    <definedName name="___________MMM14" localSheetId="22">#REF!</definedName>
    <definedName name="___________MMM15" localSheetId="22">#REF!</definedName>
    <definedName name="___________MMM16" localSheetId="22">#REF!</definedName>
    <definedName name="___________MMM17" localSheetId="22">#REF!</definedName>
    <definedName name="___________MMM18" localSheetId="22">#REF!</definedName>
    <definedName name="___________MMM19" localSheetId="22">#REF!</definedName>
    <definedName name="___________MMM20" localSheetId="22">#REF!</definedName>
    <definedName name="___________MMM21" localSheetId="22">#REF!</definedName>
    <definedName name="___________MMM22" localSheetId="22">#REF!</definedName>
    <definedName name="___________MMM23" localSheetId="22">#REF!</definedName>
    <definedName name="___________MMM24" localSheetId="22">#REF!</definedName>
    <definedName name="___________MMM25" localSheetId="22">#REF!</definedName>
    <definedName name="___________MMM26" localSheetId="22">#REF!</definedName>
    <definedName name="___________MMM27" localSheetId="22">#REF!</definedName>
    <definedName name="___________MMM28" localSheetId="22">#REF!</definedName>
    <definedName name="___________MMM29" localSheetId="22">#REF!</definedName>
    <definedName name="___________MMM30" localSheetId="22">#REF!</definedName>
    <definedName name="___________MMM31" localSheetId="22">#REF!</definedName>
    <definedName name="___________MMM32" localSheetId="22">#REF!</definedName>
    <definedName name="___________MMM33" localSheetId="22">#REF!</definedName>
    <definedName name="___________MMM34" localSheetId="22">#REF!</definedName>
    <definedName name="___________MMM35" localSheetId="22">#REF!</definedName>
    <definedName name="___________MMM36" localSheetId="22">#REF!</definedName>
    <definedName name="___________MMM37" localSheetId="22">#REF!</definedName>
    <definedName name="___________MMM38" localSheetId="22">#REF!</definedName>
    <definedName name="___________MMM39" localSheetId="22">#REF!</definedName>
    <definedName name="___________MMM40" localSheetId="22">#REF!</definedName>
    <definedName name="___________MMM41" localSheetId="22">#REF!</definedName>
    <definedName name="___________MMM411" localSheetId="22">#REF!</definedName>
    <definedName name="___________MMM42" localSheetId="22">#REF!</definedName>
    <definedName name="___________MMM43" localSheetId="22">#REF!</definedName>
    <definedName name="___________MMM44" localSheetId="22">#REF!</definedName>
    <definedName name="___________MMM45" localSheetId="22">#REF!</definedName>
    <definedName name="___________MMM46" localSheetId="22">#REF!</definedName>
    <definedName name="___________MMM47" localSheetId="22">#REF!</definedName>
    <definedName name="___________MMM48" localSheetId="22">#REF!</definedName>
    <definedName name="___________MMM49" localSheetId="22">#REF!</definedName>
    <definedName name="___________MMM50" localSheetId="22">#REF!</definedName>
    <definedName name="___________MMM51" localSheetId="22">#REF!</definedName>
    <definedName name="___________MMM52" localSheetId="22">#REF!</definedName>
    <definedName name="___________MMM53" localSheetId="22">#REF!</definedName>
    <definedName name="___________MMM54" localSheetId="22">#REF!</definedName>
    <definedName name="__________LLL01" localSheetId="22">#REF!</definedName>
    <definedName name="__________LLL02" localSheetId="22">#REF!</definedName>
    <definedName name="__________LLL03" localSheetId="22">#REF!</definedName>
    <definedName name="__________LLL04" localSheetId="22">#REF!</definedName>
    <definedName name="__________LLL05" localSheetId="22">#REF!</definedName>
    <definedName name="__________LLL06" localSheetId="22">#REF!</definedName>
    <definedName name="__________LLL07" localSheetId="22">#REF!</definedName>
    <definedName name="__________LLL08" localSheetId="22">#REF!</definedName>
    <definedName name="__________LLL09" localSheetId="22">#REF!</definedName>
    <definedName name="__________LLL10" localSheetId="22">#REF!</definedName>
    <definedName name="__________LLL11" localSheetId="22">#REF!</definedName>
    <definedName name="__________MMM01" localSheetId="22">#REF!</definedName>
    <definedName name="__________MMM02" localSheetId="22">#REF!</definedName>
    <definedName name="__________MMM03" localSheetId="22">#REF!</definedName>
    <definedName name="__________MMM04" localSheetId="22">#REF!</definedName>
    <definedName name="__________MMM05" localSheetId="22">#REF!</definedName>
    <definedName name="__________MMM06" localSheetId="22">#REF!</definedName>
    <definedName name="__________MMM07" localSheetId="22">#REF!</definedName>
    <definedName name="__________MMM08" localSheetId="22">#REF!</definedName>
    <definedName name="__________MMM09" localSheetId="22">#REF!</definedName>
    <definedName name="__________MMM10" localSheetId="22">#REF!</definedName>
    <definedName name="__________MMM11" localSheetId="22">#REF!</definedName>
    <definedName name="__________MMM12" localSheetId="22">#REF!</definedName>
    <definedName name="__________MMM13" localSheetId="22">#REF!</definedName>
    <definedName name="__________MMM14" localSheetId="22">#REF!</definedName>
    <definedName name="__________MMM15" localSheetId="22">#REF!</definedName>
    <definedName name="__________MMM16" localSheetId="22">#REF!</definedName>
    <definedName name="__________MMM17" localSheetId="22">#REF!</definedName>
    <definedName name="__________MMM18" localSheetId="22">#REF!</definedName>
    <definedName name="__________MMM19" localSheetId="22">#REF!</definedName>
    <definedName name="__________MMM20" localSheetId="22">#REF!</definedName>
    <definedName name="__________MMM21" localSheetId="22">#REF!</definedName>
    <definedName name="__________MMM22" localSheetId="22">#REF!</definedName>
    <definedName name="__________MMM23" localSheetId="22">#REF!</definedName>
    <definedName name="__________MMM24" localSheetId="22">#REF!</definedName>
    <definedName name="__________MMM25" localSheetId="22">#REF!</definedName>
    <definedName name="__________MMM26" localSheetId="22">#REF!</definedName>
    <definedName name="__________MMM27" localSheetId="22">#REF!</definedName>
    <definedName name="__________MMM28" localSheetId="22">#REF!</definedName>
    <definedName name="__________MMM29" localSheetId="22">#REF!</definedName>
    <definedName name="__________MMM30" localSheetId="22">#REF!</definedName>
    <definedName name="__________MMM31" localSheetId="22">#REF!</definedName>
    <definedName name="__________MMM32" localSheetId="22">#REF!</definedName>
    <definedName name="__________MMM33" localSheetId="22">#REF!</definedName>
    <definedName name="__________MMM34" localSheetId="22">#REF!</definedName>
    <definedName name="__________MMM35" localSheetId="22">#REF!</definedName>
    <definedName name="__________MMM36" localSheetId="22">#REF!</definedName>
    <definedName name="__________MMM37" localSheetId="22">#REF!</definedName>
    <definedName name="__________MMM38" localSheetId="22">#REF!</definedName>
    <definedName name="__________MMM39" localSheetId="22">#REF!</definedName>
    <definedName name="__________MMM40" localSheetId="22">#REF!</definedName>
    <definedName name="__________MMM41" localSheetId="22">#REF!</definedName>
    <definedName name="__________MMM411" localSheetId="22">#REF!</definedName>
    <definedName name="__________MMM42" localSheetId="22">#REF!</definedName>
    <definedName name="__________MMM43" localSheetId="22">#REF!</definedName>
    <definedName name="__________MMM44" localSheetId="22">#REF!</definedName>
    <definedName name="__________MMM45" localSheetId="22">#REF!</definedName>
    <definedName name="__________MMM46" localSheetId="22">#REF!</definedName>
    <definedName name="__________MMM47" localSheetId="22">#REF!</definedName>
    <definedName name="__________MMM48" localSheetId="22">#REF!</definedName>
    <definedName name="__________MMM49" localSheetId="22">#REF!</definedName>
    <definedName name="__________MMM50" localSheetId="22">#REF!</definedName>
    <definedName name="__________MMM51" localSheetId="22">#REF!</definedName>
    <definedName name="__________MMM52" localSheetId="22">#REF!</definedName>
    <definedName name="__________MMM53" localSheetId="22">#REF!</definedName>
    <definedName name="__________MMM54" localSheetId="22">#REF!</definedName>
    <definedName name="_________LLL01" localSheetId="22">#REF!</definedName>
    <definedName name="_________LLL02" localSheetId="22">#REF!</definedName>
    <definedName name="_________LLL03" localSheetId="22">#REF!</definedName>
    <definedName name="_________LLL04" localSheetId="22">#REF!</definedName>
    <definedName name="_________LLL05" localSheetId="22">#REF!</definedName>
    <definedName name="_________LLL06" localSheetId="22">#REF!</definedName>
    <definedName name="_________LLL07" localSheetId="22">#REF!</definedName>
    <definedName name="_________LLL08" localSheetId="22">#REF!</definedName>
    <definedName name="_________LLL09" localSheetId="22">#REF!</definedName>
    <definedName name="_________LLL10" localSheetId="22">#REF!</definedName>
    <definedName name="_________LLL11" localSheetId="22">#REF!</definedName>
    <definedName name="_________MMM01" localSheetId="22">#REF!</definedName>
    <definedName name="_________MMM02" localSheetId="22">#REF!</definedName>
    <definedName name="_________MMM03" localSheetId="22">#REF!</definedName>
    <definedName name="_________MMM04" localSheetId="22">#REF!</definedName>
    <definedName name="_________MMM05" localSheetId="22">#REF!</definedName>
    <definedName name="_________MMM06" localSheetId="22">#REF!</definedName>
    <definedName name="_________MMM07" localSheetId="22">#REF!</definedName>
    <definedName name="_________MMM08" localSheetId="22">#REF!</definedName>
    <definedName name="_________MMM09" localSheetId="22">#REF!</definedName>
    <definedName name="_________MMM10" localSheetId="22">#REF!</definedName>
    <definedName name="_________MMM11" localSheetId="22">#REF!</definedName>
    <definedName name="_________MMM12" localSheetId="22">#REF!</definedName>
    <definedName name="_________MMM13" localSheetId="22">#REF!</definedName>
    <definedName name="_________MMM14" localSheetId="22">#REF!</definedName>
    <definedName name="_________MMM15" localSheetId="22">#REF!</definedName>
    <definedName name="_________MMM16" localSheetId="22">#REF!</definedName>
    <definedName name="_________MMM17" localSheetId="22">#REF!</definedName>
    <definedName name="_________MMM18" localSheetId="22">#REF!</definedName>
    <definedName name="_________MMM19" localSheetId="22">#REF!</definedName>
    <definedName name="_________MMM20" localSheetId="22">#REF!</definedName>
    <definedName name="_________MMM21" localSheetId="22">#REF!</definedName>
    <definedName name="_________MMM22" localSheetId="22">#REF!</definedName>
    <definedName name="_________MMM23" localSheetId="22">#REF!</definedName>
    <definedName name="_________MMM24" localSheetId="22">#REF!</definedName>
    <definedName name="_________MMM25" localSheetId="22">#REF!</definedName>
    <definedName name="_________MMM26" localSheetId="22">#REF!</definedName>
    <definedName name="_________MMM27" localSheetId="22">#REF!</definedName>
    <definedName name="_________MMM28" localSheetId="22">#REF!</definedName>
    <definedName name="_________MMM29" localSheetId="22">#REF!</definedName>
    <definedName name="_________MMM30" localSheetId="22">#REF!</definedName>
    <definedName name="_________MMM31" localSheetId="22">#REF!</definedName>
    <definedName name="_________MMM32" localSheetId="22">#REF!</definedName>
    <definedName name="_________MMM33" localSheetId="22">#REF!</definedName>
    <definedName name="_________MMM34" localSheetId="22">#REF!</definedName>
    <definedName name="_________MMM35" localSheetId="22">#REF!</definedName>
    <definedName name="_________MMM36" localSheetId="22">#REF!</definedName>
    <definedName name="_________MMM37" localSheetId="22">#REF!</definedName>
    <definedName name="_________MMM38" localSheetId="22">#REF!</definedName>
    <definedName name="_________MMM39" localSheetId="22">#REF!</definedName>
    <definedName name="_________MMM40" localSheetId="22">#REF!</definedName>
    <definedName name="_________MMM41" localSheetId="22">#REF!</definedName>
    <definedName name="_________MMM411" localSheetId="22">#REF!</definedName>
    <definedName name="_________MMM42" localSheetId="22">#REF!</definedName>
    <definedName name="_________MMM43" localSheetId="22">#REF!</definedName>
    <definedName name="_________MMM44" localSheetId="22">#REF!</definedName>
    <definedName name="_________MMM45" localSheetId="22">#REF!</definedName>
    <definedName name="_________MMM46" localSheetId="22">#REF!</definedName>
    <definedName name="_________MMM47" localSheetId="22">#REF!</definedName>
    <definedName name="_________MMM48" localSheetId="22">#REF!</definedName>
    <definedName name="_________MMM49" localSheetId="22">#REF!</definedName>
    <definedName name="_________MMM50" localSheetId="22">#REF!</definedName>
    <definedName name="_________MMM51" localSheetId="22">#REF!</definedName>
    <definedName name="_________MMM52" localSheetId="22">#REF!</definedName>
    <definedName name="_________MMM53" localSheetId="22">#REF!</definedName>
    <definedName name="_________MMM54" localSheetId="22">#REF!</definedName>
    <definedName name="________LLL01" localSheetId="22">#REF!</definedName>
    <definedName name="________LLL02" localSheetId="22">#REF!</definedName>
    <definedName name="________LLL03" localSheetId="22">#REF!</definedName>
    <definedName name="________LLL04" localSheetId="22">#REF!</definedName>
    <definedName name="________LLL05" localSheetId="22">#REF!</definedName>
    <definedName name="________LLL06" localSheetId="22">#REF!</definedName>
    <definedName name="________LLL07" localSheetId="22">#REF!</definedName>
    <definedName name="________LLL08" localSheetId="22">#REF!</definedName>
    <definedName name="________LLL09" localSheetId="22">#REF!</definedName>
    <definedName name="________LLL10" localSheetId="22">#REF!</definedName>
    <definedName name="________LLL11" localSheetId="22">#REF!</definedName>
    <definedName name="________MMM01" localSheetId="22">#REF!</definedName>
    <definedName name="________MMM02" localSheetId="22">#REF!</definedName>
    <definedName name="________MMM03" localSheetId="22">#REF!</definedName>
    <definedName name="________MMM04" localSheetId="22">#REF!</definedName>
    <definedName name="________MMM05" localSheetId="22">#REF!</definedName>
    <definedName name="________MMM06" localSheetId="22">#REF!</definedName>
    <definedName name="________MMM07" localSheetId="22">#REF!</definedName>
    <definedName name="________MMM08" localSheetId="22">#REF!</definedName>
    <definedName name="________MMM09" localSheetId="22">#REF!</definedName>
    <definedName name="________MMM10" localSheetId="22">#REF!</definedName>
    <definedName name="________MMM11" localSheetId="22">#REF!</definedName>
    <definedName name="________MMM12" localSheetId="22">#REF!</definedName>
    <definedName name="________MMM13" localSheetId="22">#REF!</definedName>
    <definedName name="________MMM14" localSheetId="22">#REF!</definedName>
    <definedName name="________MMM15" localSheetId="22">#REF!</definedName>
    <definedName name="________MMM16" localSheetId="22">#REF!</definedName>
    <definedName name="________MMM17" localSheetId="22">#REF!</definedName>
    <definedName name="________MMM18" localSheetId="22">#REF!</definedName>
    <definedName name="________MMM19" localSheetId="22">#REF!</definedName>
    <definedName name="________MMM20" localSheetId="22">#REF!</definedName>
    <definedName name="________MMM21" localSheetId="22">#REF!</definedName>
    <definedName name="________MMM22" localSheetId="22">#REF!</definedName>
    <definedName name="________MMM23" localSheetId="22">#REF!</definedName>
    <definedName name="________MMM24" localSheetId="22">#REF!</definedName>
    <definedName name="________MMM25" localSheetId="22">#REF!</definedName>
    <definedName name="________MMM26" localSheetId="22">#REF!</definedName>
    <definedName name="________MMM27" localSheetId="22">#REF!</definedName>
    <definedName name="________MMM28" localSheetId="22">#REF!</definedName>
    <definedName name="________MMM29" localSheetId="22">#REF!</definedName>
    <definedName name="________MMM30" localSheetId="22">#REF!</definedName>
    <definedName name="________MMM31" localSheetId="22">#REF!</definedName>
    <definedName name="________MMM32" localSheetId="22">#REF!</definedName>
    <definedName name="________MMM33" localSheetId="22">#REF!</definedName>
    <definedName name="________MMM34" localSheetId="22">#REF!</definedName>
    <definedName name="________MMM35" localSheetId="22">#REF!</definedName>
    <definedName name="________MMM36" localSheetId="22">#REF!</definedName>
    <definedName name="________MMM37" localSheetId="22">#REF!</definedName>
    <definedName name="________MMM38" localSheetId="22">#REF!</definedName>
    <definedName name="________MMM39" localSheetId="22">#REF!</definedName>
    <definedName name="________MMM40" localSheetId="22">#REF!</definedName>
    <definedName name="________MMM41" localSheetId="22">#REF!</definedName>
    <definedName name="________MMM411" localSheetId="22">#REF!</definedName>
    <definedName name="________MMM42" localSheetId="22">#REF!</definedName>
    <definedName name="________MMM43" localSheetId="22">#REF!</definedName>
    <definedName name="________MMM44" localSheetId="22">#REF!</definedName>
    <definedName name="________MMM45" localSheetId="22">#REF!</definedName>
    <definedName name="________MMM46" localSheetId="22">#REF!</definedName>
    <definedName name="________MMM47" localSheetId="22">#REF!</definedName>
    <definedName name="________MMM48" localSheetId="22">#REF!</definedName>
    <definedName name="________MMM49" localSheetId="22">#REF!</definedName>
    <definedName name="________MMM50" localSheetId="22">#REF!</definedName>
    <definedName name="________MMM51" localSheetId="22">#REF!</definedName>
    <definedName name="________MMM52" localSheetId="22">#REF!</definedName>
    <definedName name="________MMM53" localSheetId="22">#REF!</definedName>
    <definedName name="________MMM54" localSheetId="22">#REF!</definedName>
    <definedName name="_______LLL01" localSheetId="22">#REF!</definedName>
    <definedName name="_______LLL02" localSheetId="22">#REF!</definedName>
    <definedName name="_______LLL03" localSheetId="22">#REF!</definedName>
    <definedName name="_______LLL04" localSheetId="22">#REF!</definedName>
    <definedName name="_______LLL05" localSheetId="22">#REF!</definedName>
    <definedName name="_______LLL06" localSheetId="22">#REF!</definedName>
    <definedName name="_______LLL07" localSheetId="22">#REF!</definedName>
    <definedName name="_______LLL08" localSheetId="22">#REF!</definedName>
    <definedName name="_______LLL09" localSheetId="22">#REF!</definedName>
    <definedName name="_______LLL10" localSheetId="22">#REF!</definedName>
    <definedName name="_______LLL11" localSheetId="22">#REF!</definedName>
    <definedName name="_______MMM01" localSheetId="22">#REF!</definedName>
    <definedName name="_______MMM02" localSheetId="22">#REF!</definedName>
    <definedName name="_______MMM03" localSheetId="22">#REF!</definedName>
    <definedName name="_______MMM04" localSheetId="22">#REF!</definedName>
    <definedName name="_______MMM05" localSheetId="22">#REF!</definedName>
    <definedName name="_______MMM06" localSheetId="22">#REF!</definedName>
    <definedName name="_______MMM07" localSheetId="22">#REF!</definedName>
    <definedName name="_______MMM08" localSheetId="22">#REF!</definedName>
    <definedName name="_______MMM09" localSheetId="22">#REF!</definedName>
    <definedName name="_______MMM10" localSheetId="22">#REF!</definedName>
    <definedName name="_______MMM11" localSheetId="22">#REF!</definedName>
    <definedName name="_______MMM12" localSheetId="22">#REF!</definedName>
    <definedName name="_______MMM13" localSheetId="22">#REF!</definedName>
    <definedName name="_______MMM14" localSheetId="22">#REF!</definedName>
    <definedName name="_______MMM15" localSheetId="22">#REF!</definedName>
    <definedName name="_______MMM16" localSheetId="22">#REF!</definedName>
    <definedName name="_______MMM17" localSheetId="22">#REF!</definedName>
    <definedName name="_______MMM18" localSheetId="22">#REF!</definedName>
    <definedName name="_______MMM19" localSheetId="22">#REF!</definedName>
    <definedName name="_______MMM20" localSheetId="22">#REF!</definedName>
    <definedName name="_______MMM21" localSheetId="22">#REF!</definedName>
    <definedName name="_______MMM22" localSheetId="22">#REF!</definedName>
    <definedName name="_______MMM23" localSheetId="22">#REF!</definedName>
    <definedName name="_______MMM24" localSheetId="22">#REF!</definedName>
    <definedName name="_______MMM25" localSheetId="22">#REF!</definedName>
    <definedName name="_______MMM26" localSheetId="22">#REF!</definedName>
    <definedName name="_______MMM27" localSheetId="22">#REF!</definedName>
    <definedName name="_______MMM28" localSheetId="22">#REF!</definedName>
    <definedName name="_______MMM29" localSheetId="22">#REF!</definedName>
    <definedName name="_______MMM30" localSheetId="22">#REF!</definedName>
    <definedName name="_______MMM31" localSheetId="22">#REF!</definedName>
    <definedName name="_______MMM32" localSheetId="22">#REF!</definedName>
    <definedName name="_______MMM33" localSheetId="22">#REF!</definedName>
    <definedName name="_______MMM34" localSheetId="22">#REF!</definedName>
    <definedName name="_______MMM35" localSheetId="22">#REF!</definedName>
    <definedName name="_______MMM36" localSheetId="22">#REF!</definedName>
    <definedName name="_______MMM37" localSheetId="22">#REF!</definedName>
    <definedName name="_______MMM38" localSheetId="22">#REF!</definedName>
    <definedName name="_______MMM39" localSheetId="22">#REF!</definedName>
    <definedName name="_______MMM40" localSheetId="22">#REF!</definedName>
    <definedName name="_______MMM41" localSheetId="22">#REF!</definedName>
    <definedName name="_______MMM411" localSheetId="22">#REF!</definedName>
    <definedName name="_______MMM42" localSheetId="22">#REF!</definedName>
    <definedName name="_______MMM43" localSheetId="22">#REF!</definedName>
    <definedName name="_______MMM44" localSheetId="22">#REF!</definedName>
    <definedName name="_______MMM45" localSheetId="22">#REF!</definedName>
    <definedName name="_______MMM46" localSheetId="22">#REF!</definedName>
    <definedName name="_______MMM47" localSheetId="22">#REF!</definedName>
    <definedName name="_______MMM48" localSheetId="22">#REF!</definedName>
    <definedName name="_______MMM49" localSheetId="22">#REF!</definedName>
    <definedName name="_______MMM50" localSheetId="22">#REF!</definedName>
    <definedName name="_______MMM51" localSheetId="22">#REF!</definedName>
    <definedName name="_______MMM52" localSheetId="22">#REF!</definedName>
    <definedName name="_______MMM53" localSheetId="22">#REF!</definedName>
    <definedName name="_______MMM54" localSheetId="22">#REF!</definedName>
    <definedName name="______LLL01" localSheetId="22">#REF!</definedName>
    <definedName name="______LLL02" localSheetId="22">#REF!</definedName>
    <definedName name="______LLL03" localSheetId="22">#REF!</definedName>
    <definedName name="______LLL04" localSheetId="22">#REF!</definedName>
    <definedName name="______LLL05" localSheetId="22">#REF!</definedName>
    <definedName name="______LLL06" localSheetId="22">#REF!</definedName>
    <definedName name="______LLL07" localSheetId="22">#REF!</definedName>
    <definedName name="______LLL08" localSheetId="22">#REF!</definedName>
    <definedName name="______LLL09" localSheetId="22">#REF!</definedName>
    <definedName name="______LLL10" localSheetId="22">#REF!</definedName>
    <definedName name="______LLL11" localSheetId="22">#REF!</definedName>
    <definedName name="______MMM01" localSheetId="22">#REF!</definedName>
    <definedName name="______MMM02" localSheetId="22">#REF!</definedName>
    <definedName name="______MMM03" localSheetId="22">#REF!</definedName>
    <definedName name="______MMM04" localSheetId="22">#REF!</definedName>
    <definedName name="______MMM05" localSheetId="22">#REF!</definedName>
    <definedName name="______MMM06" localSheetId="22">#REF!</definedName>
    <definedName name="______MMM07" localSheetId="22">#REF!</definedName>
    <definedName name="______MMM08" localSheetId="22">#REF!</definedName>
    <definedName name="______MMM09" localSheetId="22">#REF!</definedName>
    <definedName name="______MMM10" localSheetId="22">#REF!</definedName>
    <definedName name="______MMM11" localSheetId="22">#REF!</definedName>
    <definedName name="______MMM12" localSheetId="22">#REF!</definedName>
    <definedName name="______MMM13" localSheetId="22">#REF!</definedName>
    <definedName name="______MMM14" localSheetId="22">#REF!</definedName>
    <definedName name="______MMM15" localSheetId="22">#REF!</definedName>
    <definedName name="______MMM16" localSheetId="22">#REF!</definedName>
    <definedName name="______MMM17" localSheetId="22">#REF!</definedName>
    <definedName name="______MMM18" localSheetId="22">#REF!</definedName>
    <definedName name="______MMM19" localSheetId="22">#REF!</definedName>
    <definedName name="______MMM20" localSheetId="22">#REF!</definedName>
    <definedName name="______MMM21" localSheetId="22">#REF!</definedName>
    <definedName name="______MMM22" localSheetId="22">#REF!</definedName>
    <definedName name="______MMM23" localSheetId="22">#REF!</definedName>
    <definedName name="______MMM24" localSheetId="22">#REF!</definedName>
    <definedName name="______MMM25" localSheetId="22">#REF!</definedName>
    <definedName name="______MMM26" localSheetId="22">#REF!</definedName>
    <definedName name="______MMM27" localSheetId="22">#REF!</definedName>
    <definedName name="______MMM28" localSheetId="22">#REF!</definedName>
    <definedName name="______MMM29" localSheetId="22">#REF!</definedName>
    <definedName name="______MMM30" localSheetId="22">#REF!</definedName>
    <definedName name="______MMM31" localSheetId="22">#REF!</definedName>
    <definedName name="______MMM32" localSheetId="22">#REF!</definedName>
    <definedName name="______MMM33" localSheetId="22">#REF!</definedName>
    <definedName name="______MMM34" localSheetId="22">#REF!</definedName>
    <definedName name="______MMM35" localSheetId="22">#REF!</definedName>
    <definedName name="______MMM36" localSheetId="22">#REF!</definedName>
    <definedName name="______MMM37" localSheetId="22">#REF!</definedName>
    <definedName name="______MMM38" localSheetId="22">#REF!</definedName>
    <definedName name="______MMM39" localSheetId="22">#REF!</definedName>
    <definedName name="______MMM40" localSheetId="22">#REF!</definedName>
    <definedName name="______MMM41" localSheetId="22">#REF!</definedName>
    <definedName name="______MMM411" localSheetId="22">#REF!</definedName>
    <definedName name="______MMM42" localSheetId="22">#REF!</definedName>
    <definedName name="______MMM43" localSheetId="22">#REF!</definedName>
    <definedName name="______MMM44" localSheetId="22">#REF!</definedName>
    <definedName name="______MMM45" localSheetId="22">#REF!</definedName>
    <definedName name="______MMM46" localSheetId="22">#REF!</definedName>
    <definedName name="______MMM47" localSheetId="22">#REF!</definedName>
    <definedName name="______MMM48" localSheetId="22">#REF!</definedName>
    <definedName name="______MMM49" localSheetId="22">#REF!</definedName>
    <definedName name="______MMM50" localSheetId="22">#REF!</definedName>
    <definedName name="______MMM51" localSheetId="22">#REF!</definedName>
    <definedName name="______MMM52" localSheetId="22">#REF!</definedName>
    <definedName name="______MMM53" localSheetId="22">#REF!</definedName>
    <definedName name="______MMM54" localSheetId="22">#REF!</definedName>
    <definedName name="_____LLL01" localSheetId="22">#REF!</definedName>
    <definedName name="_____LLL02" localSheetId="22">#REF!</definedName>
    <definedName name="_____LLL03" localSheetId="22">#REF!</definedName>
    <definedName name="_____LLL04" localSheetId="22">#REF!</definedName>
    <definedName name="_____LLL05" localSheetId="22">#REF!</definedName>
    <definedName name="_____LLL06" localSheetId="22">#REF!</definedName>
    <definedName name="_____LLL07" localSheetId="22">#REF!</definedName>
    <definedName name="_____LLL08" localSheetId="22">#REF!</definedName>
    <definedName name="_____LLL09" localSheetId="22">#REF!</definedName>
    <definedName name="_____LLL10" localSheetId="22">#REF!</definedName>
    <definedName name="_____LLL11" localSheetId="22">#REF!</definedName>
    <definedName name="_____MMM01" localSheetId="22">#REF!</definedName>
    <definedName name="_____MMM02" localSheetId="22">#REF!</definedName>
    <definedName name="_____MMM03" localSheetId="22">#REF!</definedName>
    <definedName name="_____MMM04" localSheetId="22">#REF!</definedName>
    <definedName name="_____MMM05" localSheetId="22">#REF!</definedName>
    <definedName name="_____MMM06" localSheetId="22">#REF!</definedName>
    <definedName name="_____MMM07" localSheetId="22">#REF!</definedName>
    <definedName name="_____MMM08" localSheetId="22">#REF!</definedName>
    <definedName name="_____MMM09" localSheetId="22">#REF!</definedName>
    <definedName name="_____MMM10" localSheetId="22">#REF!</definedName>
    <definedName name="_____MMM11" localSheetId="22">#REF!</definedName>
    <definedName name="_____MMM12" localSheetId="22">#REF!</definedName>
    <definedName name="_____MMM13" localSheetId="22">#REF!</definedName>
    <definedName name="_____MMM14" localSheetId="22">#REF!</definedName>
    <definedName name="_____MMM15" localSheetId="22">#REF!</definedName>
    <definedName name="_____MMM16" localSheetId="22">#REF!</definedName>
    <definedName name="_____MMM17" localSheetId="22">#REF!</definedName>
    <definedName name="_____MMM18" localSheetId="22">#REF!</definedName>
    <definedName name="_____MMM19" localSheetId="22">#REF!</definedName>
    <definedName name="_____MMM20" localSheetId="22">#REF!</definedName>
    <definedName name="_____MMM21" localSheetId="22">#REF!</definedName>
    <definedName name="_____MMM22" localSheetId="22">#REF!</definedName>
    <definedName name="_____MMM23" localSheetId="22">#REF!</definedName>
    <definedName name="_____MMM24" localSheetId="22">#REF!</definedName>
    <definedName name="_____MMM25" localSheetId="22">#REF!</definedName>
    <definedName name="_____MMM26" localSheetId="22">#REF!</definedName>
    <definedName name="_____MMM27" localSheetId="22">#REF!</definedName>
    <definedName name="_____MMM28" localSheetId="22">#REF!</definedName>
    <definedName name="_____MMM29" localSheetId="22">#REF!</definedName>
    <definedName name="_____MMM30" localSheetId="22">#REF!</definedName>
    <definedName name="_____MMM31" localSheetId="22">#REF!</definedName>
    <definedName name="_____MMM32" localSheetId="22">#REF!</definedName>
    <definedName name="_____MMM33" localSheetId="22">#REF!</definedName>
    <definedName name="_____MMM34" localSheetId="22">#REF!</definedName>
    <definedName name="_____MMM35" localSheetId="22">#REF!</definedName>
    <definedName name="_____MMM36" localSheetId="22">#REF!</definedName>
    <definedName name="_____MMM37" localSheetId="22">#REF!</definedName>
    <definedName name="_____MMM38" localSheetId="22">#REF!</definedName>
    <definedName name="_____MMM39" localSheetId="22">#REF!</definedName>
    <definedName name="_____MMM40" localSheetId="22">#REF!</definedName>
    <definedName name="_____MMM41" localSheetId="22">#REF!</definedName>
    <definedName name="_____MMM411" localSheetId="22">#REF!</definedName>
    <definedName name="_____MMM42" localSheetId="22">#REF!</definedName>
    <definedName name="_____MMM43" localSheetId="22">#REF!</definedName>
    <definedName name="_____MMM44" localSheetId="22">#REF!</definedName>
    <definedName name="_____MMM45" localSheetId="22">#REF!</definedName>
    <definedName name="_____MMM46" localSheetId="22">#REF!</definedName>
    <definedName name="_____MMM47" localSheetId="22">#REF!</definedName>
    <definedName name="_____MMM48" localSheetId="22">#REF!</definedName>
    <definedName name="_____MMM49" localSheetId="22">#REF!</definedName>
    <definedName name="_____MMM50" localSheetId="22">#REF!</definedName>
    <definedName name="_____MMM51" localSheetId="22">#REF!</definedName>
    <definedName name="_____MMM52" localSheetId="22">#REF!</definedName>
    <definedName name="_____MMM53" localSheetId="22">#REF!</definedName>
    <definedName name="_____MMM54" localSheetId="22">#REF!</definedName>
    <definedName name="____LLL01" localSheetId="22">#REF!</definedName>
    <definedName name="____LLL02" localSheetId="22">#REF!</definedName>
    <definedName name="____LLL03" localSheetId="22">#REF!</definedName>
    <definedName name="____LLL04" localSheetId="22">#REF!</definedName>
    <definedName name="____LLL05" localSheetId="22">#REF!</definedName>
    <definedName name="____LLL06" localSheetId="22">#REF!</definedName>
    <definedName name="____LLL07" localSheetId="22">#REF!</definedName>
    <definedName name="____LLL08" localSheetId="22">#REF!</definedName>
    <definedName name="____LLL09" localSheetId="22">#REF!</definedName>
    <definedName name="____LLL10" localSheetId="22">#REF!</definedName>
    <definedName name="____LLL11" localSheetId="22">#REF!</definedName>
    <definedName name="____MMM01" localSheetId="22">#REF!</definedName>
    <definedName name="____MMM02" localSheetId="22">#REF!</definedName>
    <definedName name="____MMM03" localSheetId="22">#REF!</definedName>
    <definedName name="____MMM04" localSheetId="22">#REF!</definedName>
    <definedName name="____MMM05" localSheetId="22">#REF!</definedName>
    <definedName name="____MMM06" localSheetId="22">#REF!</definedName>
    <definedName name="____MMM07" localSheetId="22">#REF!</definedName>
    <definedName name="____MMM08" localSheetId="22">#REF!</definedName>
    <definedName name="____MMM09" localSheetId="22">#REF!</definedName>
    <definedName name="____MMM10" localSheetId="22">#REF!</definedName>
    <definedName name="____MMM11" localSheetId="22">#REF!</definedName>
    <definedName name="____MMM12" localSheetId="22">#REF!</definedName>
    <definedName name="____MMM13" localSheetId="22">#REF!</definedName>
    <definedName name="____MMM14" localSheetId="22">#REF!</definedName>
    <definedName name="____MMM15" localSheetId="22">#REF!</definedName>
    <definedName name="____MMM16" localSheetId="22">#REF!</definedName>
    <definedName name="____MMM17" localSheetId="22">#REF!</definedName>
    <definedName name="____MMM18" localSheetId="22">#REF!</definedName>
    <definedName name="____MMM19" localSheetId="22">#REF!</definedName>
    <definedName name="____MMM20" localSheetId="22">#REF!</definedName>
    <definedName name="____MMM21" localSheetId="22">#REF!</definedName>
    <definedName name="____MMM22" localSheetId="22">#REF!</definedName>
    <definedName name="____MMM23" localSheetId="22">#REF!</definedName>
    <definedName name="____MMM24" localSheetId="22">#REF!</definedName>
    <definedName name="____MMM25" localSheetId="22">#REF!</definedName>
    <definedName name="____MMM26" localSheetId="22">#REF!</definedName>
    <definedName name="____MMM27" localSheetId="22">#REF!</definedName>
    <definedName name="____MMM28" localSheetId="22">#REF!</definedName>
    <definedName name="____MMM29" localSheetId="22">#REF!</definedName>
    <definedName name="____MMM30" localSheetId="22">#REF!</definedName>
    <definedName name="____MMM31" localSheetId="22">#REF!</definedName>
    <definedName name="____MMM32" localSheetId="22">#REF!</definedName>
    <definedName name="____MMM33" localSheetId="22">#REF!</definedName>
    <definedName name="____MMM34" localSheetId="22">#REF!</definedName>
    <definedName name="____MMM35" localSheetId="22">#REF!</definedName>
    <definedName name="____MMM36" localSheetId="22">#REF!</definedName>
    <definedName name="____MMM37" localSheetId="22">#REF!</definedName>
    <definedName name="____MMM38" localSheetId="22">#REF!</definedName>
    <definedName name="____MMM39" localSheetId="22">#REF!</definedName>
    <definedName name="____MMM40" localSheetId="22">#REF!</definedName>
    <definedName name="____MMM41" localSheetId="22">#REF!</definedName>
    <definedName name="____MMM411" localSheetId="22">#REF!</definedName>
    <definedName name="____MMM42" localSheetId="22">#REF!</definedName>
    <definedName name="____MMM43" localSheetId="22">#REF!</definedName>
    <definedName name="____MMM44" localSheetId="22">#REF!</definedName>
    <definedName name="____MMM45" localSheetId="22">#REF!</definedName>
    <definedName name="____MMM46" localSheetId="22">#REF!</definedName>
    <definedName name="____MMM47" localSheetId="22">#REF!</definedName>
    <definedName name="____MMM48" localSheetId="22">#REF!</definedName>
    <definedName name="____MMM49" localSheetId="22">#REF!</definedName>
    <definedName name="____MMM50" localSheetId="22">#REF!</definedName>
    <definedName name="____MMM51" localSheetId="22">#REF!</definedName>
    <definedName name="____MMM52" localSheetId="22">#REF!</definedName>
    <definedName name="____MMM53" localSheetId="22">#REF!</definedName>
    <definedName name="____MMM54" localSheetId="22">#REF!</definedName>
    <definedName name="___MDE26" localSheetId="22">#REF!</definedName>
    <definedName name="___ME26" localSheetId="22">#REF!</definedName>
    <definedName name="__HAL1" localSheetId="22">#REF!</definedName>
    <definedName name="__MDE26" localSheetId="22">#REF!</definedName>
    <definedName name="__ME26" localSheetId="22">#REF!</definedName>
    <definedName name="__sp606" localSheetId="22">#REF!</definedName>
    <definedName name="_110" localSheetId="22">#REF!</definedName>
    <definedName name="_210" localSheetId="22">#REF!</definedName>
    <definedName name="_224" localSheetId="22">#REF!</definedName>
    <definedName name="_225" localSheetId="22">#REF!</definedName>
    <definedName name="_310" localSheetId="22">#REF!</definedName>
    <definedName name="_410" localSheetId="22">#REF!</definedName>
    <definedName name="_424" localSheetId="22">#REF!</definedName>
    <definedName name="_514" localSheetId="22">#REF!</definedName>
    <definedName name="_705" localSheetId="22">#REF!</definedName>
    <definedName name="_EEE01" localSheetId="22">#REF!</definedName>
    <definedName name="_EEE03" localSheetId="22">#REF!</definedName>
    <definedName name="_EEE04" localSheetId="22">#REF!</definedName>
    <definedName name="_EEE12" localSheetId="22">#REF!</definedName>
    <definedName name="_EEE14" localSheetId="22">#REF!</definedName>
    <definedName name="_EEE15" localSheetId="22">#REF!</definedName>
    <definedName name="_EEE18" localSheetId="22">#REF!</definedName>
    <definedName name="_EEE19" localSheetId="22">#REF!</definedName>
    <definedName name="_EEE20" localSheetId="22">#REF!</definedName>
    <definedName name="_EEE21" localSheetId="22">#REF!</definedName>
    <definedName name="_EEE22" localSheetId="22">#REF!</definedName>
    <definedName name="_EEE24" localSheetId="22">#REF!</definedName>
    <definedName name="_EEE25" localSheetId="22">#REF!</definedName>
    <definedName name="_EEE26" localSheetId="22">#REF!</definedName>
    <definedName name="_EEE28" localSheetId="22">#REF!</definedName>
    <definedName name="_EEE30" localSheetId="22">#REF!</definedName>
    <definedName name="_EEE32" localSheetId="22">#REF!</definedName>
    <definedName name="_EEE33" localSheetId="22">#REF!</definedName>
    <definedName name="_Fill" localSheetId="22" hidden="1">#REF!</definedName>
    <definedName name="_HAL1" localSheetId="22">#REF!</definedName>
    <definedName name="_Key1" localSheetId="22" hidden="1">#REF!</definedName>
    <definedName name="_Key2" localSheetId="22" hidden="1">#REF!</definedName>
    <definedName name="_MDE26" localSheetId="22">#REF!</definedName>
    <definedName name="_ME26" localSheetId="22">#REF!</definedName>
    <definedName name="_Sort" localSheetId="22" hidden="1">#REF!</definedName>
    <definedName name="_sp606" localSheetId="22">#REF!</definedName>
    <definedName name="_Table1_In1" localSheetId="22" hidden="1">#REF!</definedName>
    <definedName name="_Table1_Out" localSheetId="22" hidden="1">#REF!</definedName>
    <definedName name="_Table2_In1" localSheetId="22" hidden="1">#REF!</definedName>
    <definedName name="_Table2_In2" localSheetId="22" hidden="1">#REF!</definedName>
    <definedName name="_Table2_Out" localSheetId="22" hidden="1">#REF!</definedName>
    <definedName name="A.1" localSheetId="22">#REF!</definedName>
    <definedName name="A.16" localSheetId="22">#REF!</definedName>
    <definedName name="A.18_PASIR" localSheetId="22">#REF!</definedName>
    <definedName name="A.18_TANAH" localSheetId="22">#REF!</definedName>
    <definedName name="A.2" localSheetId="22">#REF!</definedName>
    <definedName name="A.4" localSheetId="22">#REF!</definedName>
    <definedName name="A_1" localSheetId="22">#REF!</definedName>
    <definedName name="AAA" localSheetId="22">#REF!</definedName>
    <definedName name="adsdsd" localSheetId="22">#REF!</definedName>
    <definedName name="alat" localSheetId="22">#REF!</definedName>
    <definedName name="ALATUTAMA" localSheetId="22">#REF!</definedName>
    <definedName name="AMP" localSheetId="22">#REF!</definedName>
    <definedName name="AN.1" localSheetId="22">#REF!</definedName>
    <definedName name="april" localSheetId="22">#REF!</definedName>
    <definedName name="asdasd" localSheetId="22">#REF!</definedName>
    <definedName name="ATAP" localSheetId="22">#REF!</definedName>
    <definedName name="bb" localSheetId="22">#REF!</definedName>
    <definedName name="bbb" localSheetId="22">#REF!</definedName>
    <definedName name="BET_NON_STRUK" localSheetId="22">#REF!</definedName>
    <definedName name="bhn" localSheetId="22">#REF!</definedName>
    <definedName name="BHN.MAROS" localSheetId="22">#REF!</definedName>
    <definedName name="bhn.maros1" localSheetId="22">#REF!</definedName>
    <definedName name="bhn.pangkep" localSheetId="22">#REF!</definedName>
    <definedName name="bnb" localSheetId="22">#REF!</definedName>
    <definedName name="BULLDOZER" localSheetId="22">#REF!</definedName>
    <definedName name="CAT" localSheetId="22">#REF!</definedName>
    <definedName name="CCCC" localSheetId="22" hidden="1">#REF!</definedName>
    <definedName name="COMPRESSOR" localSheetId="22">#REF!</definedName>
    <definedName name="CONCRETEMIXER" localSheetId="22">#REF!</definedName>
    <definedName name="CONCRETEVIBRO" localSheetId="22">#REF!</definedName>
    <definedName name="CRANE" localSheetId="22">#REF!</definedName>
    <definedName name="DAFTARSEWA" localSheetId="22">#REF!</definedName>
    <definedName name="dd" localSheetId="22" hidden="1">#REF!</definedName>
    <definedName name="dddd" localSheetId="22" hidden="1">#REF!</definedName>
    <definedName name="deuicker" localSheetId="22">#REF!</definedName>
    <definedName name="Dibuat_tgl" localSheetId="22">#REF!</definedName>
    <definedName name="DINDING" localSheetId="22">#REF!</definedName>
    <definedName name="Disiapkan_oleh" localSheetId="22">#REF!</definedName>
    <definedName name="DUMPTRUCK1" localSheetId="22">#REF!</definedName>
    <definedName name="DUMPTRUCK2" localSheetId="22">#REF!</definedName>
    <definedName name="E.13" localSheetId="22">#REF!</definedName>
    <definedName name="E_001" localSheetId="22">#REF!</definedName>
    <definedName name="E_010" localSheetId="22">#REF!</definedName>
    <definedName name="E_031" localSheetId="22">#REF!</definedName>
    <definedName name="E_040" localSheetId="22">#REF!</definedName>
    <definedName name="E_052" localSheetId="22">#REF!</definedName>
    <definedName name="E_080" localSheetId="22">#REF!</definedName>
    <definedName name="E_081" localSheetId="22">#REF!</definedName>
    <definedName name="E_084" localSheetId="22">#REF!</definedName>
    <definedName name="E_087" localSheetId="22">#REF!</definedName>
    <definedName name="E_088" localSheetId="22">#REF!</definedName>
    <definedName name="E_089" localSheetId="22">#REF!</definedName>
    <definedName name="E_13" localSheetId="22">#REF!</definedName>
    <definedName name="E_153" localSheetId="22">#REF!</definedName>
    <definedName name="E_154" localSheetId="22">#REF!</definedName>
    <definedName name="E_155" localSheetId="22">#REF!</definedName>
    <definedName name="E_157" localSheetId="22">#REF!</definedName>
    <definedName name="E_182" localSheetId="22">#REF!</definedName>
    <definedName name="E_211" localSheetId="22">#REF!</definedName>
    <definedName name="E_212" localSheetId="22">#REF!</definedName>
    <definedName name="E_221" localSheetId="22">#REF!</definedName>
    <definedName name="E_251" localSheetId="22">#REF!</definedName>
    <definedName name="E_253" localSheetId="22">#REF!</definedName>
    <definedName name="E_301" localSheetId="22">#REF!</definedName>
    <definedName name="E_341" localSheetId="22">#REF!</definedName>
    <definedName name="EXCAVATOR" localSheetId="22">#REF!</definedName>
    <definedName name="F.1_I" localSheetId="22">#REF!</definedName>
    <definedName name="F.1_II" localSheetId="22">#REF!</definedName>
    <definedName name="F.16" localSheetId="22">#REF!</definedName>
    <definedName name="F.21_I" localSheetId="22">#REF!</definedName>
    <definedName name="F.21_II" localSheetId="22">#REF!</definedName>
    <definedName name="F.22_I" localSheetId="22">#REF!</definedName>
    <definedName name="F.22_II" localSheetId="22">#REF!</definedName>
    <definedName name="F.27_I" localSheetId="22">#REF!</definedName>
    <definedName name="F.27_II" localSheetId="22">#REF!</definedName>
    <definedName name="F.30_I_TEAK" localSheetId="22">#REF!</definedName>
    <definedName name="F.30_I_TRIP" localSheetId="22">#REF!</definedName>
    <definedName name="F.30_II_TEAK" localSheetId="22">#REF!</definedName>
    <definedName name="F.30_II_TRIP" localSheetId="22">#REF!</definedName>
    <definedName name="F.31_I" localSheetId="22">#REF!</definedName>
    <definedName name="F.31_II" localSheetId="22">#REF!</definedName>
    <definedName name="F.33_I" localSheetId="22">#REF!</definedName>
    <definedName name="F.33_II" localSheetId="22">#REF!</definedName>
    <definedName name="F.35_B3" localSheetId="22">#REF!</definedName>
    <definedName name="F.35_B5" localSheetId="22">#REF!</definedName>
    <definedName name="F.35_R3" localSheetId="22">#REF!</definedName>
    <definedName name="F.35_R5" localSheetId="22">#REF!</definedName>
    <definedName name="F.36_B_I" localSheetId="22">#REF!</definedName>
    <definedName name="F.36_B_II" localSheetId="22">#REF!</definedName>
    <definedName name="F.36_R_I" localSheetId="22">#REF!</definedName>
    <definedName name="F.36_R_II" localSheetId="22">#REF!</definedName>
    <definedName name="F.36A_I" localSheetId="22">#REF!</definedName>
    <definedName name="F.36A_II" localSheetId="22">#REF!</definedName>
    <definedName name="F.37_P_I" localSheetId="22">#REF!</definedName>
    <definedName name="F.37_P_II" localSheetId="22">#REF!</definedName>
    <definedName name="F.37_T" localSheetId="22">#REF!</definedName>
    <definedName name="F.37_TEAK" localSheetId="22">#REF!</definedName>
    <definedName name="F.38_I" localSheetId="22">#REF!</definedName>
    <definedName name="F.38_II" localSheetId="22">#REF!</definedName>
    <definedName name="F.47_I" localSheetId="22">#REF!</definedName>
    <definedName name="F.47_II" localSheetId="22">#REF!</definedName>
    <definedName name="FFF" localSheetId="22">#REF!</definedName>
    <definedName name="FINISHER" localSheetId="22">#REF!</definedName>
    <definedName name="FINISHING" localSheetId="22">#REF!</definedName>
    <definedName name="FLATBEDTRUCK" localSheetId="22">#REF!</definedName>
    <definedName name="FORM323L" localSheetId="22">#REF!</definedName>
    <definedName name="FORM611" localSheetId="22">#REF!</definedName>
    <definedName name="FORM612" localSheetId="22">#REF!</definedName>
    <definedName name="FORM621" localSheetId="22">#REF!</definedName>
    <definedName name="FORM622" localSheetId="22">#REF!</definedName>
    <definedName name="FORM623" localSheetId="22">#REF!</definedName>
    <definedName name="FORM631" localSheetId="22">#REF!</definedName>
    <definedName name="FORM632" localSheetId="22">#REF!</definedName>
    <definedName name="FORM633" localSheetId="22">#REF!</definedName>
    <definedName name="FORM634" localSheetId="22">#REF!</definedName>
    <definedName name="FORM635" localSheetId="22">#REF!</definedName>
    <definedName name="FORM635A" localSheetId="22">#REF!</definedName>
    <definedName name="FORM636" localSheetId="22">#REF!</definedName>
    <definedName name="FORM641L" localSheetId="22">#REF!</definedName>
    <definedName name="FORM642" localSheetId="22">#REF!</definedName>
    <definedName name="FORM65" localSheetId="22">#REF!</definedName>
    <definedName name="FORM66PERATA" localSheetId="22">#REF!</definedName>
    <definedName name="FORM66PERMUKAAN" localSheetId="22">#REF!</definedName>
    <definedName name="FORM7101" localSheetId="22">#REF!</definedName>
    <definedName name="FORM7102" localSheetId="22">#REF!</definedName>
    <definedName name="FORM7103" localSheetId="22">#REF!</definedName>
    <definedName name="FORM711" localSheetId="22">#REF!</definedName>
    <definedName name="FORM712" localSheetId="22">#REF!</definedName>
    <definedName name="FORM713" localSheetId="22">#REF!</definedName>
    <definedName name="FORM714" localSheetId="22">#REF!</definedName>
    <definedName name="FORM715" localSheetId="22">#REF!</definedName>
    <definedName name="FORM716" localSheetId="22">#REF!</definedName>
    <definedName name="FORM717" localSheetId="22">#REF!</definedName>
    <definedName name="FORM718" localSheetId="22">#REF!</definedName>
    <definedName name="FORM721" localSheetId="22">#REF!</definedName>
    <definedName name="FORM731" localSheetId="22">#REF!</definedName>
    <definedName name="FORM732" localSheetId="22">#REF!</definedName>
    <definedName name="FORM733" localSheetId="22">#REF!</definedName>
    <definedName name="FORM734" localSheetId="22">#REF!</definedName>
    <definedName name="FORM735" localSheetId="22">#REF!</definedName>
    <definedName name="FORM744" localSheetId="22">#REF!</definedName>
    <definedName name="FORM745" localSheetId="22">#REF!</definedName>
    <definedName name="FORM7610" localSheetId="22">#REF!</definedName>
    <definedName name="FORM7612a" localSheetId="22">#REF!</definedName>
    <definedName name="FORM7612b" localSheetId="22">#REF!</definedName>
    <definedName name="FORM7612c" localSheetId="22">#REF!</definedName>
    <definedName name="FORM7613a" localSheetId="22">#REF!</definedName>
    <definedName name="FORM7613b" localSheetId="22">#REF!</definedName>
    <definedName name="FORM7613c" localSheetId="22">#REF!</definedName>
    <definedName name="FORM7614a" localSheetId="22">#REF!</definedName>
    <definedName name="FORM7614b" localSheetId="22">#REF!</definedName>
    <definedName name="FORM7614c" localSheetId="22">#REF!</definedName>
    <definedName name="FORM7614d" localSheetId="22">#REF!</definedName>
    <definedName name="FORM7614e" localSheetId="22">#REF!</definedName>
    <definedName name="FORM7618" localSheetId="22">#REF!</definedName>
    <definedName name="FORM7619" localSheetId="22">#REF!</definedName>
    <definedName name="FORM768" localSheetId="22">#REF!</definedName>
    <definedName name="FORM769" localSheetId="22">#REF!</definedName>
    <definedName name="FORM76X" localSheetId="22">#REF!</definedName>
    <definedName name="FORM771a" localSheetId="22">#REF!</definedName>
    <definedName name="FORM771b" localSheetId="22">#REF!</definedName>
    <definedName name="FORM771c" localSheetId="22">#REF!</definedName>
    <definedName name="FORM771d" localSheetId="22">#REF!</definedName>
    <definedName name="FORM772a" localSheetId="22">#REF!</definedName>
    <definedName name="FORM772b" localSheetId="22">#REF!</definedName>
    <definedName name="FORM772c" localSheetId="22">#REF!</definedName>
    <definedName name="FORM772d" localSheetId="22">#REF!</definedName>
    <definedName name="FORM79manual" localSheetId="22">#REF!</definedName>
    <definedName name="FORM79mekanis" localSheetId="22">#REF!</definedName>
    <definedName name="FORM811" localSheetId="22">#REF!</definedName>
    <definedName name="FORM812" localSheetId="22">#REF!</definedName>
    <definedName name="FORM813" localSheetId="22">#REF!</definedName>
    <definedName name="FORM814" localSheetId="22">#REF!</definedName>
    <definedName name="FORM815" localSheetId="22">#REF!</definedName>
    <definedName name="FORM817" localSheetId="22">#REF!</definedName>
    <definedName name="FORM818" localSheetId="22">#REF!</definedName>
    <definedName name="FORM819" localSheetId="22">#REF!</definedName>
    <definedName name="FORM82" localSheetId="22">#REF!</definedName>
    <definedName name="FORM841" localSheetId="22">#REF!</definedName>
    <definedName name="FORM8410" localSheetId="22">#REF!</definedName>
    <definedName name="FORM842" localSheetId="22">#REF!</definedName>
    <definedName name="FORM844" localSheetId="22">#REF!</definedName>
    <definedName name="FORM845" localSheetId="22">#REF!</definedName>
    <definedName name="FORM846" localSheetId="22">#REF!</definedName>
    <definedName name="FORM847" localSheetId="22">#REF!</definedName>
    <definedName name="FORMGEOTEKSTIL" localSheetId="22">#REF!</definedName>
    <definedName name="FRRDS" localSheetId="22">#REF!</definedName>
    <definedName name="FULVIMIXER" localSheetId="22">#REF!</definedName>
    <definedName name="G.14" localSheetId="22">#REF!</definedName>
    <definedName name="G.16" localSheetId="22">#REF!</definedName>
    <definedName name="G.2" localSheetId="22">#REF!</definedName>
    <definedName name="G.32H" localSheetId="22">#REF!</definedName>
    <definedName name="G.32K" localSheetId="22">#REF!</definedName>
    <definedName name="G.32L" localSheetId="22">#REF!</definedName>
    <definedName name="G.33F" localSheetId="22">#REF!</definedName>
    <definedName name="G.33H" localSheetId="22">#REF!</definedName>
    <definedName name="G.33I" localSheetId="22">#REF!</definedName>
    <definedName name="G.33L" localSheetId="22">#REF!</definedName>
    <definedName name="G.44" localSheetId="22">#REF!</definedName>
    <definedName name="G.50H" localSheetId="22">#REF!</definedName>
    <definedName name="G.50I" localSheetId="22">#REF!</definedName>
    <definedName name="G.50J" localSheetId="22">#REF!</definedName>
    <definedName name="G.50K" localSheetId="22">#REF!</definedName>
    <definedName name="G.50O" localSheetId="22">#REF!</definedName>
    <definedName name="G.50P" localSheetId="22">#REF!</definedName>
    <definedName name="G.51C" localSheetId="22">#REF!</definedName>
    <definedName name="G.51D" localSheetId="22">#REF!</definedName>
    <definedName name="G.53" localSheetId="22">#REF!</definedName>
    <definedName name="G.53A" localSheetId="22">#REF!</definedName>
    <definedName name="G.55B" localSheetId="22">#REF!</definedName>
    <definedName name="G.55C" localSheetId="22">#REF!</definedName>
    <definedName name="G.5A" localSheetId="22">#REF!</definedName>
    <definedName name="G.5B" localSheetId="22">#REF!</definedName>
    <definedName name="G.5C" localSheetId="22">#REF!</definedName>
    <definedName name="G.6" localSheetId="22">#REF!</definedName>
    <definedName name="G.67" localSheetId="22">#REF!</definedName>
    <definedName name="G.72_20X20" localSheetId="22">#REF!</definedName>
    <definedName name="G.72_30X30" localSheetId="22">#REF!</definedName>
    <definedName name="G.72_M_30X30" localSheetId="22">#REF!</definedName>
    <definedName name="G_1" localSheetId="22">#REF!</definedName>
    <definedName name="G_50m" localSheetId="22">#REF!</definedName>
    <definedName name="G_53A" localSheetId="22">#REF!</definedName>
    <definedName name="G_72b" localSheetId="22">#REF!</definedName>
    <definedName name="GENSET" localSheetId="22">#REF!</definedName>
    <definedName name="GRADER" localSheetId="22">#REF!</definedName>
    <definedName name="H.10_ASBES" localSheetId="22">#REF!</definedName>
    <definedName name="H.10_SENG" localSheetId="22">#REF!</definedName>
    <definedName name="H.14_KARET" localSheetId="22">#REF!</definedName>
    <definedName name="H.14_SENG_PLAT" localSheetId="22">#REF!</definedName>
    <definedName name="H.17_KARET" localSheetId="22">#REF!</definedName>
    <definedName name="H.17_SENG_PLAT" localSheetId="22">#REF!</definedName>
    <definedName name="H.2" localSheetId="22">#REF!</definedName>
    <definedName name="H.6" localSheetId="22">#REF!</definedName>
    <definedName name="H.8_AS_GEL" localSheetId="22">#REF!</definedName>
    <definedName name="H.8_AS_GEN" localSheetId="22">#REF!</definedName>
    <definedName name="H.8_SENG" localSheetId="22">#REF!</definedName>
    <definedName name="HARGA" localSheetId="22">#REF!</definedName>
    <definedName name="hargasatuan" localSheetId="22">#REF!</definedName>
    <definedName name="hlll" localSheetId="22" hidden="1">#REF!</definedName>
    <definedName name="hrg_dsr" localSheetId="22">#REF!</definedName>
    <definedName name="INSTALASI_LISTRIK" localSheetId="22">#REF!</definedName>
    <definedName name="JACKHAMMER" localSheetId="22">#REF!</definedName>
    <definedName name="JAM" localSheetId="22">#REF!</definedName>
    <definedName name="JAMER" localSheetId="22">#REF!</definedName>
    <definedName name="jml" localSheetId="22">#REF!</definedName>
    <definedName name="K" localSheetId="22">#REF!</definedName>
    <definedName name="K.30" localSheetId="22">#REF!</definedName>
    <definedName name="K.7_23_CAT" localSheetId="22">#REF!</definedName>
    <definedName name="K.7_23_KAPUR" localSheetId="22">#REF!</definedName>
    <definedName name="K.8_23_ASGEN" localSheetId="22">#REF!</definedName>
    <definedName name="K.8_23_SENG" localSheetId="22">#REF!</definedName>
    <definedName name="K.9_23" localSheetId="22">#REF!</definedName>
    <definedName name="K.9_23B" localSheetId="22">#REF!</definedName>
    <definedName name="K_010" localSheetId="22">#REF!</definedName>
    <definedName name="K_011" localSheetId="22">#REF!</definedName>
    <definedName name="K_011_peng.kr.gal.t.saring.b_hal.2" localSheetId="22">#REF!</definedName>
    <definedName name="K_012" localSheetId="22">#REF!</definedName>
    <definedName name="K_012_peng.kr.sung.t.saring.a_hal.3" localSheetId="22">#REF!</definedName>
    <definedName name="K_013_peng.kr.sung.t.saring.b_hal.4" localSheetId="22">#REF!</definedName>
    <definedName name="K_014" localSheetId="22">#REF!</definedName>
    <definedName name="K_016" localSheetId="22">#REF!</definedName>
    <definedName name="K_016_peng.kr.sung.saring.a_hal.6" localSheetId="22">#REF!</definedName>
    <definedName name="K_017" localSheetId="22">#REF!</definedName>
    <definedName name="K_017_produk.bt.sung.pch.saring.a_hal.7" localSheetId="22">#REF!</definedName>
    <definedName name="K_023_produk.suplai_lasbutag.b_hal.47" localSheetId="22">#REF!</definedName>
    <definedName name="K_026" localSheetId="22">#REF!</definedName>
    <definedName name="K_035" localSheetId="22">#REF!</definedName>
    <definedName name="K_040" localSheetId="22">#REF!</definedName>
    <definedName name="K_110" localSheetId="22">#REF!</definedName>
    <definedName name="K_115" localSheetId="22">#REF!</definedName>
    <definedName name="K_116" localSheetId="22">#REF!</definedName>
    <definedName name="K_210" localSheetId="22">#REF!</definedName>
    <definedName name="K_224" localSheetId="22">#REF!</definedName>
    <definedName name="K_225" localSheetId="22">#REF!</definedName>
    <definedName name="K_310" localSheetId="22">#REF!</definedName>
    <definedName name="K_311" localSheetId="22">#REF!</definedName>
    <definedName name="K_321" localSheetId="22">#REF!</definedName>
    <definedName name="K_410" localSheetId="22">#REF!</definedName>
    <definedName name="K_421" localSheetId="22">#REF!</definedName>
    <definedName name="K_422" localSheetId="22">#REF!</definedName>
    <definedName name="K_424" localSheetId="22">#REF!</definedName>
    <definedName name="K_514" localSheetId="22">#REF!</definedName>
    <definedName name="K_516" localSheetId="22">#REF!</definedName>
    <definedName name="K_523" localSheetId="22">#REF!</definedName>
    <definedName name="K_528" localSheetId="22">#REF!</definedName>
    <definedName name="K_612" localSheetId="22">#REF!</definedName>
    <definedName name="K_614" localSheetId="22">#REF!</definedName>
    <definedName name="K_617" localSheetId="22">#REF!</definedName>
    <definedName name="K_618" localSheetId="22">#REF!</definedName>
    <definedName name="K_631" localSheetId="22">#REF!</definedName>
    <definedName name="K_636" localSheetId="22">#REF!</definedName>
    <definedName name="K_705" localSheetId="22">#REF!</definedName>
    <definedName name="K_710" localSheetId="22">#REF!</definedName>
    <definedName name="K_715" localSheetId="22">#REF!</definedName>
    <definedName name="K_720" localSheetId="22">#REF!</definedName>
    <definedName name="K_721" localSheetId="22">#REF!</definedName>
    <definedName name="K_722" localSheetId="22">#REF!</definedName>
    <definedName name="K_722_beton.strukt.K225.alat.mix.125ltr_hal.11" localSheetId="22">#REF!</definedName>
    <definedName name="K_850" localSheetId="22">#REF!</definedName>
    <definedName name="K_855" localSheetId="22">#REF!</definedName>
    <definedName name="K_860" localSheetId="22">#REF!</definedName>
    <definedName name="K_865" localSheetId="22">#REF!</definedName>
    <definedName name="K_870" localSheetId="22">#REF!</definedName>
    <definedName name="K_875" localSheetId="22">#REF!</definedName>
    <definedName name="K_877" localSheetId="22">#REF!</definedName>
    <definedName name="K_880" localSheetId="22">#REF!</definedName>
    <definedName name="K_885" localSheetId="22">#REF!</definedName>
    <definedName name="KKKK" localSheetId="22" hidden="1">#REF!</definedName>
    <definedName name="kode.alat" localSheetId="22">#REF!</definedName>
    <definedName name="KUANTITAS" localSheetId="22">#REF!</definedName>
    <definedName name="KUDA" localSheetId="22">#REF!</definedName>
    <definedName name="KUDA_ATAP" localSheetId="22">#REF!</definedName>
    <definedName name="KUSEN" localSheetId="22">#REF!</definedName>
    <definedName name="KUSEN_JENDELA" localSheetId="22">#REF!</definedName>
    <definedName name="L_061" localSheetId="22">#REF!</definedName>
    <definedName name="L_073" localSheetId="22">#REF!</definedName>
    <definedName name="L_079" localSheetId="22">#REF!</definedName>
    <definedName name="L_081" localSheetId="22">#REF!</definedName>
    <definedName name="L_082" localSheetId="22">#REF!</definedName>
    <definedName name="L_083" localSheetId="22">#REF!</definedName>
    <definedName name="L_091" localSheetId="22">#REF!</definedName>
    <definedName name="L_099" localSheetId="22">#REF!</definedName>
    <definedName name="L_101" localSheetId="22">#REF!</definedName>
    <definedName name="L_106" localSheetId="22">#REF!</definedName>
    <definedName name="LANTAI_PLAFOND" localSheetId="22">#REF!</definedName>
    <definedName name="link" localSheetId="22">#REF!</definedName>
    <definedName name="M_010" localSheetId="22">#REF!</definedName>
    <definedName name="M_020" localSheetId="22">#REF!</definedName>
    <definedName name="M_021" localSheetId="22">#REF!</definedName>
    <definedName name="M_023" localSheetId="22">#REF!</definedName>
    <definedName name="M_024" localSheetId="22">#REF!</definedName>
    <definedName name="M_025" localSheetId="22">#REF!</definedName>
    <definedName name="M_040" localSheetId="22">#REF!</definedName>
    <definedName name="M_041" localSheetId="22">#REF!</definedName>
    <definedName name="M_050" localSheetId="22">#REF!</definedName>
    <definedName name="M_061" localSheetId="22">#REF!</definedName>
    <definedName name="M_062" localSheetId="22">#REF!</definedName>
    <definedName name="M_063" localSheetId="22">#REF!</definedName>
    <definedName name="M_065" localSheetId="22">#REF!</definedName>
    <definedName name="M_080" localSheetId="22">#REF!</definedName>
    <definedName name="M_081" localSheetId="22">#REF!</definedName>
    <definedName name="M_165" localSheetId="22">#REF!</definedName>
    <definedName name="M_166" localSheetId="22">#REF!</definedName>
    <definedName name="M_167" localSheetId="22">#REF!</definedName>
    <definedName name="M_170" localSheetId="22">#REF!</definedName>
    <definedName name="M_180" localSheetId="22">#REF!</definedName>
    <definedName name="MATERIALKU" localSheetId="22">#REF!</definedName>
    <definedName name="MK_012" localSheetId="22">#REF!</definedName>
    <definedName name="MK_014" localSheetId="22">#REF!</definedName>
    <definedName name="MK_017" localSheetId="22">#REF!</definedName>
    <definedName name="MK_023" localSheetId="22">#REF!</definedName>
    <definedName name="MK_522" localSheetId="22">#REF!</definedName>
    <definedName name="MMM" localSheetId="22" hidden="1">#REF!</definedName>
    <definedName name="MOBILISASI" localSheetId="22">#REF!</definedName>
    <definedName name="MR_11" localSheetId="22">#REF!</definedName>
    <definedName name="MR_12" localSheetId="22">#REF!</definedName>
    <definedName name="MR_42" localSheetId="22">#REF!</definedName>
    <definedName name="nanna79" localSheetId="22">#REF!</definedName>
    <definedName name="oda" localSheetId="22" hidden="1">#REF!</definedName>
    <definedName name="p" localSheetId="22">#REF!</definedName>
    <definedName name="P_GIP_1" localSheetId="22">#REF!</definedName>
    <definedName name="P_GIP_1_5" localSheetId="22">#REF!</definedName>
    <definedName name="P_GIP_2" localSheetId="22">#REF!</definedName>
    <definedName name="P_GIP_3" localSheetId="22">#REF!</definedName>
    <definedName name="P_GIP_4" localSheetId="22">#REF!</definedName>
    <definedName name="P_PVC_1" localSheetId="22">#REF!</definedName>
    <definedName name="P_PVC_1_5" localSheetId="22">#REF!</definedName>
    <definedName name="P_PVC_2" localSheetId="22">#REF!</definedName>
    <definedName name="P_PVC_3" localSheetId="22">#REF!</definedName>
    <definedName name="P_PVC_4" localSheetId="22">#REF!</definedName>
    <definedName name="PAPAN" localSheetId="22">#REF!</definedName>
    <definedName name="PEDESTRIANROLLER" localSheetId="22">#REF!</definedName>
    <definedName name="pek" localSheetId="22">#REF!</definedName>
    <definedName name="PENGECATAN" localSheetId="22">#REF!</definedName>
    <definedName name="PERSIAPAN" localSheetId="22">#REF!</definedName>
    <definedName name="PINTU" localSheetId="22">#REF!</definedName>
    <definedName name="PLAFOND" localSheetId="22">#REF!</definedName>
    <definedName name="PLAT_LANTAI" localSheetId="22">#REF!</definedName>
    <definedName name="PLESTERAN" localSheetId="22">#REF!</definedName>
    <definedName name="PONDASI" localSheetId="22">#REF!</definedName>
    <definedName name="PTJW" localSheetId="22">#REF!</definedName>
    <definedName name="qq" localSheetId="22">#REF!</definedName>
    <definedName name="RANGKA_PLAFOND" localSheetId="22">#REF!</definedName>
    <definedName name="RINCIANSEWA" localSheetId="22">#REF!</definedName>
    <definedName name="RINCIANSEWA2" localSheetId="22">#REF!</definedName>
    <definedName name="SALURAN_RABAT" localSheetId="22">#REF!</definedName>
    <definedName name="SANITASI" localSheetId="22">#REF!</definedName>
    <definedName name="SISA" localSheetId="22">#REF!</definedName>
    <definedName name="SPL.III_BDK_20" localSheetId="22">#REF!</definedName>
    <definedName name="SPL.III_BDK_30" localSheetId="22">#REF!</definedName>
    <definedName name="SPL.III_PC" localSheetId="22">#REF!</definedName>
    <definedName name="SPL.IV_10X20" localSheetId="22">#REF!</definedName>
    <definedName name="SPL.IV_PORSEL" localSheetId="22">#REF!</definedName>
    <definedName name="SPL.V" localSheetId="22">#REF!</definedName>
    <definedName name="SPL.VIA" localSheetId="22">#REF!</definedName>
    <definedName name="SPL.VII_I" localSheetId="22">#REF!</definedName>
    <definedName name="SPL.VII_II" localSheetId="22">#REF!</definedName>
    <definedName name="SPL.VIII_ETER" localSheetId="22">#REF!</definedName>
    <definedName name="SPL.VIII_GAM" localSheetId="22">#REF!</definedName>
    <definedName name="SPL.VIII_TEAK" localSheetId="22">#REF!</definedName>
    <definedName name="SPL.VIII_TRIP" localSheetId="22">#REF!</definedName>
    <definedName name="SPL.X" localSheetId="22">#REF!</definedName>
    <definedName name="SPRAYER" localSheetId="22">#REF!</definedName>
    <definedName name="ss" localSheetId="22" hidden="1">#REF!</definedName>
    <definedName name="ssss" localSheetId="22">#REF!</definedName>
    <definedName name="STONECRUSHER" localSheetId="22">#REF!</definedName>
    <definedName name="T_1" localSheetId="22">#REF!</definedName>
    <definedName name="T_2" localSheetId="22">#REF!</definedName>
    <definedName name="Tabel" localSheetId="22">#REF!</definedName>
    <definedName name="Tabel_1" localSheetId="22">#REF!</definedName>
    <definedName name="tabel1" localSheetId="22">#REF!</definedName>
    <definedName name="TAMPER" localSheetId="22">#REF!</definedName>
    <definedName name="TANAH" localSheetId="22">#REF!</definedName>
    <definedName name="TANDEMROLLER" localSheetId="22">#REF!</definedName>
    <definedName name="TAS" localSheetId="22">#REF!</definedName>
    <definedName name="TEGEL" localSheetId="22">#REF!</definedName>
    <definedName name="THREEWHEELROLLER" localSheetId="22">#REF!</definedName>
    <definedName name="TIREROLLER" localSheetId="22">#REF!</definedName>
    <definedName name="tot" localSheetId="22">#REF!</definedName>
    <definedName name="TOTAL" localSheetId="22">#REF!</definedName>
    <definedName name="TRACKLOADER" localSheetId="22">#REF!</definedName>
    <definedName name="URAIAN323L" localSheetId="22">#REF!</definedName>
    <definedName name="URAIAN611" localSheetId="22">#REF!</definedName>
    <definedName name="URAIAN612" localSheetId="22">#REF!</definedName>
    <definedName name="URAIAN621" localSheetId="22">#REF!</definedName>
    <definedName name="URAIAN622" localSheetId="22">#REF!</definedName>
    <definedName name="URAIAN623" localSheetId="22">#REF!</definedName>
    <definedName name="URAIAN631" localSheetId="22">#REF!</definedName>
    <definedName name="URAIAN632" localSheetId="22">#REF!</definedName>
    <definedName name="URAIAN633" localSheetId="22">#REF!</definedName>
    <definedName name="URAIAN634" localSheetId="22">#REF!</definedName>
    <definedName name="URAIAN635" localSheetId="22">#REF!</definedName>
    <definedName name="URAIAN635A" localSheetId="22">#REF!</definedName>
    <definedName name="URAIAN636" localSheetId="22">#REF!</definedName>
    <definedName name="URAIAN641L" localSheetId="22">#REF!</definedName>
    <definedName name="URAIAN642" localSheetId="22">#REF!</definedName>
    <definedName name="URAIAN65" localSheetId="22">#REF!</definedName>
    <definedName name="URAIAN66PERATA" localSheetId="22">#REF!</definedName>
    <definedName name="URAIAN66PERMUKAAN" localSheetId="22">#REF!</definedName>
    <definedName name="URAIAN7101" localSheetId="22">#REF!</definedName>
    <definedName name="URAIAN7102" localSheetId="22">#REF!</definedName>
    <definedName name="URAIAN7103" localSheetId="22">#REF!</definedName>
    <definedName name="URAIAN711" localSheetId="22">#REF!</definedName>
    <definedName name="URAIAN712" localSheetId="22">#REF!</definedName>
    <definedName name="URAIAN713" localSheetId="22">#REF!</definedName>
    <definedName name="URAIAN714" localSheetId="22">#REF!</definedName>
    <definedName name="URAIAN715" localSheetId="22">#REF!</definedName>
    <definedName name="URAIAN716" localSheetId="22">#REF!</definedName>
    <definedName name="URAIAN717" localSheetId="22">#REF!</definedName>
    <definedName name="URAIAN718" localSheetId="22">#REF!</definedName>
    <definedName name="URAIAN721" localSheetId="22">#REF!</definedName>
    <definedName name="URAIAN731" localSheetId="22">#REF!</definedName>
    <definedName name="URAIAN732" localSheetId="22">#REF!</definedName>
    <definedName name="URAIAN733" localSheetId="22">#REF!</definedName>
    <definedName name="URAIAN734" localSheetId="22">#REF!</definedName>
    <definedName name="URAIAN735" localSheetId="22">#REF!</definedName>
    <definedName name="URAIAN744" localSheetId="22">#REF!</definedName>
    <definedName name="URAIAN745" localSheetId="22">#REF!</definedName>
    <definedName name="URAIAN7610" localSheetId="22">#REF!</definedName>
    <definedName name="URAIAN7612a" localSheetId="22">#REF!</definedName>
    <definedName name="URAIAN7612b" localSheetId="22">#REF!</definedName>
    <definedName name="URAIAN7612c" localSheetId="22">#REF!</definedName>
    <definedName name="URAIAN7613a" localSheetId="22">#REF!</definedName>
    <definedName name="URAIAN7613b" localSheetId="22">#REF!</definedName>
    <definedName name="URAIAN7613c" localSheetId="22">#REF!</definedName>
    <definedName name="URAIAN7614a" localSheetId="22">#REF!</definedName>
    <definedName name="URAIAN7614b" localSheetId="22">#REF!</definedName>
    <definedName name="URAIAN7614d" localSheetId="22">#REF!</definedName>
    <definedName name="URAIAN7614e" localSheetId="22">#REF!</definedName>
    <definedName name="URAIAN7618" localSheetId="22">#REF!</definedName>
    <definedName name="URAIAN7619" localSheetId="22">#REF!</definedName>
    <definedName name="URAIAN768" localSheetId="22">#REF!</definedName>
    <definedName name="URAIAN769" localSheetId="22">#REF!</definedName>
    <definedName name="URAIAN76x" localSheetId="22">#REF!</definedName>
    <definedName name="URAIAN771a" localSheetId="22">#REF!</definedName>
    <definedName name="URAIAN771b" localSheetId="22">#REF!</definedName>
    <definedName name="URAIAN771c" localSheetId="22">#REF!</definedName>
    <definedName name="URAIAN771d" localSheetId="22">#REF!</definedName>
    <definedName name="URAIAN772a" localSheetId="22">#REF!</definedName>
    <definedName name="URAIAN772b" localSheetId="22">#REF!</definedName>
    <definedName name="URAIAN772c" localSheetId="22">#REF!</definedName>
    <definedName name="URAIAN772d" localSheetId="22">#REF!</definedName>
    <definedName name="URAIAN79manual" localSheetId="22">#REF!</definedName>
    <definedName name="URAIAN79mekanis" localSheetId="22">#REF!</definedName>
    <definedName name="URAIAN811" localSheetId="22">#REF!</definedName>
    <definedName name="URAIAN812" localSheetId="22">#REF!</definedName>
    <definedName name="URAIAN813" localSheetId="22">#REF!</definedName>
    <definedName name="URAIAN814" localSheetId="22">#REF!</definedName>
    <definedName name="URAIAN815" localSheetId="22">#REF!</definedName>
    <definedName name="URAIAN817" localSheetId="22">#REF!</definedName>
    <definedName name="URAIAN818" localSheetId="22">#REF!</definedName>
    <definedName name="URAIAN819" localSheetId="22">#REF!</definedName>
    <definedName name="URAIAN82" localSheetId="22">#REF!</definedName>
    <definedName name="Uraian841" localSheetId="22">#REF!</definedName>
    <definedName name="Uraian8410" localSheetId="22">#REF!</definedName>
    <definedName name="Uraian842" localSheetId="22">#REF!</definedName>
    <definedName name="Uraian844" localSheetId="22">#REF!</definedName>
    <definedName name="Uraian845" localSheetId="22">#REF!</definedName>
    <definedName name="Uraian846" localSheetId="22">#REF!</definedName>
    <definedName name="Uraian847" localSheetId="22">#REF!</definedName>
    <definedName name="URAIANGEOTEKSTIL" localSheetId="22">#REF!</definedName>
    <definedName name="UTAIAN7614c" localSheetId="22">#REF!</definedName>
    <definedName name="VIBROROLLER" localSheetId="22">#REF!</definedName>
    <definedName name="voeg" localSheetId="22">#REF!</definedName>
    <definedName name="WATERPUMP" localSheetId="22">#REF!</definedName>
    <definedName name="WATERTANKER" localSheetId="22">#REF!</definedName>
    <definedName name="WHEELLOADER" localSheetId="22">#REF!</definedName>
    <definedName name="Z" localSheetId="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<sst xmlns="http://schemas.openxmlformats.org/spreadsheetml/2006/main" count="2129" uniqueCount="1178">
  <si>
    <t>BADAN USAHA MILIK DESA BUMDesa SEJAHTERA</t>
  </si>
  <si>
    <t>NERACA BUMDESA</t>
  </si>
  <si>
    <t>TANGGAL, 31 JANUARI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</si>
  <si>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</si>
  <si>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</si>
  <si>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</si>
  <si>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</si>
  <si>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</si>
  <si>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</si>
  <si>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</si>
  <si>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</si>
  <si>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</si>
  <si>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</si>
  <si>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</si>
  <si>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</si>
  <si>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</si>
  <si>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</si>
  <si>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</si>
  <si>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</si>
  <si>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</si>
  <si>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</si>
  <si>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2.4</t>
  </si>
  <si>
    <t>Tunjangan Kerja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</si>
  <si>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</si>
  <si>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</si>
  <si>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</si>
  <si>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</si>
  <si>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</si>
  <si>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</si>
  <si>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</si>
  <si>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</si>
  <si>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</si>
  <si>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</si>
  <si>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</si>
  <si>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</si>
  <si>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</si>
  <si>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</si>
  <si>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</si>
  <si>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</si>
  <si>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</si>
  <si>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</si>
  <si>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</si>
  <si>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</si>
  <si>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</si>
  <si>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</si>
  <si>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</si>
  <si>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</si>
  <si>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</si>
  <si>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</si>
  <si>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</si>
  <si>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</si>
  <si>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</si>
  <si>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</si>
  <si>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</si>
  <si>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</si>
  <si>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</si>
  <si>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</si>
  <si>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</si>
  <si>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</si>
  <si>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</si>
  <si>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</si>
  <si>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</si>
  <si>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</si>
  <si>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</si>
  <si>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</si>
  <si>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</si>
  <si>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</si>
  <si>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</si>
  <si>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</si>
  <si>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</si>
  <si>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</si>
  <si>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</si>
  <si>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</si>
  <si>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</si>
  <si>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</si>
  <si>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</si>
  <si>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</si>
  <si>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</si>
  <si>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</si>
  <si>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</si>
  <si>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</si>
  <si>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</si>
  <si>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</si>
  <si>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</si>
  <si>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</si>
  <si>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</si>
  <si>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</si>
  <si>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</si>
  <si>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</si>
  <si>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</si>
  <si>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</si>
  <si>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</si>
  <si>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</si>
  <si>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</si>
  <si>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</si>
  <si>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</si>
  <si>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</si>
  <si>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</si>
  <si>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</si>
  <si>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Dari Dana Desa 2025</t>
  </si>
  <si>
    <t>1.4.10</t>
  </si>
  <si>
    <t>Piutang Sementara</t>
  </si>
  <si>
    <t>3.2.10</t>
  </si>
  <si>
    <t>Dari Kemendes 2023</t>
  </si>
  <si>
    <t>3.2.11</t>
  </si>
  <si>
    <t>Tabungan Masyarakat</t>
  </si>
  <si>
    <t>Surplus ditahan</t>
  </si>
  <si>
    <t>Surplus berjalan</t>
  </si>
  <si>
    <t>TOTAL AKTIVA</t>
  </si>
  <si>
    <t>JUMLAH</t>
  </si>
  <si>
    <t>Batupute, 01 JANUARI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</si>
  <si>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</si>
  <si>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</si>
  <si>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</si>
  <si>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</si>
  <si>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</si>
  <si>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</si>
  <si>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</si>
  <si>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JANUARI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</si>
  <si>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</si>
  <si>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</si>
  <si>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</si>
  <si>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</si>
  <si>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</si>
  <si>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</si>
  <si>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</si>
  <si>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</si>
  <si>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</si>
  <si>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</si>
  <si>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</si>
  <si>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</si>
  <si>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</si>
  <si>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</si>
  <si>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</si>
  <si>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</si>
  <si>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</si>
  <si>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</si>
  <si>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</si>
  <si>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</si>
  <si>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</si>
  <si>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</si>
  <si>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</si>
  <si>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</si>
  <si>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</si>
  <si>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</si>
  <si>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</si>
  <si>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</si>
  <si>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</si>
  <si>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</si>
  <si>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</si>
  <si>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</si>
  <si>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</si>
  <si>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</si>
  <si>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</si>
  <si>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</si>
  <si>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</si>
  <si>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</si>
  <si>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</si>
  <si>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</si>
  <si>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</si>
  <si>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</si>
  <si>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</si>
  <si>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</si>
  <si>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</si>
  <si>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</si>
  <si>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</si>
  <si>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</si>
  <si>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</si>
  <si>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</si>
  <si>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</si>
  <si>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</si>
  <si>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</si>
  <si>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</si>
  <si>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</si>
  <si>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</si>
  <si>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Batupute, 31 JANUARI 2026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</si>
  <si>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</si>
  <si>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</si>
  <si>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</si>
  <si>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</si>
  <si>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</si>
  <si>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</si>
  <si>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</si>
  <si>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</si>
  <si>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</si>
  <si>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</si>
  <si>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</si>
  <si>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</si>
  <si>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</si>
  <si>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</si>
  <si>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</si>
  <si>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</si>
  <si>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</si>
  <si>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</si>
  <si>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</si>
  <si>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</si>
  <si>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</si>
  <si>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</si>
  <si>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</si>
  <si>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</si>
  <si>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KAS HARIAN BULAN JANUARI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</si>
  <si>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</si>
  <si>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</si>
  <si>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</si>
  <si>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</si>
  <si>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</si>
  <si>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</si>
  <si>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</si>
  <si>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</si>
  <si>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</si>
  <si>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</si>
  <si>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</si>
  <si>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</si>
  <si>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</si>
  <si>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</si>
  <si>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</si>
  <si>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</si>
  <si>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</si>
  <si>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</si>
  <si>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</si>
  <si>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</si>
  <si>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1-01-2026</t>
  </si>
  <si>
    <t>SALDO AKHIR BULAN DESEMBER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</si>
  <si>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</si>
  <si>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</si>
  <si>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</si>
  <si>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</si>
  <si>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</si>
  <si>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</si>
  <si>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</si>
  <si>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</si>
  <si>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</si>
  <si>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</si>
  <si>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</si>
  <si>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</si>
  <si>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</si>
  <si>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</si>
  <si>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</si>
  <si>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Tambahan Pestisida</t>
  </si>
  <si>
    <t>Besi polos 25x12 10 btg</t>
  </si>
  <si>
    <t>Piutang Sementara baju</t>
  </si>
  <si>
    <t>Hilang materai</t>
  </si>
  <si>
    <t>Piutang Irma alisa</t>
  </si>
  <si>
    <t>tabungan bumdes</t>
  </si>
  <si>
    <t>Koperasi Merah putih</t>
  </si>
  <si>
    <t>Kak lina</t>
  </si>
  <si>
    <t>Amel</t>
  </si>
  <si>
    <t>BelI mesin potong rumput + GAS BAPAK PUTRI</t>
  </si>
  <si>
    <t>Talangan tukang</t>
  </si>
  <si>
    <t>Wawan</t>
  </si>
  <si>
    <t>Panjar pak malik</t>
  </si>
  <si>
    <t>Kak ria</t>
  </si>
  <si>
    <t>Piutang sementara wawan gaji tukang</t>
  </si>
  <si>
    <t>Talangan pak desa</t>
  </si>
  <si>
    <t>Bidan mita</t>
  </si>
  <si>
    <t>Ebit Kurniawan</t>
  </si>
  <si>
    <t>Pengeluaran LPJ 2025</t>
  </si>
  <si>
    <t>Fitri</t>
  </si>
  <si>
    <t>Uang listrik desa</t>
  </si>
  <si>
    <t>Uang transport 2 kali ke makassar toko bengkel</t>
  </si>
  <si>
    <t>Konsumsi kunjungan BPD desa tamalate kab. takalar</t>
  </si>
  <si>
    <t>Pengeluaran Bank sampah</t>
  </si>
  <si>
    <t>2-01-2026</t>
  </si>
  <si>
    <t>Apandi</t>
  </si>
  <si>
    <t>Sisa PAdes</t>
  </si>
  <si>
    <t>ladung</t>
  </si>
  <si>
    <t>modal ladung</t>
  </si>
  <si>
    <t>Uang transport beli pupuk</t>
  </si>
  <si>
    <t>Pembayaran napak tilas</t>
  </si>
  <si>
    <t>Baju LPJ</t>
  </si>
  <si>
    <t>6-1-2026</t>
  </si>
  <si>
    <t>Beli alat label</t>
  </si>
  <si>
    <t>Custom nota bumdes</t>
  </si>
  <si>
    <t>tahap 2</t>
  </si>
  <si>
    <t>Direktur</t>
  </si>
  <si>
    <t>Konsumsi rapat internal</t>
  </si>
  <si>
    <t>8-1-2026</t>
  </si>
  <si>
    <t>Ladung</t>
  </si>
  <si>
    <t>Nahira</t>
  </si>
  <si>
    <t>kak lina ( wifi )</t>
  </si>
  <si>
    <t>Tambahan haseng</t>
  </si>
  <si>
    <t>Talangan baju Rompi kantor desa</t>
  </si>
  <si>
    <t>9-1-2026</t>
  </si>
  <si>
    <t>Muliati</t>
  </si>
  <si>
    <t>Rukman Hamid</t>
  </si>
  <si>
    <t>Sukmawati</t>
  </si>
  <si>
    <t>Bustaman</t>
  </si>
  <si>
    <t>Konsumsi titik ke tiga</t>
  </si>
  <si>
    <t>Ebit Kurniawan ikan</t>
  </si>
  <si>
    <t>Darwis</t>
  </si>
  <si>
    <t>10-1-2026</t>
  </si>
  <si>
    <t>libur</t>
  </si>
  <si>
    <t>11-1-2026</t>
  </si>
  <si>
    <t>Kusmala Dewi</t>
  </si>
  <si>
    <t>Sofyan</t>
  </si>
  <si>
    <t>Andik</t>
  </si>
  <si>
    <t>Usman</t>
  </si>
  <si>
    <t>Syahrir</t>
  </si>
  <si>
    <t>Mahrang</t>
  </si>
  <si>
    <t>Madong</t>
  </si>
  <si>
    <t>Nurdia</t>
  </si>
  <si>
    <t>Kistang</t>
  </si>
  <si>
    <t>Sakka</t>
  </si>
  <si>
    <t>Rohani salam</t>
  </si>
  <si>
    <t>Ameliah</t>
  </si>
  <si>
    <t>Syamsuddin</t>
  </si>
  <si>
    <t>Tambahan piutang nurul azmi</t>
  </si>
  <si>
    <t>Pengeluaran LPJ</t>
  </si>
  <si>
    <t>12-1-2026</t>
  </si>
  <si>
    <t>Tenda</t>
  </si>
  <si>
    <t>Isi amplop 30 rb x 84</t>
  </si>
  <si>
    <t>Pirex</t>
  </si>
  <si>
    <t>Risole</t>
  </si>
  <si>
    <t>Kopi + gula</t>
  </si>
  <si>
    <t>Nasi Kotak</t>
  </si>
  <si>
    <t>Isi bensin mobil desa</t>
  </si>
  <si>
    <t>Pinjaman sementara uci</t>
  </si>
  <si>
    <t>tisu, air dos</t>
  </si>
  <si>
    <t>13-1-2026</t>
  </si>
  <si>
    <t>Umar</t>
  </si>
  <si>
    <t>Baharuddin</t>
  </si>
  <si>
    <t>Pencairan suriyani</t>
  </si>
  <si>
    <t>Penggunaan dana cadangan</t>
  </si>
  <si>
    <t>Tabungan wawan diambil</t>
  </si>
  <si>
    <t>Penggunaan dana ketahanan pangan</t>
  </si>
  <si>
    <t>Tabungan Syarinang</t>
  </si>
  <si>
    <t>14-1-2026</t>
  </si>
  <si>
    <t>Piutang sementara posyandu mawar putih 1</t>
  </si>
  <si>
    <t>15-1-2026</t>
  </si>
  <si>
    <t>16-1-2026</t>
  </si>
  <si>
    <t>Libur</t>
  </si>
  <si>
    <t>17-1-2026</t>
  </si>
  <si>
    <t>18-1-2026</t>
  </si>
  <si>
    <t>19-1-2026</t>
  </si>
  <si>
    <t>Hj Ira indira</t>
  </si>
  <si>
    <t>Pencairan Syahrir</t>
  </si>
  <si>
    <t>Talangan kak inang</t>
  </si>
  <si>
    <t>pak desa</t>
  </si>
  <si>
    <t>talangan prasasti semen</t>
  </si>
  <si>
    <t>Pengeluaran LPJ 2025 spanduk</t>
  </si>
  <si>
    <t>Materai untuk bank sampah</t>
  </si>
  <si>
    <t>Pencairan Alipuddin</t>
  </si>
  <si>
    <t>Saharuddin</t>
  </si>
  <si>
    <t>20-1-2026</t>
  </si>
  <si>
    <t>farida</t>
  </si>
  <si>
    <t>Uang transport ambil uang tunai</t>
  </si>
  <si>
    <t>21-1-2026</t>
  </si>
  <si>
    <t>22-1-2026</t>
  </si>
  <si>
    <t>Irtika Adillah</t>
  </si>
  <si>
    <t>Busman</t>
  </si>
  <si>
    <t>23-1-2026</t>
  </si>
  <si>
    <t>24-1-2026</t>
  </si>
  <si>
    <t>25-1-2026</t>
  </si>
  <si>
    <t>26-1-2026</t>
  </si>
  <si>
    <t>Syahriani</t>
  </si>
  <si>
    <t>Herawati</t>
  </si>
  <si>
    <t>Kak ria (desa)</t>
  </si>
  <si>
    <t>Abd. Hannan</t>
  </si>
  <si>
    <t>Hj. Rusnaen</t>
  </si>
  <si>
    <t>Pencairan Ardiansyah</t>
  </si>
  <si>
    <t>27-1-2026</t>
  </si>
  <si>
    <t>Rasni Rasyid</t>
  </si>
  <si>
    <t>Pinjaman sementara Kak ria</t>
  </si>
  <si>
    <t>beli atk</t>
  </si>
  <si>
    <t>Pencairan haseng</t>
  </si>
  <si>
    <t>Pencairan Haslinda</t>
  </si>
  <si>
    <t>Uang transport wawan urus surat solar</t>
  </si>
  <si>
    <t>Uang banner unit usaha</t>
  </si>
  <si>
    <t>Nur hikmah</t>
  </si>
  <si>
    <t>Beli air dos dan kopi</t>
  </si>
  <si>
    <t>28-1-2026</t>
  </si>
  <si>
    <t>Rusmiati</t>
  </si>
  <si>
    <t>Zulfikar</t>
  </si>
  <si>
    <t>Mantanaince Molen</t>
  </si>
  <si>
    <t>Hj nadira</t>
  </si>
  <si>
    <t>29-1-2026</t>
  </si>
  <si>
    <t>Mariani</t>
  </si>
  <si>
    <t>Yatti</t>
  </si>
  <si>
    <t>Beli Kertas resi untuk brilink</t>
  </si>
  <si>
    <t>30-1-2026</t>
  </si>
  <si>
    <t>Sarina</t>
  </si>
  <si>
    <t>Hardiyanzah</t>
  </si>
  <si>
    <t>Pencairan HP Fitriani</t>
  </si>
  <si>
    <t>Idawati</t>
  </si>
  <si>
    <t>Taharuddin</t>
  </si>
  <si>
    <t>Hasniati</t>
  </si>
  <si>
    <t>Ariyanto</t>
  </si>
  <si>
    <t>31-1-2026</t>
  </si>
  <si>
    <t>Hj. Hasriyanti</t>
  </si>
  <si>
    <t>Risna</t>
  </si>
  <si>
    <t>Fitra dwi atirah</t>
  </si>
  <si>
    <t>Ridayana</t>
  </si>
  <si>
    <t>Heriani</t>
  </si>
  <si>
    <t>Jayanti</t>
  </si>
  <si>
    <t>ST. masitoh</t>
  </si>
  <si>
    <t>Herul</t>
  </si>
  <si>
    <t>I baji</t>
  </si>
  <si>
    <t>Diana</t>
  </si>
  <si>
    <t>Hj. Nia</t>
  </si>
  <si>
    <t>Sulfiani karman</t>
  </si>
  <si>
    <t>Naharuddin</t>
  </si>
  <si>
    <t>Irma Alisa</t>
  </si>
  <si>
    <t>Suriyani yunus</t>
  </si>
  <si>
    <t>HP Fatmawati</t>
  </si>
  <si>
    <t>Nurdalia</t>
  </si>
  <si>
    <t>Jaharuddin</t>
  </si>
  <si>
    <t>Wawan darmawan</t>
  </si>
  <si>
    <t>Amiruddin T</t>
  </si>
  <si>
    <t>Muh. Irwan</t>
  </si>
  <si>
    <t>Gaji karyawan</t>
  </si>
  <si>
    <t>Pembayaran baju PDH</t>
  </si>
  <si>
    <t>Keuntungan brilink</t>
  </si>
  <si>
    <t>Nurlina</t>
  </si>
  <si>
    <t>Ros laela damis</t>
  </si>
  <si>
    <t>Fitriani</t>
  </si>
  <si>
    <t>Nurul azmi</t>
  </si>
  <si>
    <t>Hasanuddin</t>
  </si>
  <si>
    <t>Wellu</t>
  </si>
  <si>
    <t>Rahman</t>
  </si>
  <si>
    <t>Hamdia</t>
  </si>
  <si>
    <t>Rusli</t>
  </si>
  <si>
    <t>Ramlah</t>
  </si>
  <si>
    <t>Muh. akil</t>
  </si>
  <si>
    <t>Nurpaidah</t>
  </si>
  <si>
    <t>Keuntungan toko bengkel</t>
  </si>
  <si>
    <t>Muh. Nawir</t>
  </si>
  <si>
    <t>Bank Sampah</t>
  </si>
  <si>
    <t>Andi haerul</t>
  </si>
  <si>
    <t>fee bank</t>
  </si>
  <si>
    <t>sisa keuntungan</t>
  </si>
  <si>
    <t>materai</t>
  </si>
  <si>
    <t>Indah Purnamasari</t>
  </si>
  <si>
    <t>Moh takwin</t>
  </si>
  <si>
    <t>Jumiati</t>
  </si>
  <si>
    <t>Bahar</t>
  </si>
  <si>
    <t>Dewi</t>
  </si>
  <si>
    <t>Hasna D</t>
  </si>
  <si>
    <t>Sa'nang</t>
  </si>
  <si>
    <t>Fatimah haji</t>
  </si>
  <si>
    <t>Mustika</t>
  </si>
  <si>
    <t>keuntungan gas</t>
  </si>
  <si>
    <t>Verawati</t>
  </si>
  <si>
    <t>Sakriani</t>
  </si>
  <si>
    <t>Talangan kue kak inang</t>
  </si>
  <si>
    <t>Darsiah</t>
  </si>
  <si>
    <t>Satria Sinring</t>
  </si>
  <si>
    <t>Nuryadin jafar</t>
  </si>
  <si>
    <t>Daswati</t>
  </si>
  <si>
    <t>Ratna Sabrang</t>
  </si>
  <si>
    <t>Aisyah</t>
  </si>
  <si>
    <t>Arif</t>
  </si>
  <si>
    <t>Ancu</t>
  </si>
  <si>
    <t>M. yusuf</t>
  </si>
  <si>
    <t>Haslinda staf</t>
  </si>
  <si>
    <t>haslinda HP</t>
  </si>
  <si>
    <t>Muliati syam</t>
  </si>
  <si>
    <t>Gusri</t>
  </si>
  <si>
    <t>Hj. hamdana</t>
  </si>
  <si>
    <t>Hj. Nur Asia</t>
  </si>
  <si>
    <t>Ria</t>
  </si>
  <si>
    <t>Arisman</t>
  </si>
  <si>
    <t>Hera Prawati</t>
  </si>
  <si>
    <t>Hasaruddin</t>
  </si>
  <si>
    <t>Muh. Kurniawan</t>
  </si>
  <si>
    <t>Yusnita</t>
  </si>
  <si>
    <t>Haseng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</si>
  <si>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</si>
  <si>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</si>
  <si>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</si>
  <si>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</si>
  <si>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</si>
  <si>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</si>
  <si>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</si>
  <si>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</si>
  <si>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</si>
  <si>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</si>
  <si>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</si>
  <si>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:31 JANUARI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</si>
  <si>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</si>
  <si>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</si>
  <si>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</si>
  <si>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</si>
  <si>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</si>
  <si>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</si>
  <si>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</si>
  <si>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</si>
  <si>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</si>
  <si>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</si>
  <si>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</si>
  <si>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</si>
  <si>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</si>
  <si>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</si>
  <si>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</si>
  <si>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ST.Hasnah</t>
  </si>
  <si>
    <t>Hj.Nadira</t>
  </si>
  <si>
    <t>Indra Umi Rulianti</t>
  </si>
  <si>
    <t>Nurfaidah</t>
  </si>
  <si>
    <t>Tumina</t>
  </si>
  <si>
    <t>Ratna S</t>
  </si>
  <si>
    <t>Fadillah</t>
  </si>
  <si>
    <t>Nurhayati Bahtiar</t>
  </si>
  <si>
    <t>Wahidah</t>
  </si>
  <si>
    <t>Sakka Batupute</t>
  </si>
  <si>
    <t>stp bagi hasil</t>
  </si>
  <si>
    <t>15-07-2020</t>
  </si>
  <si>
    <t>Nurjanna</t>
  </si>
  <si>
    <t>A.Haerul</t>
  </si>
  <si>
    <t>22-10-2020</t>
  </si>
  <si>
    <t>usman</t>
  </si>
  <si>
    <t>11-01-2022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</si>
  <si>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</si>
  <si>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</si>
  <si>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</si>
  <si>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</si>
  <si>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</si>
  <si>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</si>
  <si>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</si>
  <si>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</si>
  <si>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</si>
  <si>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</si>
  <si>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</si>
  <si>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</si>
  <si>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</si>
  <si>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</si>
  <si>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RASNI RASYID</t>
  </si>
  <si>
    <t>Hj Rosniah</t>
  </si>
  <si>
    <t>stp sementara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</si>
  <si>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</si>
  <si>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</si>
  <si>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</si>
  <si>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</si>
  <si>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</si>
  <si>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</si>
  <si>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</si>
  <si>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</si>
  <si>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06-12-2022</t>
  </si>
  <si>
    <t>07-12-2022</t>
  </si>
  <si>
    <t>I BAJI</t>
  </si>
  <si>
    <t>08-02-2023</t>
  </si>
  <si>
    <t>RAMLAH</t>
  </si>
  <si>
    <t>SURIANI</t>
  </si>
  <si>
    <t>MARIANI</t>
  </si>
  <si>
    <t>DASWATI</t>
  </si>
  <si>
    <t>Yuliana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</si>
  <si>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</si>
  <si>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</si>
  <si>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</si>
  <si>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</si>
  <si>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</si>
  <si>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</si>
  <si>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</si>
  <si>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</si>
  <si>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</si>
  <si>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</si>
  <si>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</si>
  <si>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</si>
  <si>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</si>
  <si>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</si>
  <si>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</si>
  <si>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</si>
  <si>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</si>
  <si>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</si>
  <si>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</si>
  <si>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</si>
  <si>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</si>
  <si>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</si>
  <si>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</si>
  <si>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</si>
  <si>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</si>
  <si>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</si>
  <si>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</si>
  <si>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</si>
  <si>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</si>
  <si>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</si>
  <si>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</si>
  <si>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</si>
  <si>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</si>
  <si>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</si>
  <si>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</si>
  <si>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</si>
  <si>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</si>
  <si>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HASLINDA staff desa</t>
  </si>
  <si>
    <t>16-10-2023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</si>
  <si>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</si>
  <si>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</si>
  <si>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</si>
  <si>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</si>
  <si>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</si>
  <si>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</si>
  <si>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</si>
  <si>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</si>
  <si>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</si>
  <si>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</si>
  <si>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</si>
  <si>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31-01-2024</t>
  </si>
  <si>
    <t>Nuryadin Jafar</t>
  </si>
  <si>
    <t>02-02-2024</t>
  </si>
  <si>
    <t>Faizal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</si>
  <si>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</si>
  <si>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</si>
  <si>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</si>
  <si>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</si>
  <si>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</si>
  <si>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</si>
  <si>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</si>
  <si>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</si>
  <si>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</si>
  <si>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</si>
  <si>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</si>
  <si>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</si>
  <si>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</si>
  <si>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</si>
  <si>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</si>
  <si>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</si>
  <si>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</si>
  <si>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</si>
  <si>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</si>
  <si>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</si>
  <si>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</si>
  <si>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</si>
  <si>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</si>
  <si>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</si>
  <si>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</si>
  <si>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</si>
  <si>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</si>
  <si>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</si>
  <si>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</si>
  <si>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</si>
  <si>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</si>
  <si>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</si>
  <si>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</si>
  <si>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</si>
  <si>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</si>
  <si>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</si>
  <si>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</si>
  <si>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16-4-2025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</si>
  <si>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</si>
  <si>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</si>
  <si>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</si>
  <si>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</si>
  <si>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</si>
  <si>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</si>
  <si>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</si>
  <si>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</si>
  <si>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</si>
  <si>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Alipuddin</t>
  </si>
  <si>
    <t>Ardiansyah</t>
  </si>
  <si>
    <t>Umiarti</t>
  </si>
  <si>
    <t>Rohani Salam</t>
  </si>
  <si>
    <t>Nasrul Suwandi</t>
  </si>
  <si>
    <t>Rusmi</t>
  </si>
  <si>
    <t>Nurhayati Bale</t>
  </si>
  <si>
    <t>Hardiana</t>
  </si>
  <si>
    <t>Muhtar</t>
  </si>
  <si>
    <t>17-11-2019</t>
  </si>
  <si>
    <t>Ratnawati</t>
  </si>
  <si>
    <t>DARMAWATI</t>
  </si>
  <si>
    <t>Mariati Alimin</t>
  </si>
  <si>
    <t>H.Taha</t>
  </si>
  <si>
    <t>Rosmah</t>
  </si>
  <si>
    <t>Fatimah B</t>
  </si>
  <si>
    <t>31-01-2019</t>
  </si>
  <si>
    <t>Akriani Hakim</t>
  </si>
  <si>
    <t>Ariyanin Arifin</t>
  </si>
  <si>
    <t>13-09-2020</t>
  </si>
  <si>
    <t>Sennang</t>
  </si>
  <si>
    <t>12-10-2020</t>
  </si>
  <si>
    <t>Lis Sugiarti</t>
  </si>
  <si>
    <t>FITRIYANI/ANDIK</t>
  </si>
  <si>
    <t>11-1-2025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</si>
  <si>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</si>
  <si>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</si>
  <si>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</si>
  <si>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</si>
  <si>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</si>
  <si>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</si>
  <si>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</si>
  <si>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</si>
  <si>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</si>
  <si>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</si>
  <si>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</si>
  <si>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</si>
  <si>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</si>
  <si>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</si>
  <si>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</si>
  <si>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</si>
  <si>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</si>
  <si>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</si>
  <si>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JANUARI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</si>
  <si>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</si>
  <si>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</si>
  <si>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</si>
  <si>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</si>
  <si>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</si>
  <si>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</si>
  <si>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</si>
  <si>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</si>
  <si>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</si>
  <si>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</si>
  <si>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</si>
  <si>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</si>
  <si>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</si>
  <si>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</si>
  <si>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</si>
  <si>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</si>
  <si>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</si>
  <si>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</si>
  <si>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</si>
  <si>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</si>
  <si>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</si>
  <si>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</si>
  <si>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</si>
  <si>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</si>
  <si>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</si>
  <si>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</si>
  <si>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</si>
  <si>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</si>
  <si>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</si>
  <si>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</si>
  <si>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</si>
  <si>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</si>
  <si>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9-1-2025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</si>
  <si>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</si>
  <si>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</si>
  <si>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</si>
  <si>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</si>
  <si>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</si>
  <si>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</si>
  <si>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</si>
  <si>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</si>
  <si>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</si>
  <si>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</si>
  <si>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</si>
  <si>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</si>
  <si>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</si>
  <si>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Perdagangan</t>
  </si>
  <si>
    <t>Wadang</t>
  </si>
  <si>
    <t>HP</t>
  </si>
  <si>
    <t>Fatmawati</t>
  </si>
  <si>
    <t>Moh Takwin</t>
  </si>
  <si>
    <t>Bahan Bangunan</t>
  </si>
  <si>
    <t>SUDARMIN Ujungge</t>
  </si>
  <si>
    <t>16-07-2023</t>
  </si>
  <si>
    <t>Agustang</t>
  </si>
  <si>
    <t>Barang</t>
  </si>
  <si>
    <t>02-12-2023</t>
  </si>
  <si>
    <t>Nurdalia 2</t>
  </si>
  <si>
    <t>SENG RUMAH</t>
  </si>
  <si>
    <t>26-02-2024</t>
  </si>
  <si>
    <t>Sparepart Mobil</t>
  </si>
  <si>
    <t>Kosmetik</t>
  </si>
  <si>
    <t>Idris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</si>
  <si>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</si>
  <si>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</si>
  <si>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</si>
  <si>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</si>
  <si>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</si>
  <si>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</si>
  <si>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</si>
  <si>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</si>
  <si>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</si>
  <si>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</si>
  <si>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</si>
  <si>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</si>
  <si>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</si>
  <si>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</si>
  <si>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</si>
  <si>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</si>
  <si>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</si>
  <si>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11-10-2024</t>
  </si>
  <si>
    <t>Muh. Kurniawan, SE</t>
  </si>
  <si>
    <t>Kredit HP Samsung</t>
  </si>
  <si>
    <t>05-11-2024</t>
  </si>
  <si>
    <t>20-11-2024</t>
  </si>
  <si>
    <t>Haslinda</t>
  </si>
  <si>
    <t>Kredit HP Oppo</t>
  </si>
  <si>
    <t>Pupuk subsidi</t>
  </si>
  <si>
    <t>01-01-2025</t>
  </si>
  <si>
    <t>11-01-2025</t>
  </si>
  <si>
    <t>Muh. Yusuf</t>
  </si>
  <si>
    <t>Hp samsung</t>
  </si>
  <si>
    <t>5-05-2025</t>
  </si>
  <si>
    <t>04-06-2025</t>
  </si>
  <si>
    <t>1-1-2026</t>
  </si>
  <si>
    <t>17-11-2025</t>
  </si>
  <si>
    <t>Muh.Tang</t>
  </si>
  <si>
    <t>21-7-2025</t>
  </si>
  <si>
    <t>HP Oppo A5x</t>
  </si>
  <si>
    <t>Riska</t>
  </si>
  <si>
    <t>11-8-2025</t>
  </si>
  <si>
    <t>Tab</t>
  </si>
  <si>
    <t>29-8-2025</t>
  </si>
  <si>
    <t>Mansyur</t>
  </si>
  <si>
    <t>Jaring</t>
  </si>
  <si>
    <t xml:space="preserve">Jaring </t>
  </si>
  <si>
    <t>Damis</t>
  </si>
  <si>
    <t>Baju Selam</t>
  </si>
  <si>
    <t>Kacamata+jaring</t>
  </si>
  <si>
    <t>4-8-2025</t>
  </si>
  <si>
    <t>Hj. Ira Indira</t>
  </si>
  <si>
    <t>HP VIvo</t>
  </si>
  <si>
    <t>19-9-2025</t>
  </si>
  <si>
    <t>Farida</t>
  </si>
  <si>
    <t>7-12-2025</t>
  </si>
  <si>
    <t>Amelia</t>
  </si>
  <si>
    <t>15-12-2025</t>
  </si>
  <si>
    <t>Wawan Darmawan</t>
  </si>
  <si>
    <t>HP VIVO</t>
  </si>
  <si>
    <t>70000 bgi hasil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</si>
  <si>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</si>
  <si>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</si>
  <si>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</si>
  <si>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</si>
  <si>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</si>
  <si>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</si>
  <si>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</si>
  <si>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</si>
  <si>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</si>
  <si>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</si>
  <si>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</si>
  <si>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</si>
  <si>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</si>
  <si>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</si>
  <si>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</si>
  <si>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</si>
  <si>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</si>
  <si>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</si>
  <si>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</si>
  <si>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KETAPANG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</si>
  <si>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</si>
  <si>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</si>
  <si>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</si>
  <si>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</si>
  <si>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</si>
  <si>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</si>
  <si>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</si>
  <si>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</si>
  <si>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</si>
  <si>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</si>
  <si>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</si>
  <si>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</si>
  <si>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</si>
  <si>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</si>
  <si>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</si>
  <si>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</si>
  <si>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</si>
  <si>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</si>
  <si>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</si>
  <si>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</si>
  <si>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</si>
  <si>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</si>
  <si>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JANUARI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</si>
  <si>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</si>
  <si>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</si>
  <si>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</si>
  <si>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</si>
  <si>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</si>
  <si>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</si>
  <si>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31/1/2025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</si>
  <si>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</si>
  <si>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</si>
  <si>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</si>
  <si>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</si>
  <si>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</si>
  <si>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</si>
  <si>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</si>
  <si>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</si>
  <si>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</si>
  <si>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</si>
  <si>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</si>
  <si>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</si>
  <si>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</si>
  <si>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</si>
  <si>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</si>
  <si>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</si>
  <si>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</si>
  <si>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</si>
  <si>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</si>
  <si>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</si>
  <si>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</si>
  <si>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</si>
  <si>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</si>
  <si>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</si>
  <si>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</si>
  <si>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</si>
  <si>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</si>
  <si>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</si>
  <si>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</si>
  <si>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</si>
  <si>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</si>
  <si>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</si>
  <si>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</si>
  <si>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</si>
  <si>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</si>
  <si>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</si>
  <si>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</si>
  <si>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</si>
  <si>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</si>
  <si>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</si>
  <si>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</si>
  <si>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</si>
  <si>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</si>
  <si>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</si>
  <si>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</si>
  <si>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</si>
  <si>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</si>
  <si>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</si>
  <si>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</si>
  <si>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</si>
  <si>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</si>
  <si>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</si>
  <si>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</si>
  <si>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</si>
  <si>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</si>
  <si>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</si>
  <si>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</si>
  <si>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</si>
  <si>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</si>
  <si>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</si>
  <si>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</si>
  <si>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</si>
  <si>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</si>
  <si>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</si>
  <si>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</si>
  <si>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</si>
  <si>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</si>
  <si>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</si>
  <si>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</si>
  <si>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</si>
  <si>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</si>
  <si>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</si>
  <si>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</si>
  <si>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</si>
  <si>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</si>
  <si>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</si>
  <si>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</si>
  <si>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</si>
  <si>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</si>
  <si>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</si>
  <si>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</si>
  <si>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</si>
  <si>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</si>
  <si>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</si>
  <si>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</si>
  <si>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</si>
  <si>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</si>
  <si>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</si>
  <si>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</si>
  <si>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</si>
  <si>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</si>
  <si>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</si>
  <si>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</si>
  <si>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</si>
  <si>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</si>
  <si>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</si>
  <si>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</si>
  <si>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</si>
  <si>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</si>
  <si>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</si>
  <si>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</si>
  <si>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</si>
  <si>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</si>
  <si>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</si>
  <si>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</si>
  <si>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</si>
  <si>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</si>
  <si>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</si>
  <si>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</si>
  <si>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</si>
  <si>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</si>
  <si>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</si>
  <si>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</si>
  <si>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</si>
  <si>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</si>
  <si>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</si>
  <si>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</si>
  <si>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</si>
  <si>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</si>
  <si>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</si>
  <si>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</si>
  <si>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</si>
  <si>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</si>
  <si>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</si>
  <si>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</si>
  <si>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</si>
  <si>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</si>
  <si>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</si>
  <si>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</si>
  <si>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</si>
  <si>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</si>
  <si>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</si>
  <si>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</si>
  <si>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</si>
  <si>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</si>
  <si>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</si>
  <si>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</si>
  <si>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</si>
  <si>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MEI 2025</t>
  </si>
  <si>
    <t>beli alat label</t>
  </si>
  <si>
    <t>buah</t>
  </si>
  <si>
    <t>Konsumsi rapat internal bahas LPJ</t>
  </si>
  <si>
    <t>Beli ATK</t>
  </si>
  <si>
    <t>Buat banner untuk ketapang</t>
  </si>
  <si>
    <t>Beli air dos</t>
  </si>
  <si>
    <t>Kertas resi</t>
  </si>
  <si>
    <t>transport ambil uang tunai</t>
  </si>
  <si>
    <t>DAFTAR INSENTIF PENGAWAS DAN PENASEHAT BUMDesa SEJAHTERA</t>
  </si>
  <si>
    <t>DESA BATUPUTE KECAMATAN SOPPENG RIAJA</t>
  </si>
  <si>
    <t>KABUPATEN BARRU</t>
  </si>
  <si>
    <t>BULAN : JANUARI 2025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</si>
  <si>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</si>
  <si>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</si>
  <si>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</si>
  <si>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</si>
  <si>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</si>
  <si>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</si>
  <si>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</si>
  <si>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</si>
  <si>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</si>
  <si>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2025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</si>
  <si>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</si>
  <si>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</si>
  <si>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</si>
  <si>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</si>
  <si>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</si>
  <si>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</si>
  <si>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</si>
  <si>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</si>
  <si>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</si>
  <si>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</si>
  <si>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</si>
  <si>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</si>
  <si>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</si>
  <si>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</si>
  <si>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</si>
  <si>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</si>
  <si>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</si>
  <si>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</si>
  <si>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</si>
  <si>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</si>
  <si>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</si>
  <si>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</si>
  <si>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</si>
  <si>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</si>
  <si>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</si>
  <si>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</si>
  <si>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</si>
  <si>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</si>
  <si>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</si>
  <si>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</si>
  <si>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</si>
  <si>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</si>
  <si>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</si>
  <si>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</si>
  <si>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</si>
  <si>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</si>
  <si>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</si>
  <si>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</si>
  <si>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</si>
  <si>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</si>
  <si>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</si>
  <si>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</si>
  <si>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</si>
  <si>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</si>
  <si>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</si>
  <si>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</si>
  <si>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</si>
  <si>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</si>
  <si>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</si>
  <si>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</si>
  <si>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</si>
  <si>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</si>
  <si>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</si>
  <si>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</si>
  <si>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</si>
  <si>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</si>
  <si>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</si>
  <si>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</si>
  <si>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</si>
  <si>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</si>
  <si>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</si>
  <si>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</si>
  <si>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</si>
  <si>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</si>
  <si>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</si>
  <si>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</si>
  <si>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</si>
  <si>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</si>
  <si>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</si>
  <si>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</si>
  <si>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</si>
  <si>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</si>
  <si>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</si>
  <si>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</si>
  <si>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</si>
  <si>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</si>
  <si>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</si>
  <si>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</si>
  <si>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</si>
  <si>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</si>
  <si>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</si>
  <si>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</si>
  <si>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</si>
  <si>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</si>
  <si>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</si>
  <si>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</si>
  <si>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</si>
  <si>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</si>
  <si>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</si>
  <si>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</si>
  <si>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</si>
  <si>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</si>
  <si>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</si>
  <si>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</si>
  <si>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</si>
  <si>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</si>
  <si>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</si>
  <si>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</si>
  <si>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</si>
  <si>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</si>
  <si>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</si>
  <si>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</si>
  <si>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</si>
  <si>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</si>
  <si>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</si>
  <si>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</si>
  <si>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</si>
  <si>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</si>
  <si>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</si>
  <si>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</si>
  <si>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</si>
  <si>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</si>
  <si>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</si>
  <si>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</si>
  <si>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</si>
  <si>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</si>
  <si>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</si>
  <si>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</si>
  <si>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</si>
  <si>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</si>
  <si>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</si>
  <si>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</si>
  <si>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</si>
  <si>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</si>
  <si>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</si>
  <si>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</si>
  <si>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</si>
  <si>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</si>
  <si>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</si>
  <si>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</si>
  <si>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</si>
  <si>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</si>
  <si>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</si>
  <si>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</si>
  <si>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</si>
  <si>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</si>
  <si>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</si>
  <si>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</si>
  <si>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</si>
  <si>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</si>
  <si>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</si>
  <si>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</si>
  <si>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</si>
  <si>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</si>
  <si>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</si>
  <si>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</si>
  <si>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</si>
  <si>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</si>
  <si>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</si>
  <si>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</si>
  <si>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</si>
  <si>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</si>
  <si>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</si>
  <si>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</si>
  <si>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</si>
  <si>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</si>
  <si>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275-21</t>
  </si>
  <si>
    <t>MODAL AWAL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</si>
</sst>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(* #,##0_);_(* \(#,##0\);_(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(&quot;Rp&quot;* #,##0_);_(&quot;Rp&quot;* \(#,##0\);_(&quot;Rp&quot;* &quot;-&quot;_);_(@_)"/>
    <numFmt numFmtId="177" formatCode="_ * #,##0_ ;_ * \-#,##0_ ;_ * &quot;-&quot;_ ;_ @_ "/>
    <numFmt numFmtId="178" formatCode="_ * #,##0.00_ ;_ * \-#,##0.00_ ;_ * &quot;-&quot;??_ ;_ @_ "/>
    <numFmt numFmtId="179" formatCode="_-* #,##0_-;\-* #,##0_-;_-* &quot;-&quot;??_-;_-@_-"/>
    <numFmt numFmtId="180" formatCode="_(* #,##0_);_(* \(#,##0\);_(* &quot;-&quot;??_);_(@_)"/>
    <numFmt numFmtId="181" formatCode="_ * #,##0_ ;_ * \-#,##0_ ;_ * &quot;-&quot;??_ ;_ @_ "/>
    <numFmt numFmtId="182" formatCode="_(* #,##0.00_);_(* \(#,##0.00\);_(* &quot;-&quot;_);_(@_)"/>
    <numFmt numFmtId="183" formatCode="_(* #,##0.00000000_);_(* \(#,##0.00000000\);_(* &quot;-&quot;??_);_(@_)"/>
    <numFmt numFmtId="184" formatCode="0,000"/>
    <numFmt numFmtId="185" formatCode="[$-409]dd\-mmm\-yy;@"/>
    <numFmt numFmtId="186" formatCode="m/d/yyyy;@"/>
    <numFmt numFmtId="187" formatCode="_([$Rp-421]* #,##0_);_([$Rp-421]* \(#,##0\);_([$Rp-421]* &quot;-&quot;??_);_(@_)"/>
    <numFmt numFmtId="188" formatCode="_-[$Rp-421]* #,##0_-;\-[$Rp-421]* #,##0_-;_-[$Rp-421]* &quot;-&quot;??_-;_-@_-"/>
    <numFmt numFmtId="189" formatCode="_-[$Rp-3809]* #,##0_-;\-[$Rp-3809]* #,##0_-;_-[$Rp-3809]* &quot;-&quot;??_-;_-@_-"/>
  </numFmts>
  <fonts count="110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b/>
      <sz val="1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sz val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b/>
      <sz val="10"/>
      <color theme="1"/>
      <name val="Calibri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u/>
      <sz val="11"/>
      <name val="Calibri"/>
      <charset val="134"/>
      <scheme val="minor"/>
    </font>
    <font>
      <sz val="10"/>
      <color rgb="FFFF0000"/>
      <name val="Calibri"/>
      <charset val="134"/>
    </font>
    <font>
      <b/>
      <i/>
      <sz val="10"/>
      <color theme="1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4" fillId="24" borderId="79" applyNumberFormat="0" applyFon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0" applyNumberFormat="0" applyFill="0" applyAlignment="0" applyProtection="0">
      <alignment vertical="center"/>
    </xf>
    <xf numFmtId="0" fontId="95" fillId="0" borderId="80" applyNumberFormat="0" applyFill="0" applyAlignment="0" applyProtection="0">
      <alignment vertical="center"/>
    </xf>
    <xf numFmtId="0" fontId="96" fillId="0" borderId="81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5" borderId="82" applyNumberFormat="0" applyAlignment="0" applyProtection="0">
      <alignment vertical="center"/>
    </xf>
    <xf numFmtId="0" fontId="98" fillId="26" borderId="83" applyNumberFormat="0" applyAlignment="0" applyProtection="0">
      <alignment vertical="center"/>
    </xf>
    <xf numFmtId="0" fontId="99" fillId="26" borderId="82" applyNumberFormat="0" applyAlignment="0" applyProtection="0">
      <alignment vertical="center"/>
    </xf>
    <xf numFmtId="0" fontId="100" fillId="27" borderId="84" applyNumberFormat="0" applyAlignment="0" applyProtection="0">
      <alignment vertical="center"/>
    </xf>
    <xf numFmtId="0" fontId="101" fillId="0" borderId="85" applyNumberFormat="0" applyFill="0" applyAlignment="0" applyProtection="0">
      <alignment vertical="center"/>
    </xf>
    <xf numFmtId="0" fontId="102" fillId="0" borderId="86" applyNumberFormat="0" applyFill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104" fillId="29" borderId="0" applyNumberFormat="0" applyBorder="0" applyAlignment="0" applyProtection="0">
      <alignment vertical="center"/>
    </xf>
    <xf numFmtId="0" fontId="105" fillId="30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7" fillId="32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06" fillId="34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106" fillId="36" borderId="0" applyNumberFormat="0" applyBorder="0" applyAlignment="0" applyProtection="0">
      <alignment vertical="center"/>
    </xf>
    <xf numFmtId="0" fontId="106" fillId="37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6" fillId="40" borderId="0" applyNumberFormat="0" applyBorder="0" applyAlignment="0" applyProtection="0">
      <alignment vertical="center"/>
    </xf>
    <xf numFmtId="0" fontId="106" fillId="41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4" borderId="0" applyNumberFormat="0" applyBorder="0" applyAlignment="0" applyProtection="0">
      <alignment vertical="center"/>
    </xf>
    <xf numFmtId="0" fontId="107" fillId="45" borderId="0" applyNumberFormat="0" applyBorder="0" applyAlignment="0" applyProtection="0">
      <alignment vertical="center"/>
    </xf>
    <xf numFmtId="0" fontId="107" fillId="46" borderId="0" applyNumberFormat="0" applyBorder="0" applyAlignment="0" applyProtection="0">
      <alignment vertical="center"/>
    </xf>
    <xf numFmtId="0" fontId="106" fillId="15" borderId="0" applyNumberFormat="0" applyBorder="0" applyAlignment="0" applyProtection="0">
      <alignment vertical="center"/>
    </xf>
    <xf numFmtId="0" fontId="106" fillId="47" borderId="0" applyNumberFormat="0" applyBorder="0" applyAlignment="0" applyProtection="0">
      <alignment vertical="center"/>
    </xf>
    <xf numFmtId="0" fontId="107" fillId="48" borderId="0" applyNumberFormat="0" applyBorder="0" applyAlignment="0" applyProtection="0">
      <alignment vertical="center"/>
    </xf>
    <xf numFmtId="0" fontId="107" fillId="49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41" fontId="10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109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108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06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58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179" fontId="2" fillId="0" borderId="6" xfId="1" applyNumberFormat="1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6" xfId="1" applyNumberFormat="1" applyFont="1" applyBorder="1" applyAlignment="1">
      <alignment vertical="center"/>
    </xf>
    <xf numFmtId="179" fontId="3" fillId="0" borderId="6" xfId="1" applyNumberFormat="1" applyFont="1" applyFill="1" applyBorder="1" applyAlignment="1">
      <alignment vertical="center"/>
    </xf>
    <xf numFmtId="179" fontId="3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9" fontId="3" fillId="0" borderId="6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6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179" fontId="6" fillId="0" borderId="6" xfId="1" applyNumberFormat="1" applyFont="1" applyBorder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80" fontId="4" fillId="0" borderId="0" xfId="1" applyNumberFormat="1" applyFont="1" applyFill="1" applyAlignment="1"/>
    <xf numFmtId="180" fontId="7" fillId="0" borderId="0" xfId="0" applyNumberFormat="1" applyFont="1" applyFill="1" applyAlignment="1"/>
    <xf numFmtId="179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9" fontId="6" fillId="0" borderId="15" xfId="1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80" fontId="0" fillId="0" borderId="0" xfId="1" applyNumberFormat="1" applyFont="1" applyAlignment="1">
      <alignment horizontal="center" vertical="center"/>
    </xf>
    <xf numFmtId="180" fontId="0" fillId="0" borderId="0" xfId="1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8" fillId="0" borderId="6" xfId="1" applyNumberFormat="1" applyFont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/>
    </xf>
    <xf numFmtId="180" fontId="8" fillId="0" borderId="3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80" fontId="8" fillId="0" borderId="5" xfId="1" applyNumberFormat="1" applyFont="1" applyBorder="1" applyAlignment="1">
      <alignment horizontal="center" vertical="center" wrapText="1"/>
    </xf>
    <xf numFmtId="180" fontId="8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80" fontId="4" fillId="0" borderId="6" xfId="1" applyNumberFormat="1" applyFont="1" applyBorder="1" applyAlignment="1">
      <alignment vertical="center"/>
    </xf>
    <xf numFmtId="180" fontId="0" fillId="0" borderId="6" xfId="1" applyNumberFormat="1" applyFont="1" applyBorder="1" applyAlignment="1">
      <alignment vertical="center"/>
    </xf>
    <xf numFmtId="180" fontId="0" fillId="0" borderId="6" xfId="1" applyNumberFormat="1" applyFont="1" applyBorder="1" applyAlignment="1">
      <alignment horizontal="center" vertical="center"/>
    </xf>
    <xf numFmtId="0" fontId="0" fillId="0" borderId="6" xfId="0" applyFill="1" applyBorder="1"/>
    <xf numFmtId="0" fontId="0" fillId="0" borderId="6" xfId="0" applyBorder="1"/>
    <xf numFmtId="180" fontId="0" fillId="0" borderId="6" xfId="1" applyNumberFormat="1" applyFont="1" applyBorder="1"/>
    <xf numFmtId="0" fontId="0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6" xfId="1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0" fontId="8" fillId="0" borderId="6" xfId="1" applyNumberFormat="1" applyFont="1" applyBorder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1" fontId="0" fillId="0" borderId="0" xfId="4" applyFont="1"/>
    <xf numFmtId="41" fontId="0" fillId="0" borderId="0" xfId="4" applyFont="1" applyAlignment="1">
      <alignment horizontal="left" vertical="center"/>
    </xf>
    <xf numFmtId="41" fontId="0" fillId="0" borderId="0" xfId="4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41" fontId="9" fillId="0" borderId="0" xfId="4" applyFont="1" applyAlignment="1">
      <alignment horizontal="center"/>
    </xf>
    <xf numFmtId="180" fontId="8" fillId="0" borderId="7" xfId="1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9" fontId="8" fillId="0" borderId="6" xfId="3" applyFont="1" applyBorder="1" applyAlignment="1">
      <alignment horizontal="center" vertical="center"/>
    </xf>
    <xf numFmtId="0" fontId="8" fillId="0" borderId="0" xfId="0" applyFont="1" applyFill="1" applyAlignment="1"/>
    <xf numFmtId="180" fontId="10" fillId="0" borderId="0" xfId="0" applyNumberFormat="1" applyFont="1"/>
    <xf numFmtId="180" fontId="4" fillId="6" borderId="6" xfId="1" applyNumberFormat="1" applyFont="1" applyFill="1" applyBorder="1" applyAlignment="1">
      <alignment horizontal="center" vertical="center"/>
    </xf>
    <xf numFmtId="180" fontId="0" fillId="0" borderId="0" xfId="0" applyNumberFormat="1" applyFill="1"/>
    <xf numFmtId="180" fontId="0" fillId="0" borderId="0" xfId="0" applyNumberFormat="1"/>
    <xf numFmtId="180" fontId="8" fillId="0" borderId="16" xfId="1" applyNumberFormat="1" applyFont="1" applyBorder="1" applyAlignment="1">
      <alignment horizontal="center" vertical="center"/>
    </xf>
    <xf numFmtId="180" fontId="8" fillId="0" borderId="8" xfId="1" applyNumberFormat="1" applyFont="1" applyBorder="1" applyAlignment="1">
      <alignment horizontal="center" vertical="center"/>
    </xf>
    <xf numFmtId="180" fontId="0" fillId="7" borderId="0" xfId="0" applyNumberFormat="1" applyFill="1"/>
    <xf numFmtId="0" fontId="0" fillId="0" borderId="7" xfId="0" applyFill="1" applyBorder="1"/>
    <xf numFmtId="0" fontId="0" fillId="0" borderId="7" xfId="0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180" fontId="8" fillId="0" borderId="4" xfId="1" applyNumberFormat="1" applyFont="1" applyBorder="1" applyAlignment="1">
      <alignment horizontal="center" vertical="center"/>
    </xf>
    <xf numFmtId="180" fontId="8" fillId="0" borderId="17" xfId="1" applyNumberFormat="1" applyFont="1" applyBorder="1" applyAlignment="1">
      <alignment horizontal="center" vertical="center"/>
    </xf>
    <xf numFmtId="180" fontId="8" fillId="0" borderId="10" xfId="1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8" fillId="8" borderId="6" xfId="0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180" fontId="4" fillId="6" borderId="6" xfId="1" applyNumberFormat="1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1" fontId="4" fillId="6" borderId="6" xfId="4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1" fontId="11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9" fontId="9" fillId="0" borderId="0" xfId="0" applyNumberFormat="1" applyFont="1" applyFill="1" applyAlignment="1"/>
    <xf numFmtId="9" fontId="9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/>
    <xf numFmtId="9" fontId="1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8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1" fontId="4" fillId="0" borderId="6" xfId="4" applyFont="1" applyBorder="1" applyAlignment="1">
      <alignment horizontal="center" vertical="center"/>
    </xf>
    <xf numFmtId="41" fontId="11" fillId="0" borderId="6" xfId="4" applyFont="1" applyBorder="1" applyAlignment="1">
      <alignment horizontal="center" vertical="center"/>
    </xf>
    <xf numFmtId="41" fontId="8" fillId="0" borderId="0" xfId="4" applyFont="1" applyAlignment="1">
      <alignment horizontal="center"/>
    </xf>
    <xf numFmtId="1" fontId="4" fillId="0" borderId="6" xfId="4" applyNumberFormat="1" applyFont="1" applyBorder="1" applyAlignment="1">
      <alignment horizontal="center" vertical="center"/>
    </xf>
    <xf numFmtId="41" fontId="4" fillId="0" borderId="6" xfId="4" applyFont="1" applyBorder="1" applyAlignment="1">
      <alignment vertical="center"/>
    </xf>
    <xf numFmtId="0" fontId="12" fillId="0" borderId="6" xfId="64" applyFont="1" applyFill="1" applyBorder="1" applyAlignment="1">
      <alignment vertical="center"/>
    </xf>
    <xf numFmtId="0" fontId="11" fillId="9" borderId="6" xfId="0" applyFont="1" applyFill="1" applyBorder="1" applyAlignment="1">
      <alignment horizontal="center" vertical="center"/>
    </xf>
    <xf numFmtId="41" fontId="11" fillId="10" borderId="6" xfId="4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1" fontId="4" fillId="0" borderId="0" xfId="4" applyFont="1"/>
    <xf numFmtId="1" fontId="4" fillId="0" borderId="6" xfId="1" applyNumberFormat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1" fontId="4" fillId="0" borderId="0" xfId="0" applyNumberFormat="1" applyFont="1" applyFill="1" applyAlignment="1"/>
    <xf numFmtId="0" fontId="8" fillId="6" borderId="6" xfId="0" applyFont="1" applyFill="1" applyBorder="1" applyAlignment="1">
      <alignment horizontal="center" vertical="center" wrapText="1"/>
    </xf>
    <xf numFmtId="180" fontId="8" fillId="6" borderId="6" xfId="1" applyNumberFormat="1" applyFont="1" applyFill="1" applyBorder="1" applyAlignment="1">
      <alignment horizontal="center" vertical="center"/>
    </xf>
    <xf numFmtId="180" fontId="4" fillId="0" borderId="6" xfId="1" applyNumberFormat="1" applyBorder="1" applyAlignment="1">
      <alignment vertical="center"/>
    </xf>
    <xf numFmtId="58" fontId="4" fillId="0" borderId="6" xfId="0" applyNumberFormat="1" applyFont="1" applyFill="1" applyBorder="1" applyAlignment="1">
      <alignment vertical="center"/>
    </xf>
    <xf numFmtId="41" fontId="11" fillId="9" borderId="6" xfId="0" applyNumberFormat="1" applyFont="1" applyFill="1" applyBorder="1" applyAlignment="1">
      <alignment horizontal="center" vertical="center"/>
    </xf>
    <xf numFmtId="0" fontId="4" fillId="0" borderId="0" xfId="69">
      <alignment vertical="center"/>
    </xf>
    <xf numFmtId="0" fontId="13" fillId="0" borderId="0" xfId="69" applyFont="1" applyAlignment="1">
      <alignment horizontal="center" vertical="center"/>
    </xf>
    <xf numFmtId="0" fontId="8" fillId="0" borderId="0" xfId="69" applyFont="1" applyAlignment="1">
      <alignment horizontal="center" vertical="center"/>
    </xf>
    <xf numFmtId="0" fontId="8" fillId="8" borderId="6" xfId="69" applyFont="1" applyFill="1" applyBorder="1" applyAlignment="1">
      <alignment horizontal="center" vertical="center"/>
    </xf>
    <xf numFmtId="0" fontId="8" fillId="8" borderId="6" xfId="69" applyFont="1" applyFill="1" applyBorder="1" applyAlignment="1">
      <alignment horizontal="center" vertical="center" wrapText="1"/>
    </xf>
    <xf numFmtId="9" fontId="8" fillId="8" borderId="6" xfId="69" applyNumberFormat="1" applyFont="1" applyFill="1" applyBorder="1" applyAlignment="1">
      <alignment horizontal="center" vertical="center"/>
    </xf>
    <xf numFmtId="9" fontId="8" fillId="8" borderId="6" xfId="69" applyNumberFormat="1" applyFont="1" applyFill="1" applyBorder="1">
      <alignment vertical="center"/>
    </xf>
    <xf numFmtId="0" fontId="2" fillId="0" borderId="6" xfId="69" applyFont="1" applyBorder="1" applyAlignment="1">
      <alignment horizontal="center" vertical="center"/>
    </xf>
    <xf numFmtId="181" fontId="2" fillId="0" borderId="6" xfId="60" applyNumberFormat="1" applyFont="1" applyBorder="1">
      <alignment vertical="center"/>
    </xf>
    <xf numFmtId="181" fontId="2" fillId="0" borderId="6" xfId="60" applyNumberFormat="1" applyFont="1" applyBorder="1" applyAlignment="1">
      <alignment horizontal="center" vertical="top"/>
    </xf>
    <xf numFmtId="0" fontId="2" fillId="0" borderId="6" xfId="69" applyFont="1" applyBorder="1">
      <alignment vertical="center"/>
    </xf>
    <xf numFmtId="0" fontId="1" fillId="0" borderId="6" xfId="69" applyFont="1" applyBorder="1">
      <alignment vertical="center"/>
    </xf>
    <xf numFmtId="181" fontId="2" fillId="0" borderId="6" xfId="60" applyNumberFormat="1" applyFont="1" applyBorder="1" applyAlignment="1">
      <alignment horizontal="left" vertical="top"/>
    </xf>
    <xf numFmtId="181" fontId="4" fillId="0" borderId="0" xfId="69" applyNumberFormat="1">
      <alignment vertical="center"/>
    </xf>
    <xf numFmtId="0" fontId="4" fillId="0" borderId="0" xfId="69" applyAlignment="1">
      <alignment horizontal="center" vertical="center"/>
    </xf>
    <xf numFmtId="0" fontId="4" fillId="0" borderId="0" xfId="69" applyAlignment="1"/>
    <xf numFmtId="0" fontId="4" fillId="0" borderId="0" xfId="69" applyAlignment="1">
      <alignment horizontal="center"/>
    </xf>
    <xf numFmtId="41" fontId="0" fillId="0" borderId="0" xfId="52" applyNumberFormat="1" applyFont="1" applyAlignment="1"/>
    <xf numFmtId="0" fontId="9" fillId="0" borderId="0" xfId="69" applyFont="1" applyAlignment="1">
      <alignment horizontal="center"/>
    </xf>
    <xf numFmtId="0" fontId="9" fillId="0" borderId="0" xfId="69" applyFont="1" applyAlignment="1"/>
    <xf numFmtId="0" fontId="8" fillId="0" borderId="0" xfId="69" applyFont="1">
      <alignment vertical="center"/>
    </xf>
    <xf numFmtId="181" fontId="4" fillId="0" borderId="0" xfId="60" applyNumberFormat="1">
      <alignment vertical="center"/>
    </xf>
    <xf numFmtId="181" fontId="4" fillId="0" borderId="0" xfId="60" applyNumberFormat="1" applyBorder="1">
      <alignment vertical="center"/>
    </xf>
    <xf numFmtId="0" fontId="0" fillId="0" borderId="6" xfId="0" applyBorder="1" applyAlignment="1">
      <alignment vertical="center"/>
    </xf>
    <xf numFmtId="58" fontId="0" fillId="0" borderId="6" xfId="0" applyNumberFormat="1" applyBorder="1" applyAlignment="1">
      <alignment vertical="center"/>
    </xf>
    <xf numFmtId="0" fontId="8" fillId="0" borderId="6" xfId="0" applyFont="1" applyBorder="1"/>
    <xf numFmtId="0" fontId="14" fillId="0" borderId="0" xfId="66" applyFont="1" applyAlignment="1">
      <alignment horizontal="left" vertical="center"/>
    </xf>
    <xf numFmtId="0" fontId="15" fillId="0" borderId="0" xfId="66" applyFont="1" applyAlignment="1">
      <alignment horizontal="center" vertical="center"/>
    </xf>
    <xf numFmtId="0" fontId="16" fillId="0" borderId="0" xfId="66" applyFont="1" applyAlignment="1">
      <alignment horizontal="left" vertical="center"/>
    </xf>
    <xf numFmtId="0" fontId="17" fillId="0" borderId="0" xfId="66" applyFont="1" applyAlignment="1">
      <alignment horizontal="left" vertical="center"/>
    </xf>
    <xf numFmtId="0" fontId="15" fillId="0" borderId="0" xfId="66" applyFont="1" applyAlignment="1">
      <alignment horizontal="left" vertical="top"/>
    </xf>
    <xf numFmtId="0" fontId="18" fillId="0" borderId="0" xfId="66" applyAlignment="1">
      <alignment horizontal="center" vertical="top"/>
    </xf>
    <xf numFmtId="0" fontId="18" fillId="0" borderId="0" xfId="66" applyAlignment="1">
      <alignment horizontal="left" vertical="center"/>
    </xf>
    <xf numFmtId="0" fontId="18" fillId="0" borderId="0" xfId="66" applyAlignment="1">
      <alignment horizontal="center" vertical="center"/>
    </xf>
    <xf numFmtId="0" fontId="18" fillId="0" borderId="0" xfId="66" applyAlignment="1">
      <alignment horizontal="left" vertical="top"/>
    </xf>
    <xf numFmtId="0" fontId="19" fillId="0" borderId="0" xfId="66" applyFont="1" applyAlignment="1">
      <alignment horizontal="left" vertical="top"/>
    </xf>
    <xf numFmtId="0" fontId="20" fillId="0" borderId="0" xfId="66" applyFont="1" applyAlignment="1">
      <alignment horizontal="left" vertical="top"/>
    </xf>
    <xf numFmtId="1" fontId="19" fillId="0" borderId="0" xfId="66" applyNumberFormat="1" applyFont="1" applyAlignment="1">
      <alignment horizontal="left" vertical="top"/>
    </xf>
    <xf numFmtId="1" fontId="19" fillId="0" borderId="0" xfId="66" applyNumberFormat="1" applyFont="1" applyAlignment="1">
      <alignment horizontal="center" vertical="center"/>
    </xf>
    <xf numFmtId="182" fontId="0" fillId="0" borderId="0" xfId="51" applyNumberFormat="1" applyFont="1" applyAlignment="1">
      <alignment horizontal="left" vertical="top"/>
    </xf>
    <xf numFmtId="1" fontId="0" fillId="0" borderId="0" xfId="51" applyNumberFormat="1" applyFont="1" applyAlignment="1">
      <alignment horizontal="center" vertical="top"/>
    </xf>
    <xf numFmtId="183" fontId="0" fillId="0" borderId="0" xfId="59" applyNumberFormat="1" applyFont="1" applyAlignment="1">
      <alignment horizontal="center" vertical="top"/>
    </xf>
    <xf numFmtId="1" fontId="21" fillId="0" borderId="0" xfId="51" applyNumberFormat="1" applyFont="1" applyAlignment="1">
      <alignment horizontal="center" vertical="top"/>
    </xf>
    <xf numFmtId="0" fontId="14" fillId="0" borderId="0" xfId="66" applyFont="1" applyAlignment="1">
      <alignment horizontal="center" vertical="center"/>
    </xf>
    <xf numFmtId="0" fontId="22" fillId="0" borderId="0" xfId="66" applyFont="1" applyAlignment="1">
      <alignment horizontal="left" vertical="center"/>
    </xf>
    <xf numFmtId="0" fontId="23" fillId="0" borderId="19" xfId="66" applyFont="1" applyBorder="1" applyAlignment="1">
      <alignment horizontal="left" vertical="center" wrapText="1"/>
    </xf>
    <xf numFmtId="0" fontId="23" fillId="0" borderId="0" xfId="66" applyFont="1" applyAlignment="1">
      <alignment horizontal="left" vertical="center" wrapText="1"/>
    </xf>
    <xf numFmtId="0" fontId="23" fillId="0" borderId="0" xfId="66" applyFont="1" applyAlignment="1">
      <alignment horizontal="left" vertical="center"/>
    </xf>
    <xf numFmtId="0" fontId="23" fillId="0" borderId="0" xfId="66" applyFont="1" applyAlignment="1">
      <alignment horizontal="center" vertical="center" wrapText="1"/>
    </xf>
    <xf numFmtId="180" fontId="23" fillId="0" borderId="0" xfId="66" applyNumberFormat="1" applyFont="1" applyAlignment="1">
      <alignment vertical="center" wrapText="1"/>
    </xf>
    <xf numFmtId="0" fontId="22" fillId="0" borderId="0" xfId="66" applyFont="1" applyAlignment="1">
      <alignment horizontal="left" vertical="center" wrapText="1"/>
    </xf>
    <xf numFmtId="0" fontId="23" fillId="0" borderId="20" xfId="66" applyFont="1" applyBorder="1" applyAlignment="1">
      <alignment horizontal="left" vertical="center" wrapText="1"/>
    </xf>
    <xf numFmtId="0" fontId="23" fillId="0" borderId="21" xfId="66" applyFont="1" applyBorder="1" applyAlignment="1">
      <alignment horizontal="left" vertical="center" wrapText="1"/>
    </xf>
    <xf numFmtId="0" fontId="23" fillId="0" borderId="21" xfId="66" applyFont="1" applyBorder="1" applyAlignment="1">
      <alignment horizontal="left" vertical="center"/>
    </xf>
    <xf numFmtId="0" fontId="23" fillId="0" borderId="21" xfId="66" applyFont="1" applyBorder="1" applyAlignment="1">
      <alignment horizontal="center" vertical="center" wrapText="1"/>
    </xf>
    <xf numFmtId="0" fontId="14" fillId="0" borderId="21" xfId="66" applyFont="1" applyBorder="1" applyAlignment="1">
      <alignment horizontal="left" vertical="center" wrapText="1"/>
    </xf>
    <xf numFmtId="0" fontId="22" fillId="0" borderId="21" xfId="66" applyFont="1" applyBorder="1" applyAlignment="1">
      <alignment horizontal="left" vertical="center" wrapText="1"/>
    </xf>
    <xf numFmtId="0" fontId="23" fillId="10" borderId="22" xfId="66" applyFont="1" applyFill="1" applyBorder="1" applyAlignment="1">
      <alignment horizontal="center" vertical="center" wrapText="1"/>
    </xf>
    <xf numFmtId="0" fontId="23" fillId="10" borderId="23" xfId="66" applyFont="1" applyFill="1" applyBorder="1" applyAlignment="1">
      <alignment horizontal="center" vertical="center" wrapText="1"/>
    </xf>
    <xf numFmtId="0" fontId="23" fillId="11" borderId="24" xfId="66" applyFont="1" applyFill="1" applyBorder="1" applyAlignment="1">
      <alignment horizontal="center" vertical="center" wrapText="1"/>
    </xf>
    <xf numFmtId="0" fontId="23" fillId="12" borderId="25" xfId="66" applyFont="1" applyFill="1" applyBorder="1" applyAlignment="1">
      <alignment horizontal="center" vertical="center" wrapText="1"/>
    </xf>
    <xf numFmtId="0" fontId="23" fillId="12" borderId="26" xfId="66" applyFont="1" applyFill="1" applyBorder="1" applyAlignment="1">
      <alignment horizontal="center" vertical="center" wrapText="1"/>
    </xf>
    <xf numFmtId="0" fontId="23" fillId="12" borderId="27" xfId="66" applyFont="1" applyFill="1" applyBorder="1" applyAlignment="1">
      <alignment horizontal="center" vertical="center" wrapText="1"/>
    </xf>
    <xf numFmtId="0" fontId="23" fillId="10" borderId="28" xfId="66" applyFont="1" applyFill="1" applyBorder="1" applyAlignment="1">
      <alignment horizontal="center" vertical="center" wrapText="1"/>
    </xf>
    <xf numFmtId="0" fontId="23" fillId="10" borderId="29" xfId="66" applyFont="1" applyFill="1" applyBorder="1" applyAlignment="1">
      <alignment horizontal="center" vertical="center" wrapText="1"/>
    </xf>
    <xf numFmtId="0" fontId="23" fillId="5" borderId="30" xfId="66" applyFont="1" applyFill="1" applyBorder="1" applyAlignment="1">
      <alignment horizontal="center" vertical="center" wrapText="1"/>
    </xf>
    <xf numFmtId="0" fontId="23" fillId="5" borderId="31" xfId="66" applyFont="1" applyFill="1" applyBorder="1" applyAlignment="1">
      <alignment horizontal="center" vertical="center" wrapText="1"/>
    </xf>
    <xf numFmtId="0" fontId="23" fillId="5" borderId="32" xfId="66" applyFont="1" applyFill="1" applyBorder="1" applyAlignment="1">
      <alignment horizontal="center" vertical="center" wrapText="1"/>
    </xf>
    <xf numFmtId="1" fontId="16" fillId="0" borderId="33" xfId="66" applyNumberFormat="1" applyFont="1" applyBorder="1" applyAlignment="1">
      <alignment horizontal="center" vertical="center" shrinkToFit="1"/>
    </xf>
    <xf numFmtId="0" fontId="24" fillId="0" borderId="3" xfId="66" applyFont="1" applyBorder="1" applyAlignment="1">
      <alignment vertical="center"/>
    </xf>
    <xf numFmtId="1" fontId="25" fillId="12" borderId="2" xfId="66" applyNumberFormat="1" applyFont="1" applyFill="1" applyBorder="1" applyAlignment="1" applyProtection="1">
      <alignment horizontal="center" vertical="center"/>
      <protection locked="0"/>
    </xf>
    <xf numFmtId="0" fontId="26" fillId="0" borderId="3" xfId="66" applyFont="1" applyBorder="1" applyAlignment="1">
      <alignment horizontal="center" vertical="center"/>
    </xf>
    <xf numFmtId="184" fontId="25" fillId="12" borderId="6" xfId="66" applyNumberFormat="1" applyFont="1" applyFill="1" applyBorder="1" applyAlignment="1" applyProtection="1">
      <alignment horizontal="right" vertical="center"/>
      <protection locked="0"/>
    </xf>
    <xf numFmtId="41" fontId="27" fillId="0" borderId="34" xfId="58" applyNumberFormat="1" applyFont="1" applyBorder="1" applyAlignment="1">
      <alignment horizontal="right" vertical="center" shrinkToFit="1"/>
    </xf>
    <xf numFmtId="41" fontId="27" fillId="0" borderId="30" xfId="58" applyNumberFormat="1" applyFont="1" applyBorder="1" applyAlignment="1">
      <alignment horizontal="right" vertical="center" shrinkToFit="1"/>
    </xf>
    <xf numFmtId="0" fontId="25" fillId="12" borderId="6" xfId="66" applyFont="1" applyFill="1" applyBorder="1" applyAlignment="1" applyProtection="1">
      <alignment horizontal="right" vertical="center"/>
      <protection locked="0"/>
    </xf>
    <xf numFmtId="0" fontId="24" fillId="12" borderId="2" xfId="66" applyFont="1" applyFill="1" applyBorder="1" applyAlignment="1">
      <alignment horizontal="center" vertical="center"/>
    </xf>
    <xf numFmtId="0" fontId="17" fillId="0" borderId="35" xfId="66" applyFont="1" applyBorder="1" applyAlignment="1">
      <alignment horizontal="center" vertical="center"/>
    </xf>
    <xf numFmtId="41" fontId="17" fillId="0" borderId="35" xfId="51" applyFont="1" applyFill="1" applyBorder="1" applyAlignment="1">
      <alignment horizontal="center" vertical="center" shrinkToFit="1"/>
    </xf>
    <xf numFmtId="41" fontId="17" fillId="0" borderId="35" xfId="66" applyNumberFormat="1" applyFont="1" applyBorder="1" applyAlignment="1">
      <alignment horizontal="center" vertical="center"/>
    </xf>
    <xf numFmtId="180" fontId="17" fillId="0" borderId="35" xfId="59" applyNumberFormat="1" applyFont="1" applyBorder="1" applyAlignment="1">
      <alignment horizontal="right" vertical="center" shrinkToFit="1"/>
    </xf>
    <xf numFmtId="180" fontId="17" fillId="0" borderId="35" xfId="59" applyNumberFormat="1" applyFont="1" applyBorder="1" applyAlignment="1">
      <alignment horizontal="right" vertical="center"/>
    </xf>
    <xf numFmtId="41" fontId="22" fillId="0" borderId="0" xfId="51" applyFont="1" applyAlignment="1">
      <alignment horizontal="left" vertical="center"/>
    </xf>
    <xf numFmtId="0" fontId="15" fillId="0" borderId="0" xfId="66" applyFont="1" applyAlignment="1">
      <alignment horizontal="center" vertical="top"/>
    </xf>
    <xf numFmtId="0" fontId="15" fillId="0" borderId="0" xfId="66" applyFont="1" applyAlignment="1">
      <alignment horizontal="left" vertical="center"/>
    </xf>
    <xf numFmtId="0" fontId="22" fillId="0" borderId="0" xfId="66" applyFont="1" applyAlignment="1">
      <alignment horizontal="left" vertical="top"/>
    </xf>
    <xf numFmtId="1" fontId="22" fillId="0" borderId="0" xfId="66" applyNumberFormat="1" applyFont="1" applyAlignment="1">
      <alignment horizontal="left" vertical="center"/>
    </xf>
    <xf numFmtId="1" fontId="22" fillId="0" borderId="0" xfId="66" applyNumberFormat="1" applyFont="1" applyAlignment="1">
      <alignment horizontal="center" vertical="center"/>
    </xf>
    <xf numFmtId="182" fontId="14" fillId="0" borderId="0" xfId="51" applyNumberFormat="1" applyFont="1" applyAlignment="1">
      <alignment horizontal="left" vertical="center"/>
    </xf>
    <xf numFmtId="1" fontId="14" fillId="0" borderId="0" xfId="51" applyNumberFormat="1" applyFont="1" applyAlignment="1">
      <alignment horizontal="center" vertical="center"/>
    </xf>
    <xf numFmtId="183" fontId="14" fillId="0" borderId="0" xfId="59" applyNumberFormat="1" applyFont="1" applyAlignment="1">
      <alignment horizontal="center" vertical="center"/>
    </xf>
    <xf numFmtId="1" fontId="23" fillId="0" borderId="0" xfId="66" applyNumberFormat="1" applyFont="1" applyAlignment="1">
      <alignment horizontal="center" vertical="center" wrapText="1"/>
    </xf>
    <xf numFmtId="0" fontId="23" fillId="0" borderId="0" xfId="66" applyFont="1" applyAlignment="1">
      <alignment vertical="center" wrapText="1"/>
    </xf>
    <xf numFmtId="183" fontId="23" fillId="0" borderId="0" xfId="59" applyNumberFormat="1" applyFont="1" applyAlignment="1">
      <alignment horizontal="center" vertical="center" wrapText="1"/>
    </xf>
    <xf numFmtId="1" fontId="23" fillId="0" borderId="0" xfId="66" applyNumberFormat="1" applyFont="1" applyAlignment="1">
      <alignment horizontal="left" vertical="center" wrapText="1"/>
    </xf>
    <xf numFmtId="180" fontId="28" fillId="0" borderId="34" xfId="59" applyNumberFormat="1" applyFont="1" applyFill="1" applyBorder="1" applyAlignment="1">
      <alignment horizontal="right" vertical="center" shrinkToFit="1"/>
    </xf>
    <xf numFmtId="9" fontId="28" fillId="0" borderId="0" xfId="71" applyFont="1" applyFill="1" applyBorder="1" applyAlignment="1">
      <alignment horizontal="center" vertical="center"/>
    </xf>
    <xf numFmtId="1" fontId="28" fillId="0" borderId="0" xfId="71" applyNumberFormat="1" applyFont="1" applyFill="1" applyBorder="1" applyAlignment="1">
      <alignment horizontal="center" vertical="center"/>
    </xf>
    <xf numFmtId="1" fontId="16" fillId="0" borderId="0" xfId="51" applyNumberFormat="1" applyFont="1" applyFill="1" applyAlignment="1">
      <alignment horizontal="center" vertical="center"/>
    </xf>
    <xf numFmtId="182" fontId="16" fillId="0" borderId="0" xfId="51" applyNumberFormat="1" applyFont="1" applyFill="1" applyAlignment="1">
      <alignment horizontal="left" vertical="center"/>
    </xf>
    <xf numFmtId="183" fontId="16" fillId="0" borderId="0" xfId="59" applyNumberFormat="1" applyFont="1" applyFill="1" applyAlignment="1">
      <alignment horizontal="center" vertical="center"/>
    </xf>
    <xf numFmtId="9" fontId="17" fillId="0" borderId="0" xfId="71" applyFont="1" applyFill="1" applyBorder="1" applyAlignment="1">
      <alignment horizontal="center" vertical="center"/>
    </xf>
    <xf numFmtId="1" fontId="17" fillId="0" borderId="0" xfId="71" applyNumberFormat="1" applyFont="1" applyFill="1" applyBorder="1" applyAlignment="1">
      <alignment horizontal="center" vertical="center"/>
    </xf>
    <xf numFmtId="1" fontId="17" fillId="0" borderId="0" xfId="51" applyNumberFormat="1" applyFont="1" applyAlignment="1">
      <alignment horizontal="center" vertical="center"/>
    </xf>
    <xf numFmtId="182" fontId="17" fillId="0" borderId="0" xfId="51" applyNumberFormat="1" applyFont="1" applyAlignment="1">
      <alignment horizontal="left" vertical="center"/>
    </xf>
    <xf numFmtId="183" fontId="17" fillId="0" borderId="0" xfId="59" applyNumberFormat="1" applyFont="1" applyAlignment="1">
      <alignment horizontal="center" vertical="center"/>
    </xf>
    <xf numFmtId="41" fontId="28" fillId="0" borderId="0" xfId="66" applyNumberFormat="1" applyFont="1" applyAlignment="1">
      <alignment horizontal="left" vertical="center"/>
    </xf>
    <xf numFmtId="41" fontId="22" fillId="0" borderId="0" xfId="66" applyNumberFormat="1" applyFont="1" applyAlignment="1">
      <alignment horizontal="left" vertical="center"/>
    </xf>
    <xf numFmtId="0" fontId="29" fillId="0" borderId="0" xfId="66" applyFont="1" applyAlignment="1">
      <alignment horizontal="left" vertical="top"/>
    </xf>
    <xf numFmtId="1" fontId="22" fillId="0" borderId="0" xfId="66" applyNumberFormat="1" applyFont="1" applyAlignment="1">
      <alignment horizontal="left" vertical="top"/>
    </xf>
    <xf numFmtId="182" fontId="15" fillId="0" borderId="0" xfId="51" applyNumberFormat="1" applyFont="1" applyAlignment="1">
      <alignment horizontal="left" vertical="top"/>
    </xf>
    <xf numFmtId="1" fontId="15" fillId="0" borderId="0" xfId="51" applyNumberFormat="1" applyFont="1" applyAlignment="1">
      <alignment horizontal="center" vertical="top"/>
    </xf>
    <xf numFmtId="183" fontId="15" fillId="0" borderId="0" xfId="59" applyNumberFormat="1" applyFont="1" applyAlignment="1">
      <alignment horizontal="center" vertical="top"/>
    </xf>
    <xf numFmtId="1" fontId="22" fillId="0" borderId="0" xfId="66" applyNumberFormat="1" applyFont="1" applyAlignment="1">
      <alignment horizontal="center" vertical="center" wrapText="1"/>
    </xf>
    <xf numFmtId="1" fontId="29" fillId="0" borderId="0" xfId="51" applyNumberFormat="1" applyFont="1" applyAlignment="1">
      <alignment horizontal="center" vertical="top"/>
    </xf>
    <xf numFmtId="0" fontId="23" fillId="0" borderId="36" xfId="66" applyFont="1" applyBorder="1" applyAlignment="1">
      <alignment horizontal="left" vertical="center" wrapText="1"/>
    </xf>
    <xf numFmtId="182" fontId="15" fillId="0" borderId="0" xfId="51" applyNumberFormat="1" applyFont="1" applyAlignment="1">
      <alignment horizontal="center" vertical="center"/>
    </xf>
    <xf numFmtId="182" fontId="22" fillId="0" borderId="0" xfId="51" applyNumberFormat="1" applyFont="1" applyAlignment="1">
      <alignment horizontal="left" vertical="center"/>
    </xf>
    <xf numFmtId="0" fontId="30" fillId="0" borderId="0" xfId="65" applyFont="1"/>
    <xf numFmtId="0" fontId="31" fillId="0" borderId="0" xfId="65" applyFont="1"/>
    <xf numFmtId="0" fontId="32" fillId="0" borderId="0" xfId="65" applyFont="1" applyAlignment="1">
      <alignment wrapText="1"/>
    </xf>
    <xf numFmtId="0" fontId="33" fillId="0" borderId="0" xfId="65" applyFont="1" applyAlignment="1">
      <alignment horizontal="center" vertical="center" wrapText="1"/>
    </xf>
    <xf numFmtId="0" fontId="34" fillId="0" borderId="0" xfId="65" applyFont="1"/>
    <xf numFmtId="0" fontId="35" fillId="0" borderId="0" xfId="65" applyFont="1"/>
    <xf numFmtId="0" fontId="32" fillId="0" borderId="0" xfId="65" applyFont="1"/>
    <xf numFmtId="0" fontId="36" fillId="0" borderId="0" xfId="65" applyFont="1" applyAlignment="1">
      <alignment horizontal="center"/>
    </xf>
    <xf numFmtId="41" fontId="36" fillId="0" borderId="0" xfId="65" applyNumberFormat="1" applyFont="1" applyAlignment="1">
      <alignment horizontal="center"/>
    </xf>
    <xf numFmtId="0" fontId="35" fillId="0" borderId="0" xfId="65" applyFont="1" applyAlignment="1">
      <alignment horizontal="left"/>
    </xf>
    <xf numFmtId="0" fontId="35" fillId="0" borderId="37" xfId="65" applyFont="1" applyBorder="1" applyAlignment="1">
      <alignment horizontal="center" vertical="center" wrapText="1"/>
    </xf>
    <xf numFmtId="0" fontId="35" fillId="0" borderId="38" xfId="65" applyFont="1" applyBorder="1" applyAlignment="1">
      <alignment horizontal="center" vertical="center" wrapText="1"/>
    </xf>
    <xf numFmtId="0" fontId="35" fillId="0" borderId="39" xfId="65" applyFont="1" applyBorder="1" applyAlignment="1">
      <alignment horizontal="center" vertical="center" wrapText="1"/>
    </xf>
    <xf numFmtId="0" fontId="35" fillId="0" borderId="5" xfId="65" applyFont="1" applyBorder="1" applyAlignment="1">
      <alignment horizontal="center" vertical="center" wrapText="1"/>
    </xf>
    <xf numFmtId="0" fontId="34" fillId="0" borderId="40" xfId="65" applyFont="1" applyBorder="1" applyAlignment="1">
      <alignment horizontal="center" vertical="center" wrapText="1"/>
    </xf>
    <xf numFmtId="0" fontId="34" fillId="0" borderId="8" xfId="65" applyFont="1" applyBorder="1" applyAlignment="1">
      <alignment horizontal="center" vertical="center" wrapText="1"/>
    </xf>
    <xf numFmtId="0" fontId="34" fillId="0" borderId="1" xfId="65" applyFont="1" applyBorder="1" applyAlignment="1">
      <alignment horizontal="center" vertical="center" wrapText="1"/>
    </xf>
    <xf numFmtId="0" fontId="37" fillId="0" borderId="1" xfId="65" applyFont="1" applyBorder="1" applyAlignment="1">
      <alignment horizontal="center" vertical="center" wrapText="1"/>
    </xf>
    <xf numFmtId="0" fontId="31" fillId="0" borderId="41" xfId="65" applyFont="1" applyBorder="1"/>
    <xf numFmtId="0" fontId="31" fillId="0" borderId="42" xfId="65" applyFont="1" applyBorder="1"/>
    <xf numFmtId="0" fontId="31" fillId="0" borderId="43" xfId="65" applyFont="1" applyBorder="1"/>
    <xf numFmtId="0" fontId="38" fillId="0" borderId="43" xfId="65" applyFont="1" applyBorder="1" applyAlignment="1">
      <alignment horizontal="center" vertical="center" wrapText="1"/>
    </xf>
    <xf numFmtId="0" fontId="39" fillId="0" borderId="44" xfId="65" applyFont="1" applyBorder="1" applyAlignment="1">
      <alignment horizontal="center"/>
    </xf>
    <xf numFmtId="0" fontId="39" fillId="0" borderId="7" xfId="65" applyFont="1" applyBorder="1"/>
    <xf numFmtId="58" fontId="39" fillId="0" borderId="6" xfId="65" applyNumberFormat="1" applyFont="1" applyBorder="1" applyAlignment="1">
      <alignment horizontal="center" vertical="center"/>
    </xf>
    <xf numFmtId="0" fontId="40" fillId="0" borderId="6" xfId="65" applyFont="1" applyBorder="1" applyAlignment="1">
      <alignment horizontal="center" vertical="center" wrapText="1"/>
    </xf>
    <xf numFmtId="0" fontId="39" fillId="0" borderId="6" xfId="65" applyFont="1" applyBorder="1" applyAlignment="1">
      <alignment horizontal="center"/>
    </xf>
    <xf numFmtId="41" fontId="39" fillId="0" borderId="6" xfId="49" applyFont="1" applyFill="1" applyBorder="1"/>
    <xf numFmtId="41" fontId="39" fillId="0" borderId="6" xfId="49" applyFont="1" applyFill="1" applyBorder="1" applyAlignment="1">
      <alignment horizontal="center" readingOrder="1"/>
    </xf>
    <xf numFmtId="58" fontId="39" fillId="0" borderId="6" xfId="65" applyNumberFormat="1" applyFont="1" applyBorder="1" applyAlignment="1">
      <alignment horizontal="center"/>
    </xf>
    <xf numFmtId="0" fontId="41" fillId="0" borderId="1" xfId="65" applyFont="1" applyBorder="1"/>
    <xf numFmtId="185" fontId="41" fillId="0" borderId="1" xfId="65" applyNumberFormat="1" applyFont="1" applyBorder="1" applyAlignment="1">
      <alignment horizontal="center"/>
    </xf>
    <xf numFmtId="0" fontId="41" fillId="0" borderId="1" xfId="65" applyFont="1" applyBorder="1" applyAlignment="1">
      <alignment horizontal="center"/>
    </xf>
    <xf numFmtId="41" fontId="41" fillId="0" borderId="16" xfId="49" applyFont="1" applyFill="1" applyBorder="1"/>
    <xf numFmtId="41" fontId="34" fillId="0" borderId="6" xfId="49" applyFont="1" applyFill="1" applyBorder="1"/>
    <xf numFmtId="41" fontId="41" fillId="6" borderId="9" xfId="49" applyFont="1" applyFill="1" applyBorder="1" applyAlignment="1">
      <alignment horizontal="center" vertical="center" readingOrder="1"/>
    </xf>
    <xf numFmtId="0" fontId="34" fillId="0" borderId="1" xfId="65" applyFont="1" applyBorder="1"/>
    <xf numFmtId="185" fontId="34" fillId="0" borderId="1" xfId="65" applyNumberFormat="1" applyFont="1" applyBorder="1" applyAlignment="1">
      <alignment horizontal="center"/>
    </xf>
    <xf numFmtId="0" fontId="34" fillId="0" borderId="1" xfId="65" applyFont="1" applyBorder="1" applyAlignment="1">
      <alignment horizontal="center"/>
    </xf>
    <xf numFmtId="41" fontId="34" fillId="0" borderId="1" xfId="49" applyFont="1" applyFill="1" applyBorder="1"/>
    <xf numFmtId="41" fontId="34" fillId="0" borderId="1" xfId="49" applyFont="1" applyFill="1" applyBorder="1" applyAlignment="1">
      <alignment horizontal="center" vertical="center" readingOrder="1"/>
    </xf>
    <xf numFmtId="0" fontId="42" fillId="0" borderId="1" xfId="65" applyFont="1" applyBorder="1"/>
    <xf numFmtId="58" fontId="34" fillId="0" borderId="1" xfId="65" applyNumberFormat="1" applyFont="1" applyBorder="1" applyAlignment="1">
      <alignment horizontal="center"/>
    </xf>
    <xf numFmtId="0" fontId="34" fillId="13" borderId="1" xfId="65" applyFont="1" applyFill="1" applyBorder="1"/>
    <xf numFmtId="186" fontId="34" fillId="13" borderId="1" xfId="65" applyNumberFormat="1" applyFont="1" applyFill="1" applyBorder="1" applyAlignment="1">
      <alignment horizontal="center"/>
    </xf>
    <xf numFmtId="0" fontId="40" fillId="13" borderId="6" xfId="65" applyFont="1" applyFill="1" applyBorder="1" applyAlignment="1">
      <alignment horizontal="center" vertical="center" wrapText="1"/>
    </xf>
    <xf numFmtId="0" fontId="34" fillId="13" borderId="1" xfId="65" applyFont="1" applyFill="1" applyBorder="1" applyAlignment="1">
      <alignment horizontal="center"/>
    </xf>
    <xf numFmtId="41" fontId="34" fillId="13" borderId="1" xfId="49" applyFont="1" applyFill="1" applyBorder="1"/>
    <xf numFmtId="41" fontId="34" fillId="13" borderId="1" xfId="49" applyFont="1" applyFill="1" applyBorder="1" applyAlignment="1">
      <alignment horizontal="center" vertical="center" readingOrder="1"/>
    </xf>
    <xf numFmtId="0" fontId="34" fillId="13" borderId="6" xfId="65" applyFont="1" applyFill="1" applyBorder="1"/>
    <xf numFmtId="186" fontId="34" fillId="13" borderId="6" xfId="65" applyNumberFormat="1" applyFont="1" applyFill="1" applyBorder="1" applyAlignment="1">
      <alignment horizontal="center"/>
    </xf>
    <xf numFmtId="0" fontId="34" fillId="13" borderId="6" xfId="65" applyFont="1" applyFill="1" applyBorder="1" applyAlignment="1">
      <alignment horizontal="center"/>
    </xf>
    <xf numFmtId="41" fontId="34" fillId="13" borderId="6" xfId="49" applyFont="1" applyFill="1" applyBorder="1"/>
    <xf numFmtId="41" fontId="34" fillId="13" borderId="6" xfId="49" applyFont="1" applyFill="1" applyBorder="1" applyAlignment="1">
      <alignment horizontal="center" vertical="center" readingOrder="1"/>
    </xf>
    <xf numFmtId="0" fontId="34" fillId="0" borderId="6" xfId="65" applyFont="1" applyBorder="1"/>
    <xf numFmtId="186" fontId="34" fillId="0" borderId="6" xfId="65" applyNumberFormat="1" applyFont="1" applyBorder="1" applyAlignment="1">
      <alignment horizontal="center"/>
    </xf>
    <xf numFmtId="0" fontId="34" fillId="0" borderId="6" xfId="65" applyFont="1" applyBorder="1" applyAlignment="1">
      <alignment horizontal="center"/>
    </xf>
    <xf numFmtId="41" fontId="34" fillId="0" borderId="6" xfId="49" applyFont="1" applyFill="1" applyBorder="1" applyAlignment="1">
      <alignment horizontal="center" vertical="center" readingOrder="1"/>
    </xf>
    <xf numFmtId="0" fontId="39" fillId="0" borderId="6" xfId="65" applyFont="1" applyBorder="1" applyAlignment="1">
      <alignment horizontal="left" vertical="center"/>
    </xf>
    <xf numFmtId="0" fontId="39" fillId="0" borderId="6" xfId="65" applyFont="1" applyBorder="1" applyAlignment="1">
      <alignment vertical="center"/>
    </xf>
    <xf numFmtId="0" fontId="39" fillId="0" borderId="6" xfId="65" applyFont="1" applyBorder="1"/>
    <xf numFmtId="0" fontId="39" fillId="0" borderId="7" xfId="65" applyFont="1" applyBorder="1" applyAlignment="1">
      <alignment horizontal="center"/>
    </xf>
    <xf numFmtId="0" fontId="39" fillId="0" borderId="7" xfId="65" applyFont="1" applyBorder="1" applyAlignment="1">
      <alignment horizontal="center" vertical="center"/>
    </xf>
    <xf numFmtId="0" fontId="39" fillId="0" borderId="7" xfId="65" applyFont="1" applyBorder="1" applyAlignment="1">
      <alignment horizontal="left" vertical="center"/>
    </xf>
    <xf numFmtId="0" fontId="40" fillId="0" borderId="6" xfId="65" applyFont="1" applyBorder="1" applyAlignment="1">
      <alignment horizontal="left" vertical="center" wrapText="1"/>
    </xf>
    <xf numFmtId="0" fontId="39" fillId="0" borderId="6" xfId="65" applyFont="1" applyBorder="1" applyAlignment="1">
      <alignment horizontal="left"/>
    </xf>
    <xf numFmtId="41" fontId="39" fillId="0" borderId="6" xfId="49" applyFont="1" applyFill="1" applyBorder="1" applyAlignment="1">
      <alignment horizontal="left"/>
    </xf>
    <xf numFmtId="41" fontId="34" fillId="0" borderId="6" xfId="49" applyFont="1" applyFill="1" applyBorder="1" applyAlignment="1">
      <alignment horizontal="left"/>
    </xf>
    <xf numFmtId="0" fontId="43" fillId="0" borderId="6" xfId="65" applyFont="1" applyBorder="1" applyAlignment="1">
      <alignment horizontal="center" vertical="center"/>
    </xf>
    <xf numFmtId="0" fontId="43" fillId="0" borderId="6" xfId="65" applyFont="1" applyBorder="1" applyAlignment="1">
      <alignment vertical="center"/>
    </xf>
    <xf numFmtId="0" fontId="44" fillId="0" borderId="6" xfId="65" applyFont="1" applyBorder="1" applyAlignment="1">
      <alignment horizontal="center" vertical="center" wrapText="1"/>
    </xf>
    <xf numFmtId="0" fontId="43" fillId="0" borderId="6" xfId="65" applyFont="1" applyBorder="1"/>
    <xf numFmtId="41" fontId="43" fillId="0" borderId="6" xfId="49" applyFont="1" applyFill="1" applyBorder="1"/>
    <xf numFmtId="41" fontId="34" fillId="0" borderId="0" xfId="49" applyFont="1" applyFill="1" applyBorder="1"/>
    <xf numFmtId="180" fontId="34" fillId="0" borderId="0" xfId="56" applyNumberFormat="1" applyFont="1"/>
    <xf numFmtId="187" fontId="45" fillId="0" borderId="0" xfId="0" applyNumberFormat="1" applyFont="1" applyAlignment="1">
      <alignment vertical="center"/>
    </xf>
    <xf numFmtId="41" fontId="32" fillId="0" borderId="0" xfId="49" applyFont="1" applyFill="1" applyBorder="1"/>
    <xf numFmtId="41" fontId="32" fillId="0" borderId="0" xfId="65" applyNumberFormat="1" applyFont="1"/>
    <xf numFmtId="180" fontId="32" fillId="0" borderId="0" xfId="56" applyNumberFormat="1" applyFont="1" applyBorder="1"/>
    <xf numFmtId="43" fontId="32" fillId="0" borderId="0" xfId="65" applyNumberFormat="1" applyFont="1"/>
    <xf numFmtId="0" fontId="46" fillId="0" borderId="0" xfId="65" applyFont="1"/>
    <xf numFmtId="43" fontId="46" fillId="0" borderId="0" xfId="56" applyFont="1" applyBorder="1"/>
    <xf numFmtId="41" fontId="46" fillId="0" borderId="0" xfId="65" applyNumberFormat="1" applyFont="1"/>
    <xf numFmtId="180" fontId="46" fillId="0" borderId="0" xfId="56" applyNumberFormat="1" applyFont="1" applyBorder="1" applyAlignment="1"/>
    <xf numFmtId="0" fontId="32" fillId="0" borderId="0" xfId="65" applyFont="1" applyAlignment="1">
      <alignment horizontal="left"/>
    </xf>
    <xf numFmtId="0" fontId="32" fillId="0" borderId="0" xfId="65" applyFont="1" applyAlignment="1">
      <alignment horizontal="centerContinuous"/>
    </xf>
    <xf numFmtId="43" fontId="46" fillId="0" borderId="0" xfId="65" applyNumberFormat="1" applyFont="1"/>
    <xf numFmtId="0" fontId="32" fillId="0" borderId="0" xfId="65" applyFont="1" applyAlignment="1">
      <alignment horizontal="center" vertical="center"/>
    </xf>
    <xf numFmtId="0" fontId="46" fillId="0" borderId="0" xfId="65" applyFont="1" applyAlignment="1">
      <alignment horizontal="center"/>
    </xf>
    <xf numFmtId="180" fontId="47" fillId="0" borderId="0" xfId="65" applyNumberFormat="1" applyFont="1" applyAlignment="1">
      <alignment horizontal="center" vertical="center"/>
    </xf>
    <xf numFmtId="41" fontId="48" fillId="0" borderId="0" xfId="49" applyFont="1" applyFill="1" applyBorder="1"/>
    <xf numFmtId="41" fontId="49" fillId="0" borderId="0" xfId="65" applyNumberFormat="1" applyFont="1"/>
    <xf numFmtId="17" fontId="35" fillId="0" borderId="0" xfId="65" applyNumberFormat="1" applyFont="1"/>
    <xf numFmtId="0" fontId="35" fillId="0" borderId="45" xfId="65" applyFont="1" applyBorder="1" applyAlignment="1">
      <alignment horizontal="center" vertical="center" wrapText="1"/>
    </xf>
    <xf numFmtId="0" fontId="35" fillId="0" borderId="42" xfId="65" applyFont="1" applyBorder="1" applyAlignment="1">
      <alignment horizontal="center" vertical="center" wrapText="1"/>
    </xf>
    <xf numFmtId="0" fontId="35" fillId="0" borderId="46" xfId="65" applyFont="1" applyBorder="1" applyAlignment="1">
      <alignment horizontal="center" vertical="center" wrapText="1"/>
    </xf>
    <xf numFmtId="0" fontId="35" fillId="0" borderId="6" xfId="65" applyFont="1" applyBorder="1" applyAlignment="1">
      <alignment horizontal="center" vertical="center" wrapText="1"/>
    </xf>
    <xf numFmtId="0" fontId="35" fillId="6" borderId="6" xfId="65" applyFont="1" applyFill="1" applyBorder="1" applyAlignment="1">
      <alignment horizontal="center" vertical="center" wrapText="1"/>
    </xf>
    <xf numFmtId="0" fontId="35" fillId="0" borderId="47" xfId="65" applyFont="1" applyBorder="1" applyAlignment="1">
      <alignment horizontal="center" vertical="center" wrapText="1"/>
    </xf>
    <xf numFmtId="0" fontId="34" fillId="0" borderId="16" xfId="65" applyFont="1" applyBorder="1" applyAlignment="1">
      <alignment horizontal="center" vertical="center" wrapText="1"/>
    </xf>
    <xf numFmtId="0" fontId="34" fillId="0" borderId="48" xfId="65" applyFont="1" applyBorder="1" applyAlignment="1">
      <alignment horizontal="center" vertical="center" wrapText="1"/>
    </xf>
    <xf numFmtId="0" fontId="31" fillId="0" borderId="45" xfId="65" applyFont="1" applyBorder="1"/>
    <xf numFmtId="0" fontId="31" fillId="0" borderId="49" xfId="65" applyFont="1" applyBorder="1"/>
    <xf numFmtId="41" fontId="39" fillId="14" borderId="5" xfId="56" applyNumberFormat="1" applyFont="1" applyFill="1" applyBorder="1" applyAlignment="1">
      <alignment wrapText="1"/>
    </xf>
    <xf numFmtId="41" fontId="39" fillId="0" borderId="2" xfId="49" applyFont="1" applyFill="1" applyBorder="1"/>
    <xf numFmtId="41" fontId="39" fillId="0" borderId="50" xfId="49" applyFont="1" applyFill="1" applyBorder="1"/>
    <xf numFmtId="41" fontId="41" fillId="0" borderId="6" xfId="49" applyFont="1" applyFill="1" applyBorder="1"/>
    <xf numFmtId="41" fontId="42" fillId="0" borderId="51" xfId="49" applyFont="1" applyFill="1" applyBorder="1"/>
    <xf numFmtId="41" fontId="50" fillId="15" borderId="1" xfId="49" applyFont="1" applyFill="1" applyBorder="1"/>
    <xf numFmtId="41" fontId="39" fillId="13" borderId="5" xfId="56" applyNumberFormat="1" applyFont="1" applyFill="1" applyBorder="1" applyAlignment="1">
      <alignment wrapText="1"/>
    </xf>
    <xf numFmtId="41" fontId="39" fillId="13" borderId="2" xfId="49" applyFont="1" applyFill="1" applyBorder="1"/>
    <xf numFmtId="41" fontId="34" fillId="13" borderId="16" xfId="49" applyFont="1" applyFill="1" applyBorder="1"/>
    <xf numFmtId="41" fontId="39" fillId="13" borderId="50" xfId="49" applyFont="1" applyFill="1" applyBorder="1"/>
    <xf numFmtId="41" fontId="51" fillId="13" borderId="6" xfId="49" applyFont="1" applyFill="1" applyBorder="1"/>
    <xf numFmtId="41" fontId="51" fillId="0" borderId="6" xfId="49" applyFont="1" applyFill="1" applyBorder="1"/>
    <xf numFmtId="41" fontId="39" fillId="13" borderId="6" xfId="49" applyFont="1" applyFill="1" applyBorder="1"/>
    <xf numFmtId="41" fontId="39" fillId="14" borderId="6" xfId="56" applyNumberFormat="1" applyFont="1" applyFill="1" applyBorder="1" applyAlignment="1">
      <alignment wrapText="1"/>
    </xf>
    <xf numFmtId="41" fontId="39" fillId="0" borderId="52" xfId="49" applyFont="1" applyFill="1" applyBorder="1"/>
    <xf numFmtId="41" fontId="35" fillId="0" borderId="6" xfId="49" applyFont="1" applyFill="1" applyBorder="1"/>
    <xf numFmtId="41" fontId="43" fillId="0" borderId="52" xfId="49" applyFont="1" applyFill="1" applyBorder="1"/>
    <xf numFmtId="41" fontId="52" fillId="0" borderId="0" xfId="65" applyNumberFormat="1" applyFont="1"/>
    <xf numFmtId="43" fontId="52" fillId="0" borderId="0" xfId="65" applyNumberFormat="1" applyFont="1"/>
    <xf numFmtId="0" fontId="52" fillId="0" borderId="0" xfId="65" applyFont="1"/>
    <xf numFmtId="41" fontId="34" fillId="0" borderId="0" xfId="65" applyNumberFormat="1" applyFont="1"/>
    <xf numFmtId="0" fontId="53" fillId="0" borderId="0" xfId="65" applyFont="1"/>
    <xf numFmtId="43" fontId="53" fillId="0" borderId="0" xfId="65" applyNumberFormat="1" applyFont="1"/>
    <xf numFmtId="43" fontId="32" fillId="0" borderId="0" xfId="65" applyNumberFormat="1" applyFont="1" applyAlignment="1">
      <alignment horizontal="center"/>
    </xf>
    <xf numFmtId="41" fontId="53" fillId="0" borderId="0" xfId="65" applyNumberFormat="1" applyFont="1"/>
    <xf numFmtId="15" fontId="32" fillId="0" borderId="0" xfId="65" applyNumberFormat="1" applyFont="1" applyAlignment="1">
      <alignment horizontal="center" vertical="center"/>
    </xf>
    <xf numFmtId="0" fontId="32" fillId="0" borderId="0" xfId="65" applyFont="1" applyAlignment="1">
      <alignment horizontal="center"/>
    </xf>
    <xf numFmtId="0" fontId="32" fillId="0" borderId="0" xfId="65" applyFont="1" applyAlignment="1" applyProtection="1">
      <alignment horizontal="center" vertical="center"/>
      <protection hidden="1"/>
    </xf>
    <xf numFmtId="0" fontId="54" fillId="0" borderId="0" xfId="65" applyFont="1"/>
    <xf numFmtId="0" fontId="32" fillId="0" borderId="0" xfId="65" applyFont="1" applyAlignment="1" applyProtection="1">
      <alignment vertical="center"/>
      <protection hidden="1"/>
    </xf>
    <xf numFmtId="0" fontId="55" fillId="0" borderId="0" xfId="65" applyFont="1" applyAlignment="1">
      <alignment horizontal="center" vertical="center"/>
    </xf>
    <xf numFmtId="0" fontId="47" fillId="0" borderId="0" xfId="65" applyFont="1" applyAlignment="1">
      <alignment horizontal="center" vertical="center"/>
    </xf>
    <xf numFmtId="0" fontId="56" fillId="0" borderId="0" xfId="65" applyFont="1" applyAlignment="1">
      <alignment horizontal="center" vertical="center"/>
    </xf>
    <xf numFmtId="0" fontId="57" fillId="0" borderId="0" xfId="65" applyFont="1" applyAlignment="1">
      <alignment horizontal="center" vertical="center"/>
    </xf>
    <xf numFmtId="0" fontId="31" fillId="0" borderId="0" xfId="65" applyFont="1" applyAlignment="1">
      <alignment horizontal="center" vertical="center"/>
    </xf>
    <xf numFmtId="0" fontId="46" fillId="0" borderId="45" xfId="65" applyFont="1" applyBorder="1" applyAlignment="1">
      <alignment horizontal="center" vertical="center" wrapText="1"/>
    </xf>
    <xf numFmtId="0" fontId="46" fillId="0" borderId="42" xfId="65" applyFont="1" applyBorder="1" applyAlignment="1">
      <alignment horizontal="center" vertical="center" wrapText="1"/>
    </xf>
    <xf numFmtId="0" fontId="46" fillId="0" borderId="6" xfId="65" applyFont="1" applyBorder="1" applyAlignment="1">
      <alignment horizontal="center" vertical="center" wrapText="1"/>
    </xf>
    <xf numFmtId="41" fontId="58" fillId="0" borderId="2" xfId="49" applyFont="1" applyFill="1" applyBorder="1"/>
    <xf numFmtId="41" fontId="34" fillId="0" borderId="2" xfId="49" applyFont="1" applyFill="1" applyBorder="1"/>
    <xf numFmtId="41" fontId="34" fillId="0" borderId="51" xfId="49" applyFont="1" applyFill="1" applyBorder="1"/>
    <xf numFmtId="41" fontId="59" fillId="0" borderId="6" xfId="49" applyFont="1" applyFill="1" applyBorder="1"/>
    <xf numFmtId="41" fontId="34" fillId="0" borderId="53" xfId="49" applyFont="1" applyFill="1" applyBorder="1"/>
    <xf numFmtId="41" fontId="34" fillId="0" borderId="4" xfId="49" applyFont="1" applyFill="1" applyBorder="1"/>
    <xf numFmtId="41" fontId="35" fillId="0" borderId="4" xfId="49" applyFont="1" applyFill="1" applyBorder="1"/>
    <xf numFmtId="41" fontId="35" fillId="0" borderId="53" xfId="49" applyFont="1" applyFill="1" applyBorder="1"/>
    <xf numFmtId="41" fontId="32" fillId="0" borderId="54" xfId="49" applyFont="1" applyFill="1" applyBorder="1"/>
    <xf numFmtId="41" fontId="60" fillId="0" borderId="0" xfId="65" applyNumberFormat="1" applyFont="1"/>
    <xf numFmtId="0" fontId="60" fillId="0" borderId="0" xfId="65" applyFont="1"/>
    <xf numFmtId="41" fontId="61" fillId="0" borderId="0" xfId="68" applyNumberFormat="1" applyFont="1"/>
    <xf numFmtId="0" fontId="43" fillId="0" borderId="6" xfId="65" applyFont="1" applyBorder="1" applyAlignment="1">
      <alignment horizontal="center"/>
    </xf>
    <xf numFmtId="0" fontId="35" fillId="0" borderId="6" xfId="65" applyFont="1" applyBorder="1"/>
    <xf numFmtId="186" fontId="35" fillId="0" borderId="6" xfId="65" applyNumberFormat="1" applyFont="1" applyBorder="1" applyAlignment="1">
      <alignment horizontal="center"/>
    </xf>
    <xf numFmtId="41" fontId="62" fillId="0" borderId="0" xfId="65" applyNumberFormat="1" applyFont="1"/>
    <xf numFmtId="0" fontId="32" fillId="0" borderId="0" xfId="65" applyFont="1" applyAlignment="1">
      <alignment vertical="center"/>
    </xf>
    <xf numFmtId="41" fontId="43" fillId="14" borderId="6" xfId="56" applyNumberFormat="1" applyFont="1" applyFill="1" applyBorder="1" applyAlignment="1">
      <alignment wrapText="1"/>
    </xf>
    <xf numFmtId="0" fontId="34" fillId="0" borderId="0" xfId="65" applyFont="1" applyAlignment="1">
      <alignment horizontal="center"/>
    </xf>
    <xf numFmtId="41" fontId="32" fillId="0" borderId="4" xfId="49" applyFont="1" applyFill="1" applyBorder="1"/>
    <xf numFmtId="41" fontId="32" fillId="0" borderId="53" xfId="49" applyFont="1" applyFill="1" applyBorder="1"/>
    <xf numFmtId="0" fontId="4" fillId="0" borderId="0" xfId="68" applyFont="1"/>
    <xf numFmtId="0" fontId="4" fillId="0" borderId="0" xfId="68"/>
    <xf numFmtId="0" fontId="8" fillId="0" borderId="0" xfId="68" applyFont="1" applyAlignment="1">
      <alignment horizontal="center"/>
    </xf>
    <xf numFmtId="0" fontId="8" fillId="0" borderId="0" xfId="68" applyFont="1"/>
    <xf numFmtId="0" fontId="11" fillId="0" borderId="55" xfId="68" applyFont="1" applyBorder="1" applyAlignment="1">
      <alignment horizontal="left"/>
    </xf>
    <xf numFmtId="0" fontId="8" fillId="16" borderId="56" xfId="68" applyFont="1" applyFill="1" applyBorder="1" applyAlignment="1">
      <alignment horizontal="center" vertical="center"/>
    </xf>
    <xf numFmtId="0" fontId="8" fillId="16" borderId="57" xfId="68" applyFont="1" applyFill="1" applyBorder="1" applyAlignment="1">
      <alignment horizontal="center" vertical="center"/>
    </xf>
    <xf numFmtId="0" fontId="8" fillId="16" borderId="58" xfId="68" applyFont="1" applyFill="1" applyBorder="1" applyAlignment="1">
      <alignment horizontal="center" vertical="center"/>
    </xf>
    <xf numFmtId="0" fontId="8" fillId="16" borderId="59" xfId="68" applyFont="1" applyFill="1" applyBorder="1" applyAlignment="1">
      <alignment horizontal="center" vertical="center"/>
    </xf>
    <xf numFmtId="0" fontId="8" fillId="16" borderId="60" xfId="68" applyFont="1" applyFill="1" applyBorder="1" applyAlignment="1">
      <alignment horizontal="center" vertical="center"/>
    </xf>
    <xf numFmtId="0" fontId="8" fillId="16" borderId="61" xfId="68" applyFont="1" applyFill="1" applyBorder="1" applyAlignment="1">
      <alignment horizontal="center" vertical="center"/>
    </xf>
    <xf numFmtId="0" fontId="8" fillId="16" borderId="18" xfId="68" applyFont="1" applyFill="1" applyBorder="1" applyAlignment="1">
      <alignment horizontal="center" vertical="center"/>
    </xf>
    <xf numFmtId="0" fontId="8" fillId="16" borderId="62" xfId="68" applyFont="1" applyFill="1" applyBorder="1" applyAlignment="1">
      <alignment horizontal="center" vertical="center"/>
    </xf>
    <xf numFmtId="0" fontId="11" fillId="6" borderId="63" xfId="68" applyFont="1" applyFill="1" applyBorder="1" applyAlignment="1">
      <alignment horizontal="left" vertical="center"/>
    </xf>
    <xf numFmtId="0" fontId="11" fillId="6" borderId="64" xfId="68" applyFont="1" applyFill="1" applyBorder="1" applyAlignment="1">
      <alignment horizontal="left" vertical="center"/>
    </xf>
    <xf numFmtId="0" fontId="11" fillId="6" borderId="65" xfId="68" applyFont="1" applyFill="1" applyBorder="1" applyAlignment="1">
      <alignment horizontal="left" vertical="center"/>
    </xf>
    <xf numFmtId="0" fontId="4" fillId="16" borderId="66" xfId="68" applyFill="1" applyBorder="1"/>
    <xf numFmtId="41" fontId="0" fillId="16" borderId="66" xfId="53" applyFont="1" applyFill="1" applyBorder="1"/>
    <xf numFmtId="0" fontId="2" fillId="0" borderId="67" xfId="68" applyFont="1" applyBorder="1" applyAlignment="1">
      <alignment horizontal="center"/>
    </xf>
    <xf numFmtId="0" fontId="2" fillId="0" borderId="68" xfId="68" applyFont="1" applyBorder="1"/>
    <xf numFmtId="58" fontId="2" fillId="0" borderId="11" xfId="68" applyNumberFormat="1" applyFont="1" applyBorder="1" applyAlignment="1">
      <alignment horizontal="center" vertical="center"/>
    </xf>
    <xf numFmtId="41" fontId="2" fillId="0" borderId="68" xfId="53" applyFont="1" applyBorder="1" applyAlignment="1">
      <alignment horizontal="center"/>
    </xf>
    <xf numFmtId="41" fontId="4" fillId="0" borderId="0" xfId="68" applyNumberFormat="1"/>
    <xf numFmtId="0" fontId="2" fillId="0" borderId="69" xfId="68" applyFont="1" applyBorder="1" applyAlignment="1">
      <alignment horizontal="center"/>
    </xf>
    <xf numFmtId="0" fontId="2" fillId="0" borderId="70" xfId="68" applyFont="1" applyBorder="1"/>
    <xf numFmtId="58" fontId="2" fillId="0" borderId="3" xfId="68" applyNumberFormat="1" applyFont="1" applyBorder="1" applyAlignment="1">
      <alignment horizontal="center" vertical="center"/>
    </xf>
    <xf numFmtId="41" fontId="2" fillId="0" borderId="70" xfId="53" applyFont="1" applyBorder="1" applyAlignment="1">
      <alignment horizontal="center"/>
    </xf>
    <xf numFmtId="180" fontId="2" fillId="0" borderId="70" xfId="61" applyNumberFormat="1" applyFont="1" applyBorder="1" applyAlignment="1">
      <alignment horizontal="center"/>
    </xf>
    <xf numFmtId="0" fontId="1" fillId="0" borderId="63" xfId="68" applyFont="1" applyBorder="1" applyAlignment="1">
      <alignment horizontal="left" vertical="center"/>
    </xf>
    <xf numFmtId="0" fontId="1" fillId="0" borderId="64" xfId="68" applyFont="1" applyBorder="1" applyAlignment="1">
      <alignment horizontal="left" vertical="center"/>
    </xf>
    <xf numFmtId="0" fontId="1" fillId="0" borderId="65" xfId="68" applyFont="1" applyBorder="1" applyAlignment="1">
      <alignment horizontal="left" vertical="center"/>
    </xf>
    <xf numFmtId="41" fontId="2" fillId="0" borderId="66" xfId="68" applyNumberFormat="1" applyFont="1" applyFill="1" applyBorder="1"/>
    <xf numFmtId="41" fontId="4" fillId="0" borderId="0" xfId="68" applyNumberFormat="1" applyFont="1"/>
    <xf numFmtId="0" fontId="1" fillId="0" borderId="0" xfId="68" applyFont="1" applyAlignment="1">
      <alignment horizontal="left" vertical="center"/>
    </xf>
    <xf numFmtId="41" fontId="2" fillId="0" borderId="0" xfId="68" applyNumberFormat="1" applyFont="1" applyFill="1"/>
    <xf numFmtId="0" fontId="4" fillId="0" borderId="0" xfId="68" applyAlignment="1">
      <alignment horizontal="center"/>
    </xf>
    <xf numFmtId="0" fontId="9" fillId="0" borderId="0" xfId="68" applyFont="1"/>
    <xf numFmtId="187" fontId="4" fillId="0" borderId="0" xfId="68" applyNumberFormat="1"/>
    <xf numFmtId="0" fontId="9" fillId="0" borderId="0" xfId="68" applyFont="1" applyAlignment="1">
      <alignment horizontal="center"/>
    </xf>
    <xf numFmtId="0" fontId="2" fillId="0" borderId="0" xfId="63" applyFont="1"/>
    <xf numFmtId="0" fontId="63" fillId="0" borderId="0" xfId="63" applyFont="1" applyAlignment="1">
      <alignment horizontal="center" vertical="center"/>
    </xf>
    <xf numFmtId="0" fontId="64" fillId="0" borderId="0" xfId="63" applyFont="1" applyAlignment="1">
      <alignment vertical="center"/>
    </xf>
    <xf numFmtId="0" fontId="63" fillId="0" borderId="0" xfId="63" applyFont="1" applyAlignment="1">
      <alignment vertical="center"/>
    </xf>
    <xf numFmtId="0" fontId="64" fillId="0" borderId="0" xfId="63" applyFont="1"/>
    <xf numFmtId="0" fontId="4" fillId="0" borderId="0" xfId="63" applyAlignment="1">
      <alignment horizontal="center" vertical="center"/>
    </xf>
    <xf numFmtId="0" fontId="4" fillId="0" borderId="0" xfId="63"/>
    <xf numFmtId="0" fontId="1" fillId="0" borderId="0" xfId="63" applyFont="1" applyAlignment="1">
      <alignment horizontal="center" vertical="center"/>
    </xf>
    <xf numFmtId="0" fontId="65" fillId="0" borderId="1" xfId="63" applyFont="1" applyBorder="1" applyAlignment="1">
      <alignment horizontal="center" vertical="center" wrapText="1"/>
    </xf>
    <xf numFmtId="0" fontId="65" fillId="0" borderId="1" xfId="63" applyFont="1" applyBorder="1" applyAlignment="1">
      <alignment horizontal="center" vertical="center"/>
    </xf>
    <xf numFmtId="0" fontId="65" fillId="0" borderId="2" xfId="63" applyFont="1" applyBorder="1" applyAlignment="1">
      <alignment horizontal="center" vertical="center"/>
    </xf>
    <xf numFmtId="0" fontId="65" fillId="0" borderId="3" xfId="63" applyFont="1" applyBorder="1" applyAlignment="1">
      <alignment horizontal="center" vertical="center"/>
    </xf>
    <xf numFmtId="0" fontId="65" fillId="0" borderId="4" xfId="63" applyFont="1" applyBorder="1" applyAlignment="1">
      <alignment horizontal="center" vertical="center" wrapText="1"/>
    </xf>
    <xf numFmtId="0" fontId="65" fillId="0" borderId="4" xfId="63" applyFont="1" applyBorder="1" applyAlignment="1">
      <alignment horizontal="center" vertical="center"/>
    </xf>
    <xf numFmtId="0" fontId="65" fillId="0" borderId="6" xfId="63" applyFont="1" applyBorder="1" applyAlignment="1">
      <alignment horizontal="center" vertical="center"/>
    </xf>
    <xf numFmtId="0" fontId="65" fillId="0" borderId="5" xfId="63" applyFont="1" applyBorder="1" applyAlignment="1">
      <alignment horizontal="center" vertical="center" wrapText="1"/>
    </xf>
    <xf numFmtId="0" fontId="65" fillId="0" borderId="5" xfId="63" applyFont="1" applyBorder="1" applyAlignment="1">
      <alignment horizontal="center" vertical="center"/>
    </xf>
    <xf numFmtId="0" fontId="65" fillId="0" borderId="10" xfId="63" applyFont="1" applyBorder="1" applyAlignment="1">
      <alignment horizontal="center" vertical="center"/>
    </xf>
    <xf numFmtId="0" fontId="63" fillId="0" borderId="6" xfId="63" applyFont="1" applyBorder="1" applyAlignment="1">
      <alignment horizontal="center" vertical="center"/>
    </xf>
    <xf numFmtId="0" fontId="12" fillId="0" borderId="6" xfId="63" applyFont="1" applyBorder="1" applyAlignment="1">
      <alignment horizontal="center" vertical="center"/>
    </xf>
    <xf numFmtId="0" fontId="12" fillId="0" borderId="6" xfId="63" applyFont="1" applyBorder="1" applyAlignment="1">
      <alignment vertical="center"/>
    </xf>
    <xf numFmtId="181" fontId="12" fillId="0" borderId="6" xfId="54" applyNumberFormat="1" applyFont="1" applyBorder="1" applyAlignment="1">
      <alignment vertical="center"/>
    </xf>
    <xf numFmtId="181" fontId="12" fillId="0" borderId="6" xfId="54" applyNumberFormat="1" applyFont="1" applyBorder="1" applyAlignment="1">
      <alignment horizontal="center" vertical="center"/>
    </xf>
    <xf numFmtId="181" fontId="12" fillId="0" borderId="4" xfId="63" applyNumberFormat="1" applyFont="1" applyBorder="1" applyAlignment="1">
      <alignment horizontal="center" vertical="center" wrapText="1"/>
    </xf>
    <xf numFmtId="181" fontId="12" fillId="0" borderId="5" xfId="63" applyNumberFormat="1" applyFont="1" applyBorder="1" applyAlignment="1">
      <alignment horizontal="center" vertical="center" wrapText="1"/>
    </xf>
    <xf numFmtId="0" fontId="65" fillId="0" borderId="6" xfId="63" applyFont="1" applyBorder="1" applyAlignment="1">
      <alignment vertical="center"/>
    </xf>
    <xf numFmtId="181" fontId="65" fillId="0" borderId="6" xfId="54" applyNumberFormat="1" applyFont="1" applyBorder="1" applyAlignment="1">
      <alignment vertical="center"/>
    </xf>
    <xf numFmtId="0" fontId="65" fillId="0" borderId="0" xfId="63" applyFont="1" applyAlignment="1">
      <alignment horizontal="center" vertical="center"/>
    </xf>
    <xf numFmtId="0" fontId="65" fillId="0" borderId="0" xfId="63" applyFont="1" applyAlignment="1">
      <alignment vertical="center"/>
    </xf>
    <xf numFmtId="181" fontId="65" fillId="0" borderId="0" xfId="54" applyNumberFormat="1" applyFont="1" applyBorder="1" applyAlignment="1">
      <alignment vertical="center"/>
    </xf>
    <xf numFmtId="0" fontId="65" fillId="0" borderId="7" xfId="63" applyFont="1" applyBorder="1" applyAlignment="1">
      <alignment horizontal="center" vertical="center"/>
    </xf>
    <xf numFmtId="0" fontId="65" fillId="0" borderId="18" xfId="63" applyFont="1" applyBorder="1" applyAlignment="1">
      <alignment horizontal="center" vertical="center"/>
    </xf>
    <xf numFmtId="0" fontId="65" fillId="0" borderId="8" xfId="63" applyFont="1" applyBorder="1" applyAlignment="1">
      <alignment horizontal="center" vertical="center"/>
    </xf>
    <xf numFmtId="0" fontId="65" fillId="0" borderId="0" xfId="63" applyFont="1" applyBorder="1" applyAlignment="1">
      <alignment horizontal="center" vertical="center"/>
    </xf>
    <xf numFmtId="0" fontId="65" fillId="0" borderId="0" xfId="63" applyFont="1" applyBorder="1" applyAlignment="1">
      <alignment vertical="center"/>
    </xf>
    <xf numFmtId="0" fontId="65" fillId="0" borderId="6" xfId="63" applyFont="1" applyBorder="1" applyAlignment="1">
      <alignment horizontal="center" vertical="center" wrapText="1"/>
    </xf>
    <xf numFmtId="181" fontId="63" fillId="0" borderId="0" xfId="63" applyNumberFormat="1" applyFont="1" applyAlignment="1">
      <alignment vertical="center"/>
    </xf>
    <xf numFmtId="181" fontId="63" fillId="0" borderId="0" xfId="54" applyNumberFormat="1" applyFont="1" applyBorder="1" applyAlignment="1">
      <alignment vertical="center"/>
    </xf>
    <xf numFmtId="0" fontId="64" fillId="0" borderId="0" xfId="63" applyFont="1" applyAlignment="1">
      <alignment horizontal="center" vertical="center"/>
    </xf>
    <xf numFmtId="181" fontId="64" fillId="0" borderId="0" xfId="54" applyNumberFormat="1" applyFont="1" applyAlignment="1"/>
    <xf numFmtId="0" fontId="65" fillId="0" borderId="11" xfId="63" applyFont="1" applyBorder="1" applyAlignment="1">
      <alignment horizontal="center" vertical="center"/>
    </xf>
    <xf numFmtId="181" fontId="65" fillId="0" borderId="0" xfId="63" applyNumberFormat="1" applyFont="1" applyAlignment="1">
      <alignment vertical="center"/>
    </xf>
    <xf numFmtId="9" fontId="64" fillId="0" borderId="0" xfId="70" applyFont="1" applyAlignment="1"/>
    <xf numFmtId="0" fontId="1" fillId="0" borderId="0" xfId="63" applyFont="1" applyAlignment="1">
      <alignment vertical="center"/>
    </xf>
    <xf numFmtId="181" fontId="12" fillId="0" borderId="6" xfId="54" applyNumberFormat="1" applyFont="1" applyBorder="1" applyAlignment="1">
      <alignment horizontal="center" vertical="center" wrapText="1"/>
    </xf>
    <xf numFmtId="181" fontId="64" fillId="0" borderId="0" xfId="63" applyNumberFormat="1" applyFont="1" applyAlignment="1">
      <alignment vertical="center"/>
    </xf>
    <xf numFmtId="178" fontId="64" fillId="0" borderId="0" xfId="54" applyFont="1" applyAlignment="1">
      <alignment vertical="center"/>
    </xf>
    <xf numFmtId="181" fontId="63" fillId="0" borderId="0" xfId="54" applyNumberFormat="1" applyFont="1" applyAlignment="1">
      <alignment vertical="center"/>
    </xf>
    <xf numFmtId="0" fontId="65" fillId="0" borderId="3" xfId="63" applyFont="1" applyBorder="1" applyAlignment="1">
      <alignment vertical="center"/>
    </xf>
    <xf numFmtId="0" fontId="65" fillId="0" borderId="7" xfId="63" applyFont="1" applyBorder="1" applyAlignment="1">
      <alignment vertical="center"/>
    </xf>
    <xf numFmtId="0" fontId="65" fillId="0" borderId="16" xfId="63" applyFont="1" applyBorder="1" applyAlignment="1">
      <alignment horizontal="center" vertical="center"/>
    </xf>
    <xf numFmtId="0" fontId="65" fillId="0" borderId="17" xfId="63" applyFont="1" applyBorder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181" fontId="12" fillId="0" borderId="5" xfId="54" applyNumberFormat="1" applyFont="1" applyBorder="1" applyAlignment="1">
      <alignment horizontal="center" vertical="center"/>
    </xf>
    <xf numFmtId="181" fontId="4" fillId="0" borderId="0" xfId="63" applyNumberFormat="1"/>
    <xf numFmtId="181" fontId="0" fillId="0" borderId="0" xfId="54" applyNumberFormat="1" applyFont="1" applyAlignment="1"/>
    <xf numFmtId="181" fontId="12" fillId="0" borderId="51" xfId="54" applyNumberFormat="1" applyFont="1" applyBorder="1" applyAlignment="1">
      <alignment horizontal="center" vertical="center"/>
    </xf>
    <xf numFmtId="181" fontId="12" fillId="0" borderId="17" xfId="54" applyNumberFormat="1" applyFont="1" applyBorder="1" applyAlignment="1">
      <alignment horizontal="center" vertical="center"/>
    </xf>
    <xf numFmtId="181" fontId="12" fillId="0" borderId="16" xfId="54" applyNumberFormat="1" applyFont="1" applyBorder="1" applyAlignment="1">
      <alignment horizontal="center" vertical="center"/>
    </xf>
    <xf numFmtId="181" fontId="12" fillId="0" borderId="0" xfId="54" applyNumberFormat="1" applyFont="1" applyBorder="1" applyAlignment="1">
      <alignment horizontal="center" vertical="center"/>
    </xf>
    <xf numFmtId="181" fontId="64" fillId="0" borderId="0" xfId="54" applyNumberFormat="1" applyFont="1" applyBorder="1" applyAlignment="1"/>
    <xf numFmtId="181" fontId="12" fillId="0" borderId="11" xfId="54" applyNumberFormat="1" applyFont="1" applyBorder="1" applyAlignment="1">
      <alignment horizontal="center" vertical="center"/>
    </xf>
    <xf numFmtId="181" fontId="65" fillId="0" borderId="51" xfId="54" applyNumberFormat="1" applyFont="1" applyBorder="1" applyAlignment="1">
      <alignment vertical="center"/>
    </xf>
    <xf numFmtId="0" fontId="4" fillId="0" borderId="0" xfId="67" applyFill="1"/>
    <xf numFmtId="0" fontId="4" fillId="0" borderId="0" xfId="67"/>
    <xf numFmtId="0" fontId="4" fillId="6" borderId="0" xfId="67" applyFill="1"/>
    <xf numFmtId="0" fontId="8" fillId="0" borderId="0" xfId="67" applyFont="1" applyAlignment="1">
      <alignment horizontal="center"/>
    </xf>
    <xf numFmtId="0" fontId="8" fillId="0" borderId="0" xfId="67" applyFont="1" applyBorder="1" applyAlignment="1">
      <alignment horizontal="center" vertical="center"/>
    </xf>
    <xf numFmtId="0" fontId="65" fillId="0" borderId="6" xfId="67" applyFont="1" applyBorder="1" applyAlignment="1">
      <alignment horizontal="center" vertical="center"/>
    </xf>
    <xf numFmtId="0" fontId="65" fillId="6" borderId="6" xfId="67" applyFont="1" applyFill="1" applyBorder="1" applyAlignment="1">
      <alignment horizontal="center" vertical="center"/>
    </xf>
    <xf numFmtId="0" fontId="65" fillId="17" borderId="6" xfId="67" applyFont="1" applyFill="1" applyBorder="1" applyAlignment="1">
      <alignment horizontal="center" vertical="center"/>
    </xf>
    <xf numFmtId="0" fontId="65" fillId="18" borderId="1" xfId="67" applyFont="1" applyFill="1" applyBorder="1" applyAlignment="1">
      <alignment horizontal="center" vertical="center"/>
    </xf>
    <xf numFmtId="0" fontId="65" fillId="18" borderId="6" xfId="67" applyFont="1" applyFill="1" applyBorder="1" applyAlignment="1">
      <alignment horizontal="center" vertical="center" wrapText="1"/>
    </xf>
    <xf numFmtId="0" fontId="65" fillId="18" borderId="3" xfId="67" applyFont="1" applyFill="1" applyBorder="1" applyAlignment="1">
      <alignment horizontal="center" wrapText="1"/>
    </xf>
    <xf numFmtId="0" fontId="65" fillId="18" borderId="5" xfId="67" applyFont="1" applyFill="1" applyBorder="1" applyAlignment="1">
      <alignment horizontal="center" vertical="center"/>
    </xf>
    <xf numFmtId="0" fontId="65" fillId="18" borderId="7" xfId="67" applyFont="1" applyFill="1" applyBorder="1" applyAlignment="1">
      <alignment horizontal="center" wrapText="1"/>
    </xf>
    <xf numFmtId="0" fontId="12" fillId="6" borderId="6" xfId="67" applyFont="1" applyFill="1" applyBorder="1" applyAlignment="1">
      <alignment horizontal="center"/>
    </xf>
    <xf numFmtId="58" fontId="12" fillId="6" borderId="6" xfId="0" applyNumberFormat="1" applyFont="1" applyFill="1" applyBorder="1"/>
    <xf numFmtId="0" fontId="66" fillId="6" borderId="6" xfId="0" applyFont="1" applyFill="1" applyBorder="1"/>
    <xf numFmtId="0" fontId="67" fillId="6" borderId="6" xfId="0" applyFont="1" applyFill="1" applyBorder="1"/>
    <xf numFmtId="41" fontId="67" fillId="6" borderId="6" xfId="4" applyFont="1" applyFill="1" applyBorder="1"/>
    <xf numFmtId="0" fontId="12" fillId="6" borderId="6" xfId="0" applyFont="1" applyFill="1" applyBorder="1"/>
    <xf numFmtId="0" fontId="67" fillId="0" borderId="6" xfId="0" applyFont="1" applyFill="1" applyBorder="1"/>
    <xf numFmtId="41" fontId="67" fillId="0" borderId="6" xfId="4" applyFont="1" applyFill="1" applyBorder="1"/>
    <xf numFmtId="0" fontId="12" fillId="0" borderId="6" xfId="0" applyFont="1" applyFill="1" applyBorder="1"/>
    <xf numFmtId="41" fontId="12" fillId="0" borderId="6" xfId="4" applyFont="1" applyFill="1" applyBorder="1"/>
    <xf numFmtId="0" fontId="66" fillId="0" borderId="6" xfId="0" applyFont="1" applyFill="1" applyBorder="1"/>
    <xf numFmtId="0" fontId="67" fillId="13" borderId="6" xfId="0" applyFont="1" applyFill="1" applyBorder="1"/>
    <xf numFmtId="0" fontId="66" fillId="13" borderId="6" xfId="0" applyFont="1" applyFill="1" applyBorder="1"/>
    <xf numFmtId="41" fontId="66" fillId="13" borderId="6" xfId="4" applyFont="1" applyFill="1" applyBorder="1"/>
    <xf numFmtId="41" fontId="67" fillId="13" borderId="6" xfId="4" applyFont="1" applyFill="1" applyBorder="1"/>
    <xf numFmtId="58" fontId="12" fillId="0" borderId="6" xfId="0" applyNumberFormat="1" applyFont="1" applyFill="1" applyBorder="1"/>
    <xf numFmtId="41" fontId="66" fillId="0" borderId="6" xfId="4" applyFont="1" applyFill="1" applyBorder="1"/>
    <xf numFmtId="0" fontId="12" fillId="0" borderId="6" xfId="67" applyFont="1" applyFill="1" applyBorder="1" applyAlignment="1">
      <alignment horizontal="center"/>
    </xf>
    <xf numFmtId="0" fontId="12" fillId="13" borderId="6" xfId="0" applyFont="1" applyFill="1" applyBorder="1"/>
    <xf numFmtId="41" fontId="12" fillId="13" borderId="6" xfId="4" applyFont="1" applyFill="1" applyBorder="1"/>
    <xf numFmtId="0" fontId="12" fillId="0" borderId="6" xfId="67" applyFont="1" applyFill="1" applyBorder="1" applyAlignment="1">
      <alignment horizontal="left" vertical="center"/>
    </xf>
    <xf numFmtId="0" fontId="12" fillId="13" borderId="6" xfId="67" applyFont="1" applyFill="1" applyBorder="1" applyAlignment="1">
      <alignment horizontal="left" vertical="center"/>
    </xf>
    <xf numFmtId="41" fontId="12" fillId="13" borderId="6" xfId="50" applyFont="1" applyFill="1" applyBorder="1" applyAlignment="1">
      <alignment horizontal="left" vertical="center"/>
    </xf>
    <xf numFmtId="41" fontId="12" fillId="13" borderId="6" xfId="4" applyFont="1" applyFill="1" applyBorder="1" applyAlignment="1">
      <alignment horizontal="left"/>
    </xf>
    <xf numFmtId="41" fontId="67" fillId="13" borderId="6" xfId="4" applyFont="1" applyFill="1" applyBorder="1" applyAlignment="1">
      <alignment horizontal="left"/>
    </xf>
    <xf numFmtId="41" fontId="12" fillId="0" borderId="6" xfId="50" applyFont="1" applyFill="1" applyBorder="1" applyAlignment="1">
      <alignment horizontal="left" vertical="center"/>
    </xf>
    <xf numFmtId="41" fontId="67" fillId="0" borderId="6" xfId="4" applyFont="1" applyFill="1" applyBorder="1" applyAlignment="1">
      <alignment horizontal="left"/>
    </xf>
    <xf numFmtId="0" fontId="67" fillId="0" borderId="6" xfId="67" applyFont="1" applyFill="1" applyBorder="1" applyAlignment="1">
      <alignment horizontal="left" vertical="center"/>
    </xf>
    <xf numFmtId="41" fontId="67" fillId="0" borderId="6" xfId="50" applyFont="1" applyFill="1" applyBorder="1" applyAlignment="1">
      <alignment horizontal="left" vertical="center"/>
    </xf>
    <xf numFmtId="41" fontId="12" fillId="13" borderId="6" xfId="50" applyFont="1" applyFill="1" applyBorder="1" applyAlignment="1">
      <alignment vertical="center"/>
    </xf>
    <xf numFmtId="0" fontId="12" fillId="6" borderId="6" xfId="67" applyFont="1" applyFill="1" applyBorder="1" applyAlignment="1">
      <alignment horizontal="center" vertical="center"/>
    </xf>
    <xf numFmtId="0" fontId="12" fillId="6" borderId="6" xfId="67" applyFont="1" applyFill="1" applyBorder="1" applyAlignment="1">
      <alignment horizontal="left" vertical="center"/>
    </xf>
    <xf numFmtId="41" fontId="12" fillId="6" borderId="6" xfId="50" applyFont="1" applyFill="1" applyBorder="1" applyAlignment="1">
      <alignment vertical="center"/>
    </xf>
    <xf numFmtId="0" fontId="68" fillId="6" borderId="6" xfId="67" applyFont="1" applyFill="1" applyBorder="1" applyAlignment="1">
      <alignment horizontal="center" vertical="center"/>
    </xf>
    <xf numFmtId="41" fontId="68" fillId="6" borderId="6" xfId="50" applyFont="1" applyFill="1" applyBorder="1" applyAlignment="1">
      <alignment vertical="center"/>
    </xf>
    <xf numFmtId="41" fontId="4" fillId="0" borderId="0" xfId="67" applyNumberFormat="1"/>
    <xf numFmtId="0" fontId="65" fillId="19" borderId="6" xfId="67" applyFont="1" applyFill="1" applyBorder="1" applyAlignment="1">
      <alignment horizontal="center" vertical="center" wrapText="1"/>
    </xf>
    <xf numFmtId="0" fontId="65" fillId="20" borderId="6" xfId="67" applyFont="1" applyFill="1" applyBorder="1" applyAlignment="1">
      <alignment horizontal="center"/>
    </xf>
    <xf numFmtId="0" fontId="65" fillId="8" borderId="6" xfId="67" applyFont="1" applyFill="1" applyBorder="1" applyAlignment="1">
      <alignment horizontal="center"/>
    </xf>
    <xf numFmtId="0" fontId="65" fillId="18" borderId="6" xfId="67" applyFont="1" applyFill="1" applyBorder="1" applyAlignment="1">
      <alignment horizontal="center" wrapText="1"/>
    </xf>
    <xf numFmtId="0" fontId="67" fillId="6" borderId="6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66" fillId="13" borderId="6" xfId="0" applyFont="1" applyFill="1" applyBorder="1" applyAlignment="1">
      <alignment horizontal="center" vertical="center"/>
    </xf>
    <xf numFmtId="0" fontId="67" fillId="13" borderId="6" xfId="0" applyFont="1" applyFill="1" applyBorder="1" applyAlignment="1">
      <alignment horizontal="center" vertical="center"/>
    </xf>
    <xf numFmtId="0" fontId="66" fillId="0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13" borderId="6" xfId="67" applyFont="1" applyFill="1" applyBorder="1" applyAlignment="1">
      <alignment horizontal="center" vertical="center"/>
    </xf>
    <xf numFmtId="0" fontId="12" fillId="0" borderId="6" xfId="67" applyFont="1" applyFill="1" applyBorder="1" applyAlignment="1">
      <alignment horizontal="center" vertical="center"/>
    </xf>
    <xf numFmtId="41" fontId="12" fillId="13" borderId="6" xfId="67" applyNumberFormat="1" applyFont="1" applyFill="1" applyBorder="1" applyAlignment="1">
      <alignment horizontal="left" vertical="center"/>
    </xf>
    <xf numFmtId="0" fontId="67" fillId="0" borderId="6" xfId="67" applyFont="1" applyFill="1" applyBorder="1" applyAlignment="1">
      <alignment horizontal="center" vertical="center"/>
    </xf>
    <xf numFmtId="0" fontId="68" fillId="13" borderId="6" xfId="67" applyFont="1" applyFill="1" applyBorder="1" applyAlignment="1">
      <alignment horizontal="center" vertical="center"/>
    </xf>
    <xf numFmtId="41" fontId="69" fillId="6" borderId="6" xfId="4" applyFont="1" applyFill="1" applyBorder="1"/>
    <xf numFmtId="180" fontId="4" fillId="0" borderId="0" xfId="1" applyNumberFormat="1" applyFont="1" applyFill="1" applyBorder="1" applyAlignment="1" applyProtection="1"/>
    <xf numFmtId="0" fontId="8" fillId="0" borderId="0" xfId="67" applyFont="1"/>
    <xf numFmtId="0" fontId="12" fillId="0" borderId="0" xfId="67" applyFont="1"/>
    <xf numFmtId="0" fontId="8" fillId="0" borderId="0" xfId="67" applyFont="1" applyAlignment="1">
      <alignment vertical="center"/>
    </xf>
    <xf numFmtId="41" fontId="12" fillId="0" borderId="0" xfId="67" applyNumberFormat="1" applyFont="1"/>
    <xf numFmtId="41" fontId="12" fillId="0" borderId="0" xfId="50" applyFont="1"/>
    <xf numFmtId="180" fontId="12" fillId="0" borderId="0" xfId="57" applyNumberFormat="1" applyFont="1"/>
    <xf numFmtId="180" fontId="12" fillId="0" borderId="0" xfId="67" applyNumberFormat="1" applyFont="1"/>
    <xf numFmtId="41" fontId="8" fillId="0" borderId="0" xfId="67" applyNumberFormat="1" applyFont="1"/>
    <xf numFmtId="0" fontId="12" fillId="0" borderId="0" xfId="67" applyFont="1" applyFill="1"/>
    <xf numFmtId="41" fontId="66" fillId="0" borderId="0" xfId="67" applyNumberFormat="1" applyFont="1"/>
    <xf numFmtId="180" fontId="4" fillId="0" borderId="0" xfId="67" applyNumberFormat="1"/>
    <xf numFmtId="0" fontId="8" fillId="0" borderId="0" xfId="67" applyFont="1" applyAlignment="1">
      <alignment horizontal="center" vertical="center"/>
    </xf>
    <xf numFmtId="41" fontId="0" fillId="0" borderId="0" xfId="50" applyFont="1"/>
    <xf numFmtId="0" fontId="9" fillId="0" borderId="0" xfId="67" applyFont="1" applyAlignment="1">
      <alignment horizontal="left"/>
    </xf>
    <xf numFmtId="0" fontId="9" fillId="0" borderId="0" xfId="67" applyFont="1"/>
    <xf numFmtId="0" fontId="9" fillId="0" borderId="0" xfId="67" applyFont="1" applyAlignment="1">
      <alignment horizontal="center"/>
    </xf>
    <xf numFmtId="41" fontId="70" fillId="0" borderId="0" xfId="50" applyFont="1" applyAlignment="1">
      <alignment horizontal="center"/>
    </xf>
    <xf numFmtId="180" fontId="0" fillId="0" borderId="0" xfId="57" applyNumberFormat="1" applyFont="1"/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13" borderId="41" xfId="0" applyFont="1" applyFill="1" applyBorder="1" applyAlignment="1">
      <alignment horizontal="center" vertical="center"/>
    </xf>
    <xf numFmtId="0" fontId="4" fillId="13" borderId="43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3" borderId="44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71" fillId="6" borderId="6" xfId="0" applyFont="1" applyFill="1" applyBorder="1"/>
    <xf numFmtId="41" fontId="0" fillId="0" borderId="6" xfId="4" applyFont="1" applyFill="1" applyBorder="1" applyAlignment="1">
      <alignment vertical="center"/>
    </xf>
    <xf numFmtId="41" fontId="0" fillId="6" borderId="6" xfId="4" applyFont="1" applyFill="1" applyBorder="1" applyAlignment="1">
      <alignment horizontal="left" vertical="center"/>
    </xf>
    <xf numFmtId="180" fontId="0" fillId="0" borderId="6" xfId="1" applyNumberFormat="1" applyFont="1" applyFill="1" applyBorder="1" applyAlignment="1">
      <alignment vertical="center"/>
    </xf>
    <xf numFmtId="0" fontId="71" fillId="6" borderId="6" xfId="0" applyFont="1" applyFill="1" applyBorder="1" applyAlignment="1">
      <alignment vertical="center"/>
    </xf>
    <xf numFmtId="41" fontId="0" fillId="6" borderId="6" xfId="4" applyFont="1" applyFill="1" applyBorder="1" applyAlignment="1">
      <alignment vertical="center"/>
    </xf>
    <xf numFmtId="41" fontId="4" fillId="6" borderId="6" xfId="4" applyFont="1" applyFill="1" applyBorder="1" applyAlignment="1">
      <alignment horizontal="left" vertical="center"/>
    </xf>
    <xf numFmtId="180" fontId="4" fillId="6" borderId="6" xfId="1" applyNumberFormat="1" applyFont="1" applyFill="1" applyBorder="1" applyAlignment="1">
      <alignment vertical="center"/>
    </xf>
    <xf numFmtId="180" fontId="0" fillId="6" borderId="6" xfId="1" applyNumberFormat="1" applyFont="1" applyFill="1" applyBorder="1" applyAlignment="1">
      <alignment vertical="center"/>
    </xf>
    <xf numFmtId="0" fontId="71" fillId="0" borderId="6" xfId="0" applyFont="1" applyBorder="1" applyAlignment="1">
      <alignment horizontal="left" vertical="center"/>
    </xf>
    <xf numFmtId="41" fontId="0" fillId="0" borderId="6" xfId="4" applyFont="1" applyFill="1" applyBorder="1" applyAlignment="1">
      <alignment horizontal="left" vertical="center"/>
    </xf>
    <xf numFmtId="0" fontId="71" fillId="6" borderId="6" xfId="0" applyFont="1" applyFill="1" applyBorder="1" applyAlignment="1">
      <alignment horizontal="left" vertical="center"/>
    </xf>
    <xf numFmtId="0" fontId="71" fillId="0" borderId="6" xfId="0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6" xfId="0" applyFont="1" applyFill="1" applyBorder="1"/>
    <xf numFmtId="180" fontId="0" fillId="0" borderId="6" xfId="1" applyNumberFormat="1" applyFont="1" applyFill="1" applyBorder="1" applyAlignment="1">
      <alignment horizontal="left" vertical="top"/>
    </xf>
    <xf numFmtId="41" fontId="4" fillId="6" borderId="6" xfId="4" applyFont="1" applyFill="1" applyBorder="1" applyAlignment="1">
      <alignment vertical="center"/>
    </xf>
    <xf numFmtId="41" fontId="0" fillId="6" borderId="6" xfId="4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13" borderId="46" xfId="0" applyFont="1" applyFill="1" applyBorder="1" applyAlignment="1">
      <alignment horizontal="center" vertical="center" wrapText="1"/>
    </xf>
    <xf numFmtId="0" fontId="4" fillId="13" borderId="71" xfId="0" applyFont="1" applyFill="1" applyBorder="1" applyAlignment="1">
      <alignment horizontal="center" vertical="center" wrapText="1"/>
    </xf>
    <xf numFmtId="41" fontId="0" fillId="6" borderId="6" xfId="4" applyFont="1" applyFill="1" applyBorder="1"/>
    <xf numFmtId="41" fontId="0" fillId="6" borderId="6" xfId="4" applyFont="1" applyFill="1" applyBorder="1" applyAlignment="1">
      <alignment horizontal="left"/>
    </xf>
    <xf numFmtId="41" fontId="0" fillId="6" borderId="6" xfId="0" applyNumberFormat="1" applyFill="1" applyBorder="1" applyAlignment="1">
      <alignment horizontal="center" vertical="center"/>
    </xf>
    <xf numFmtId="41" fontId="0" fillId="6" borderId="6" xfId="0" applyNumberFormat="1" applyFill="1" applyBorder="1" applyAlignment="1">
      <alignment horizontal="left" vertical="center"/>
    </xf>
    <xf numFmtId="180" fontId="4" fillId="0" borderId="6" xfId="1" applyNumberFormat="1" applyFont="1" applyBorder="1" applyAlignment="1">
      <alignment horizontal="left" vertical="center"/>
    </xf>
    <xf numFmtId="41" fontId="0" fillId="6" borderId="6" xfId="0" applyNumberFormat="1" applyFill="1" applyBorder="1"/>
    <xf numFmtId="41" fontId="72" fillId="6" borderId="6" xfId="0" applyNumberFormat="1" applyFont="1" applyFill="1" applyBorder="1" applyAlignment="1">
      <alignment horizontal="left"/>
    </xf>
    <xf numFmtId="41" fontId="0" fillId="0" borderId="0" xfId="0" applyNumberFormat="1"/>
    <xf numFmtId="41" fontId="0" fillId="0" borderId="6" xfId="0" applyNumberFormat="1" applyBorder="1"/>
    <xf numFmtId="41" fontId="0" fillId="0" borderId="6" xfId="0" applyNumberFormat="1" applyBorder="1" applyAlignment="1">
      <alignment horizontal="left"/>
    </xf>
    <xf numFmtId="180" fontId="4" fillId="6" borderId="6" xfId="1" applyNumberFormat="1" applyFont="1" applyFill="1" applyBorder="1" applyAlignment="1">
      <alignment horizontal="left" vertical="center"/>
    </xf>
    <xf numFmtId="41" fontId="0" fillId="6" borderId="6" xfId="0" applyNumberFormat="1" applyFill="1" applyBorder="1" applyAlignment="1">
      <alignment horizontal="left"/>
    </xf>
    <xf numFmtId="41" fontId="0" fillId="6" borderId="6" xfId="4" applyFont="1" applyFill="1" applyBorder="1" applyAlignment="1">
      <alignment horizontal="center"/>
    </xf>
    <xf numFmtId="41" fontId="72" fillId="6" borderId="0" xfId="0" applyNumberFormat="1" applyFont="1" applyFill="1"/>
    <xf numFmtId="41" fontId="73" fillId="6" borderId="6" xfId="4" applyFont="1" applyFill="1" applyBorder="1" applyAlignment="1">
      <alignment horizontal="left"/>
    </xf>
    <xf numFmtId="41" fontId="72" fillId="6" borderId="6" xfId="4" applyFont="1" applyFill="1" applyBorder="1" applyAlignment="1">
      <alignment horizontal="left"/>
    </xf>
    <xf numFmtId="0" fontId="8" fillId="6" borderId="5" xfId="0" applyFont="1" applyFill="1" applyBorder="1"/>
    <xf numFmtId="41" fontId="0" fillId="0" borderId="5" xfId="4" applyFont="1" applyFill="1" applyBorder="1" applyAlignment="1">
      <alignment vertical="center"/>
    </xf>
    <xf numFmtId="41" fontId="0" fillId="6" borderId="5" xfId="4" applyFont="1" applyFill="1" applyBorder="1" applyAlignment="1">
      <alignment horizontal="left" vertical="center"/>
    </xf>
    <xf numFmtId="180" fontId="4" fillId="0" borderId="5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center" vertical="center"/>
    </xf>
    <xf numFmtId="180" fontId="0" fillId="0" borderId="5" xfId="1" applyNumberFormat="1" applyFont="1" applyFill="1" applyBorder="1" applyAlignment="1">
      <alignment vertical="center"/>
    </xf>
    <xf numFmtId="180" fontId="0" fillId="6" borderId="5" xfId="1" applyNumberFormat="1" applyFont="1" applyFill="1" applyBorder="1" applyAlignment="1">
      <alignment horizontal="center" vertical="center"/>
    </xf>
    <xf numFmtId="0" fontId="8" fillId="6" borderId="10" xfId="0" applyFont="1" applyFill="1" applyBorder="1"/>
    <xf numFmtId="58" fontId="0" fillId="0" borderId="5" xfId="4" applyNumberFormat="1" applyFont="1" applyFill="1" applyBorder="1" applyAlignment="1">
      <alignment vertical="center"/>
    </xf>
    <xf numFmtId="0" fontId="8" fillId="6" borderId="7" xfId="0" applyFont="1" applyFill="1" applyBorder="1"/>
    <xf numFmtId="58" fontId="0" fillId="0" borderId="6" xfId="4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horizontal="center" vertical="center"/>
    </xf>
    <xf numFmtId="58" fontId="4" fillId="0" borderId="5" xfId="4" applyNumberFormat="1" applyFont="1" applyFill="1" applyBorder="1" applyAlignment="1">
      <alignment vertical="center"/>
    </xf>
    <xf numFmtId="58" fontId="4" fillId="0" borderId="6" xfId="4" applyNumberFormat="1" applyFont="1" applyFill="1" applyBorder="1" applyAlignment="1">
      <alignment vertical="center"/>
    </xf>
    <xf numFmtId="180" fontId="0" fillId="0" borderId="5" xfId="1" applyNumberFormat="1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41" fontId="0" fillId="0" borderId="5" xfId="4" applyFont="1" applyFill="1" applyBorder="1" applyAlignment="1">
      <alignment horizontal="left" vertical="center"/>
    </xf>
    <xf numFmtId="41" fontId="0" fillId="6" borderId="17" xfId="4" applyFont="1" applyFill="1" applyBorder="1" applyAlignment="1">
      <alignment horizontal="center"/>
    </xf>
    <xf numFmtId="41" fontId="0" fillId="6" borderId="2" xfId="4" applyFont="1" applyFill="1" applyBorder="1" applyAlignment="1">
      <alignment horizontal="center"/>
    </xf>
    <xf numFmtId="180" fontId="4" fillId="0" borderId="17" xfId="1" applyNumberFormat="1" applyFont="1" applyBorder="1" applyAlignment="1">
      <alignment vertical="center"/>
    </xf>
    <xf numFmtId="180" fontId="7" fillId="0" borderId="6" xfId="1" applyNumberFormat="1" applyFont="1" applyBorder="1" applyAlignment="1">
      <alignment horizontal="left" vertical="center"/>
    </xf>
    <xf numFmtId="0" fontId="74" fillId="0" borderId="6" xfId="0" applyFont="1" applyBorder="1" applyAlignment="1">
      <alignment horizontal="left" vertical="center"/>
    </xf>
    <xf numFmtId="0" fontId="74" fillId="6" borderId="6" xfId="0" applyFont="1" applyFill="1" applyBorder="1" applyAlignment="1">
      <alignment vertical="center"/>
    </xf>
    <xf numFmtId="0" fontId="74" fillId="6" borderId="6" xfId="0" applyFont="1" applyFill="1" applyBorder="1"/>
    <xf numFmtId="0" fontId="74" fillId="6" borderId="6" xfId="0" applyFont="1" applyFill="1" applyBorder="1" applyAlignment="1">
      <alignment horizontal="left" vertical="center"/>
    </xf>
    <xf numFmtId="41" fontId="75" fillId="6" borderId="6" xfId="4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41" fontId="8" fillId="6" borderId="5" xfId="4" applyFont="1" applyFill="1" applyBorder="1"/>
    <xf numFmtId="180" fontId="11" fillId="6" borderId="5" xfId="0" applyNumberFormat="1" applyFont="1" applyFill="1" applyBorder="1" applyAlignment="1">
      <alignment horizontal="left" vertical="center"/>
    </xf>
    <xf numFmtId="41" fontId="8" fillId="6" borderId="5" xfId="4" applyFont="1" applyFill="1" applyBorder="1" applyAlignment="1">
      <alignment horizontal="center" vertical="center"/>
    </xf>
    <xf numFmtId="41" fontId="8" fillId="6" borderId="5" xfId="4" applyFont="1" applyFill="1" applyBorder="1" applyAlignment="1">
      <alignment vertical="center"/>
    </xf>
    <xf numFmtId="0" fontId="11" fillId="6" borderId="69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41" fontId="8" fillId="6" borderId="6" xfId="4" applyFont="1" applyFill="1" applyBorder="1"/>
    <xf numFmtId="180" fontId="11" fillId="6" borderId="6" xfId="0" applyNumberFormat="1" applyFont="1" applyFill="1" applyBorder="1" applyAlignment="1">
      <alignment horizontal="left" vertical="center" wrapText="1"/>
    </xf>
    <xf numFmtId="41" fontId="8" fillId="6" borderId="6" xfId="4" applyFont="1" applyFill="1" applyBorder="1" applyAlignment="1">
      <alignment horizontal="center" vertical="center"/>
    </xf>
    <xf numFmtId="41" fontId="8" fillId="6" borderId="6" xfId="4" applyFont="1" applyFill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0" fontId="11" fillId="6" borderId="72" xfId="0" applyFont="1" applyFill="1" applyBorder="1" applyAlignment="1">
      <alignment horizontal="left" vertical="center"/>
    </xf>
    <xf numFmtId="0" fontId="11" fillId="6" borderId="73" xfId="0" applyFont="1" applyFill="1" applyBorder="1" applyAlignment="1">
      <alignment horizontal="left" vertical="center"/>
    </xf>
    <xf numFmtId="41" fontId="8" fillId="6" borderId="74" xfId="4" applyFont="1" applyFill="1" applyBorder="1"/>
    <xf numFmtId="180" fontId="11" fillId="6" borderId="74" xfId="0" applyNumberFormat="1" applyFont="1" applyFill="1" applyBorder="1" applyAlignment="1">
      <alignment horizontal="left" vertical="center"/>
    </xf>
    <xf numFmtId="41" fontId="8" fillId="6" borderId="74" xfId="4" applyFont="1" applyFill="1" applyBorder="1" applyAlignment="1">
      <alignment horizontal="center" vertical="center"/>
    </xf>
    <xf numFmtId="41" fontId="8" fillId="0" borderId="74" xfId="0" applyNumberFormat="1" applyFont="1" applyBorder="1" applyAlignment="1">
      <alignment vertical="center"/>
    </xf>
    <xf numFmtId="41" fontId="8" fillId="0" borderId="0" xfId="4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4" applyFont="1" applyAlignment="1">
      <alignment horizontal="left" vertical="center"/>
    </xf>
    <xf numFmtId="180" fontId="0" fillId="6" borderId="6" xfId="1" applyNumberFormat="1" applyFont="1" applyFill="1" applyBorder="1"/>
    <xf numFmtId="180" fontId="0" fillId="6" borderId="6" xfId="1" applyNumberFormat="1" applyFont="1" applyFill="1" applyBorder="1" applyAlignment="1">
      <alignment horizontal="left"/>
    </xf>
    <xf numFmtId="41" fontId="0" fillId="6" borderId="6" xfId="4" applyFont="1" applyFill="1" applyBorder="1" applyAlignment="1">
      <alignment horizontal="center" vertical="top"/>
    </xf>
    <xf numFmtId="41" fontId="0" fillId="6" borderId="6" xfId="4" applyFont="1" applyFill="1" applyBorder="1" applyAlignment="1">
      <alignment horizontal="left" vertical="top"/>
    </xf>
    <xf numFmtId="180" fontId="10" fillId="0" borderId="6" xfId="1" applyNumberFormat="1" applyFont="1" applyFill="1" applyBorder="1" applyAlignment="1">
      <alignment vertical="center"/>
    </xf>
    <xf numFmtId="41" fontId="8" fillId="6" borderId="5" xfId="0" applyNumberFormat="1" applyFont="1" applyFill="1" applyBorder="1" applyAlignment="1">
      <alignment vertical="center"/>
    </xf>
    <xf numFmtId="41" fontId="8" fillId="6" borderId="17" xfId="4" applyFont="1" applyFill="1" applyBorder="1" applyAlignment="1">
      <alignment horizontal="center" vertical="center"/>
    </xf>
    <xf numFmtId="41" fontId="8" fillId="6" borderId="6" xfId="0" applyNumberFormat="1" applyFont="1" applyFill="1" applyBorder="1" applyAlignment="1">
      <alignment vertical="center"/>
    </xf>
    <xf numFmtId="41" fontId="8" fillId="6" borderId="2" xfId="4" applyFont="1" applyFill="1" applyBorder="1" applyAlignment="1">
      <alignment horizontal="center" vertical="center"/>
    </xf>
    <xf numFmtId="41" fontId="8" fillId="6" borderId="6" xfId="4" applyFont="1" applyFill="1" applyBorder="1" applyAlignment="1">
      <alignment horizontal="left" vertical="center"/>
    </xf>
    <xf numFmtId="41" fontId="8" fillId="6" borderId="74" xfId="0" applyNumberFormat="1" applyFont="1" applyFill="1" applyBorder="1" applyAlignment="1">
      <alignment vertical="center"/>
    </xf>
    <xf numFmtId="41" fontId="8" fillId="6" borderId="75" xfId="4" applyFont="1" applyFill="1" applyBorder="1" applyAlignment="1">
      <alignment horizontal="center" vertical="center"/>
    </xf>
    <xf numFmtId="41" fontId="0" fillId="6" borderId="74" xfId="4" applyFont="1" applyFill="1" applyBorder="1" applyAlignment="1">
      <alignment horizontal="left"/>
    </xf>
    <xf numFmtId="0" fontId="8" fillId="0" borderId="0" xfId="0" applyFont="1" applyAlignment="1">
      <alignment vertical="center"/>
    </xf>
    <xf numFmtId="41" fontId="0" fillId="6" borderId="0" xfId="4" applyFont="1" applyFill="1" applyBorder="1" applyAlignment="1">
      <alignment horizontal="left"/>
    </xf>
    <xf numFmtId="41" fontId="0" fillId="0" borderId="0" xfId="4" applyFont="1" applyAlignment="1">
      <alignment horizontal="left"/>
    </xf>
    <xf numFmtId="0" fontId="76" fillId="0" borderId="0" xfId="0" applyFont="1" applyAlignment="1">
      <alignment horizontal="left"/>
    </xf>
    <xf numFmtId="0" fontId="4" fillId="0" borderId="0" xfId="64" applyFill="1"/>
    <xf numFmtId="0" fontId="8" fillId="0" borderId="0" xfId="64" applyFont="1" applyFill="1"/>
    <xf numFmtId="0" fontId="8" fillId="0" borderId="0" xfId="64" applyFont="1"/>
    <xf numFmtId="0" fontId="4" fillId="0" borderId="0" xfId="64" applyFont="1"/>
    <xf numFmtId="0" fontId="4" fillId="0" borderId="0" xfId="64"/>
    <xf numFmtId="0" fontId="12" fillId="0" borderId="0" xfId="64" applyFont="1"/>
    <xf numFmtId="0" fontId="8" fillId="0" borderId="0" xfId="64" applyFont="1" applyAlignment="1">
      <alignment horizontal="center"/>
    </xf>
    <xf numFmtId="0" fontId="65" fillId="8" borderId="6" xfId="64" applyFont="1" applyFill="1" applyBorder="1" applyAlignment="1">
      <alignment horizontal="center" vertical="center"/>
    </xf>
    <xf numFmtId="0" fontId="8" fillId="21" borderId="2" xfId="64" applyFont="1" applyFill="1" applyBorder="1" applyAlignment="1">
      <alignment horizontal="center" vertical="center"/>
    </xf>
    <xf numFmtId="0" fontId="8" fillId="21" borderId="3" xfId="64" applyFont="1" applyFill="1" applyBorder="1" applyAlignment="1">
      <alignment horizontal="center" vertical="center"/>
    </xf>
    <xf numFmtId="0" fontId="65" fillId="21" borderId="6" xfId="64" applyFont="1" applyFill="1" applyBorder="1" applyAlignment="1">
      <alignment horizontal="center" vertical="center" wrapText="1"/>
    </xf>
    <xf numFmtId="0" fontId="65" fillId="21" borderId="6" xfId="64" applyFont="1" applyFill="1" applyBorder="1" applyAlignment="1">
      <alignment horizontal="center" vertical="center"/>
    </xf>
    <xf numFmtId="0" fontId="65" fillId="6" borderId="6" xfId="64" applyFont="1" applyFill="1" applyBorder="1" applyAlignment="1">
      <alignment horizontal="center" vertical="center"/>
    </xf>
    <xf numFmtId="0" fontId="65" fillId="6" borderId="6" xfId="64" applyFont="1" applyFill="1" applyBorder="1" applyAlignment="1">
      <alignment horizontal="left" vertical="center"/>
    </xf>
    <xf numFmtId="0" fontId="12" fillId="6" borderId="6" xfId="64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2" fillId="13" borderId="6" xfId="0" applyFont="1" applyFill="1" applyBorder="1" applyAlignment="1">
      <alignment vertical="center"/>
    </xf>
    <xf numFmtId="180" fontId="4" fillId="13" borderId="6" xfId="1" applyNumberFormat="1" applyFont="1" applyFill="1" applyBorder="1" applyAlignment="1">
      <alignment vertical="center"/>
    </xf>
    <xf numFmtId="180" fontId="0" fillId="13" borderId="6" xfId="1" applyNumberFormat="1" applyFont="1" applyFill="1" applyBorder="1" applyAlignment="1">
      <alignment vertical="center"/>
    </xf>
    <xf numFmtId="0" fontId="65" fillId="6" borderId="1" xfId="64" applyFont="1" applyFill="1" applyBorder="1" applyAlignment="1">
      <alignment horizontal="center" vertical="center"/>
    </xf>
    <xf numFmtId="0" fontId="65" fillId="6" borderId="4" xfId="64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65" fillId="6" borderId="5" xfId="64" applyFont="1" applyFill="1" applyBorder="1" applyAlignment="1">
      <alignment horizontal="center" vertical="center"/>
    </xf>
    <xf numFmtId="0" fontId="12" fillId="13" borderId="7" xfId="0" applyFont="1" applyFill="1" applyBorder="1" applyAlignment="1">
      <alignment vertical="center"/>
    </xf>
    <xf numFmtId="180" fontId="4" fillId="13" borderId="6" xfId="1" applyNumberFormat="1" applyFont="1" applyFill="1" applyBorder="1" applyAlignment="1"/>
    <xf numFmtId="58" fontId="12" fillId="0" borderId="1" xfId="0" applyNumberFormat="1" applyFont="1" applyFill="1" applyBorder="1" applyAlignment="1">
      <alignment horizontal="center" vertical="center"/>
    </xf>
    <xf numFmtId="58" fontId="12" fillId="0" borderId="4" xfId="0" applyNumberFormat="1" applyFont="1" applyFill="1" applyBorder="1" applyAlignment="1">
      <alignment horizontal="center"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58" fontId="12" fillId="0" borderId="6" xfId="0" applyNumberFormat="1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8" fillId="21" borderId="7" xfId="64" applyFont="1" applyFill="1" applyBorder="1" applyAlignment="1">
      <alignment horizontal="center" vertical="center"/>
    </xf>
    <xf numFmtId="0" fontId="8" fillId="12" borderId="2" xfId="64" applyFont="1" applyFill="1" applyBorder="1" applyAlignment="1">
      <alignment horizontal="center" vertical="center"/>
    </xf>
    <xf numFmtId="0" fontId="8" fillId="12" borderId="3" xfId="64" applyFont="1" applyFill="1" applyBorder="1" applyAlignment="1">
      <alignment horizontal="center" vertical="center"/>
    </xf>
    <xf numFmtId="0" fontId="65" fillId="12" borderId="6" xfId="64" applyFont="1" applyFill="1" applyBorder="1" applyAlignment="1">
      <alignment horizontal="center" vertical="center" wrapText="1"/>
    </xf>
    <xf numFmtId="0" fontId="65" fillId="12" borderId="6" xfId="64" applyFont="1" applyFill="1" applyBorder="1" applyAlignment="1">
      <alignment horizontal="center" vertical="center"/>
    </xf>
    <xf numFmtId="180" fontId="8" fillId="13" borderId="6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41" fontId="4" fillId="0" borderId="0" xfId="4" applyFont="1" applyAlignment="1">
      <alignment horizontal="center"/>
    </xf>
    <xf numFmtId="41" fontId="8" fillId="0" borderId="0" xfId="4" applyFont="1" applyAlignment="1"/>
    <xf numFmtId="0" fontId="4" fillId="0" borderId="0" xfId="64" applyFont="1" applyAlignment="1">
      <alignment horizontal="center"/>
    </xf>
    <xf numFmtId="0" fontId="4" fillId="12" borderId="3" xfId="64" applyFont="1" applyFill="1" applyBorder="1" applyAlignment="1">
      <alignment horizontal="center" vertical="center"/>
    </xf>
    <xf numFmtId="0" fontId="8" fillId="12" borderId="7" xfId="64" applyFont="1" applyFill="1" applyBorder="1" applyAlignment="1">
      <alignment horizontal="center" vertical="center"/>
    </xf>
    <xf numFmtId="0" fontId="8" fillId="8" borderId="6" xfId="64" applyFont="1" applyFill="1" applyBorder="1" applyAlignment="1">
      <alignment horizontal="center" vertical="center"/>
    </xf>
    <xf numFmtId="180" fontId="4" fillId="6" borderId="3" xfId="1" applyNumberFormat="1" applyFont="1" applyFill="1" applyBorder="1" applyAlignment="1">
      <alignment horizontal="center" vertical="center"/>
    </xf>
    <xf numFmtId="180" fontId="8" fillId="6" borderId="3" xfId="1" applyNumberFormat="1" applyFont="1" applyFill="1" applyBorder="1" applyAlignment="1">
      <alignment horizontal="center" vertical="center"/>
    </xf>
    <xf numFmtId="180" fontId="74" fillId="0" borderId="70" xfId="1" applyNumberFormat="1" applyFont="1" applyFill="1" applyBorder="1" applyAlignment="1">
      <alignment horizontal="center"/>
    </xf>
    <xf numFmtId="180" fontId="74" fillId="0" borderId="6" xfId="1" applyNumberFormat="1" applyFont="1" applyFill="1" applyBorder="1" applyAlignment="1">
      <alignment horizontal="center"/>
    </xf>
    <xf numFmtId="180" fontId="8" fillId="0" borderId="6" xfId="1" applyNumberFormat="1" applyFont="1" applyFill="1" applyBorder="1" applyAlignment="1">
      <alignment vertical="center"/>
    </xf>
    <xf numFmtId="180" fontId="8" fillId="13" borderId="6" xfId="1" applyNumberFormat="1" applyFont="1" applyFill="1" applyBorder="1" applyAlignment="1">
      <alignment vertical="center"/>
    </xf>
    <xf numFmtId="180" fontId="74" fillId="13" borderId="6" xfId="1" applyNumberFormat="1" applyFont="1" applyFill="1" applyBorder="1" applyAlignment="1">
      <alignment horizontal="center"/>
    </xf>
    <xf numFmtId="180" fontId="0" fillId="0" borderId="0" xfId="1" applyNumberFormat="1" applyFont="1" applyBorder="1"/>
    <xf numFmtId="180" fontId="0" fillId="0" borderId="0" xfId="1" applyNumberFormat="1" applyFont="1" applyFill="1" applyBorder="1"/>
    <xf numFmtId="180" fontId="8" fillId="0" borderId="6" xfId="1" applyNumberFormat="1" applyFont="1" applyBorder="1" applyAlignment="1">
      <alignment vertical="center"/>
    </xf>
    <xf numFmtId="180" fontId="74" fillId="0" borderId="6" xfId="1" applyNumberFormat="1" applyFont="1" applyFill="1" applyBorder="1" applyAlignment="1">
      <alignment vertical="center"/>
    </xf>
    <xf numFmtId="180" fontId="4" fillId="0" borderId="0" xfId="64" applyNumberFormat="1"/>
    <xf numFmtId="180" fontId="74" fillId="13" borderId="6" xfId="1" applyNumberFormat="1" applyFont="1" applyFill="1" applyBorder="1" applyAlignment="1">
      <alignment vertical="center"/>
    </xf>
    <xf numFmtId="180" fontId="0" fillId="0" borderId="0" xfId="1" applyNumberFormat="1" applyFont="1" applyFill="1"/>
    <xf numFmtId="180" fontId="7" fillId="0" borderId="0" xfId="64" applyNumberFormat="1" applyFont="1"/>
    <xf numFmtId="180" fontId="4" fillId="0" borderId="0" xfId="64" applyNumberFormat="1" applyFill="1"/>
    <xf numFmtId="180" fontId="2" fillId="0" borderId="0" xfId="1" applyNumberFormat="1" applyFont="1" applyAlignment="1">
      <alignment horizontal="center"/>
    </xf>
    <xf numFmtId="180" fontId="12" fillId="6" borderId="6" xfId="1" applyNumberFormat="1" applyFont="1" applyFill="1" applyBorder="1"/>
    <xf numFmtId="180" fontId="4" fillId="0" borderId="0" xfId="1" applyNumberFormat="1" applyFont="1" applyFill="1" applyAlignment="1" applyProtection="1"/>
    <xf numFmtId="0" fontId="4" fillId="0" borderId="6" xfId="64" applyFill="1" applyBorder="1"/>
    <xf numFmtId="0" fontId="12" fillId="13" borderId="6" xfId="64" applyFont="1" applyFill="1" applyBorder="1" applyAlignment="1">
      <alignment vertical="center"/>
    </xf>
    <xf numFmtId="58" fontId="12" fillId="0" borderId="6" xfId="0" applyNumberFormat="1" applyFont="1" applyFill="1" applyBorder="1" applyAlignment="1">
      <alignment vertical="center"/>
    </xf>
    <xf numFmtId="0" fontId="12" fillId="0" borderId="6" xfId="64" applyFont="1" applyFill="1" applyBorder="1"/>
    <xf numFmtId="180" fontId="4" fillId="0" borderId="6" xfId="1" applyNumberFormat="1" applyFont="1" applyFill="1" applyBorder="1" applyAlignment="1" applyProtection="1"/>
    <xf numFmtId="181" fontId="4" fillId="0" borderId="6" xfId="1" applyNumberFormat="1" applyFill="1" applyBorder="1" applyAlignment="1">
      <alignment vertical="center"/>
    </xf>
    <xf numFmtId="0" fontId="12" fillId="0" borderId="7" xfId="64" applyFont="1" applyFill="1" applyBorder="1" applyAlignment="1">
      <alignment vertical="center"/>
    </xf>
    <xf numFmtId="180" fontId="0" fillId="0" borderId="6" xfId="1" applyNumberFormat="1" applyFont="1" applyFill="1" applyBorder="1"/>
    <xf numFmtId="0" fontId="12" fillId="0" borderId="6" xfId="64" applyFont="1" applyFill="1" applyBorder="1" applyAlignment="1">
      <alignment horizontal="center" vertical="center"/>
    </xf>
    <xf numFmtId="0" fontId="12" fillId="0" borderId="4" xfId="64" applyFont="1" applyFill="1" applyBorder="1" applyAlignment="1">
      <alignment horizontal="center" vertical="center"/>
    </xf>
    <xf numFmtId="0" fontId="12" fillId="0" borderId="5" xfId="64" applyFont="1" applyFill="1" applyBorder="1" applyAlignment="1">
      <alignment horizontal="center" vertical="center"/>
    </xf>
    <xf numFmtId="0" fontId="65" fillId="0" borderId="1" xfId="64" applyFont="1" applyFill="1" applyBorder="1" applyAlignment="1">
      <alignment horizontal="center" vertical="center"/>
    </xf>
    <xf numFmtId="0" fontId="65" fillId="0" borderId="4" xfId="64" applyFont="1" applyFill="1" applyBorder="1" applyAlignment="1">
      <alignment horizontal="center" vertical="center"/>
    </xf>
    <xf numFmtId="0" fontId="65" fillId="0" borderId="5" xfId="64" applyFont="1" applyFill="1" applyBorder="1" applyAlignment="1">
      <alignment horizontal="center" vertical="center"/>
    </xf>
    <xf numFmtId="180" fontId="8" fillId="0" borderId="0" xfId="64" applyNumberFormat="1" applyFont="1" applyFill="1"/>
    <xf numFmtId="0" fontId="65" fillId="0" borderId="6" xfId="64" applyFont="1" applyFill="1" applyBorder="1" applyAlignment="1">
      <alignment vertical="center"/>
    </xf>
    <xf numFmtId="0" fontId="65" fillId="0" borderId="6" xfId="64" applyFont="1" applyFill="1" applyBorder="1" applyAlignment="1">
      <alignment horizontal="center" vertical="center"/>
    </xf>
    <xf numFmtId="180" fontId="12" fillId="13" borderId="6" xfId="1" applyNumberFormat="1" applyFont="1" applyFill="1" applyBorder="1" applyAlignment="1">
      <alignment vertical="center"/>
    </xf>
    <xf numFmtId="0" fontId="12" fillId="0" borderId="4" xfId="64" applyFont="1" applyFill="1" applyBorder="1" applyAlignment="1">
      <alignment vertical="center"/>
    </xf>
    <xf numFmtId="0" fontId="12" fillId="0" borderId="5" xfId="64" applyFont="1" applyFill="1" applyBorder="1" applyAlignment="1">
      <alignment vertical="center"/>
    </xf>
    <xf numFmtId="0" fontId="65" fillId="0" borderId="6" xfId="64" applyFont="1" applyBorder="1" applyAlignment="1">
      <alignment vertical="center"/>
    </xf>
    <xf numFmtId="180" fontId="7" fillId="0" borderId="6" xfId="1" applyNumberFormat="1" applyFont="1" applyFill="1" applyBorder="1" applyAlignment="1">
      <alignment vertical="center"/>
    </xf>
    <xf numFmtId="180" fontId="7" fillId="13" borderId="6" xfId="1" applyNumberFormat="1" applyFont="1" applyFill="1" applyBorder="1" applyAlignment="1">
      <alignment vertical="center"/>
    </xf>
    <xf numFmtId="180" fontId="8" fillId="0" borderId="0" xfId="64" applyNumberFormat="1" applyFont="1"/>
    <xf numFmtId="0" fontId="12" fillId="0" borderId="6" xfId="64" applyFont="1" applyBorder="1" applyAlignment="1">
      <alignment vertical="center"/>
    </xf>
    <xf numFmtId="180" fontId="12" fillId="0" borderId="6" xfId="64" applyNumberFormat="1" applyFont="1" applyFill="1" applyBorder="1" applyAlignment="1">
      <alignment vertical="center"/>
    </xf>
    <xf numFmtId="0" fontId="67" fillId="0" borderId="6" xfId="64" applyFont="1" applyFill="1" applyBorder="1" applyAlignment="1">
      <alignment vertical="center"/>
    </xf>
    <xf numFmtId="0" fontId="66" fillId="0" borderId="6" xfId="64" applyFont="1" applyFill="1" applyBorder="1" applyAlignment="1">
      <alignment vertical="center"/>
    </xf>
    <xf numFmtId="0" fontId="12" fillId="0" borderId="0" xfId="64" applyFont="1" applyAlignment="1">
      <alignment vertical="center"/>
    </xf>
    <xf numFmtId="180" fontId="0" fillId="0" borderId="0" xfId="1" applyNumberFormat="1" applyFont="1" applyBorder="1" applyAlignment="1">
      <alignment vertical="center"/>
    </xf>
    <xf numFmtId="180" fontId="0" fillId="0" borderId="0" xfId="1" applyNumberFormat="1" applyFont="1" applyAlignment="1">
      <alignment vertical="center"/>
    </xf>
    <xf numFmtId="180" fontId="8" fillId="0" borderId="0" xfId="1" applyNumberFormat="1" applyFont="1" applyBorder="1" applyAlignment="1">
      <alignment vertical="center"/>
    </xf>
    <xf numFmtId="180" fontId="8" fillId="0" borderId="0" xfId="1" applyNumberFormat="1" applyFont="1" applyAlignment="1">
      <alignment vertical="center"/>
    </xf>
    <xf numFmtId="180" fontId="4" fillId="0" borderId="0" xfId="64" applyNumberFormat="1" applyFont="1"/>
    <xf numFmtId="187" fontId="77" fillId="0" borderId="0" xfId="0" applyNumberFormat="1" applyFont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0" xfId="1" applyNumberFormat="1" applyFont="1" applyAlignment="1">
      <alignment vertical="center"/>
    </xf>
    <xf numFmtId="180" fontId="4" fillId="0" borderId="0" xfId="64" applyNumberFormat="1" applyAlignment="1">
      <alignment horizontal="center"/>
    </xf>
    <xf numFmtId="0" fontId="4" fillId="0" borderId="0" xfId="64" applyAlignment="1">
      <alignment horizontal="center"/>
    </xf>
    <xf numFmtId="0" fontId="9" fillId="0" borderId="0" xfId="64" applyFont="1"/>
    <xf numFmtId="0" fontId="78" fillId="0" borderId="0" xfId="64" applyFont="1" applyAlignment="1">
      <alignment horizontal="center"/>
    </xf>
    <xf numFmtId="180" fontId="9" fillId="0" borderId="0" xfId="64" applyNumberFormat="1" applyFont="1" applyAlignment="1">
      <alignment horizontal="center"/>
    </xf>
    <xf numFmtId="0" fontId="9" fillId="0" borderId="0" xfId="64" applyFont="1" applyAlignment="1">
      <alignment horizontal="center"/>
    </xf>
    <xf numFmtId="0" fontId="12" fillId="0" borderId="0" xfId="64" applyFont="1" applyAlignment="1">
      <alignment horizontal="center"/>
    </xf>
    <xf numFmtId="9" fontId="9" fillId="0" borderId="0" xfId="64" applyNumberFormat="1" applyFont="1" applyAlignment="1">
      <alignment horizontal="center"/>
    </xf>
    <xf numFmtId="9" fontId="12" fillId="0" borderId="0" xfId="64" applyNumberFormat="1" applyFont="1" applyAlignment="1">
      <alignment horizontal="center"/>
    </xf>
    <xf numFmtId="180" fontId="8" fillId="0" borderId="0" xfId="1" applyNumberFormat="1" applyFont="1" applyFill="1" applyBorder="1" applyAlignment="1" applyProtection="1"/>
    <xf numFmtId="9" fontId="76" fillId="0" borderId="0" xfId="64" applyNumberFormat="1" applyFont="1" applyAlignment="1">
      <alignment horizontal="center"/>
    </xf>
    <xf numFmtId="9" fontId="65" fillId="0" borderId="0" xfId="64" applyNumberFormat="1" applyFont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6" xfId="0" applyFont="1" applyFill="1" applyBorder="1"/>
    <xf numFmtId="176" fontId="0" fillId="0" borderId="0" xfId="5" applyFont="1" applyAlignment="1"/>
    <xf numFmtId="187" fontId="71" fillId="0" borderId="6" xfId="0" applyNumberFormat="1" applyFont="1" applyBorder="1"/>
    <xf numFmtId="180" fontId="0" fillId="0" borderId="0" xfId="1" applyNumberFormat="1" applyFont="1" applyAlignment="1"/>
    <xf numFmtId="187" fontId="8" fillId="0" borderId="6" xfId="0" applyNumberFormat="1" applyFont="1" applyBorder="1"/>
    <xf numFmtId="187" fontId="8" fillId="0" borderId="6" xfId="4" applyNumberFormat="1" applyFont="1" applyBorder="1"/>
    <xf numFmtId="187" fontId="0" fillId="0" borderId="0" xfId="0" applyNumberFormat="1"/>
    <xf numFmtId="0" fontId="4" fillId="0" borderId="6" xfId="0" applyFont="1" applyBorder="1"/>
    <xf numFmtId="176" fontId="8" fillId="0" borderId="6" xfId="5" applyFont="1" applyBorder="1" applyAlignment="1"/>
    <xf numFmtId="180" fontId="8" fillId="0" borderId="0" xfId="1" applyNumberFormat="1" applyFont="1" applyBorder="1" applyAlignment="1"/>
    <xf numFmtId="187" fontId="8" fillId="22" borderId="6" xfId="0" applyNumberFormat="1" applyFont="1" applyFill="1" applyBorder="1"/>
    <xf numFmtId="0" fontId="8" fillId="0" borderId="6" xfId="0" applyFont="1" applyBorder="1" applyAlignment="1">
      <alignment horizontal="center"/>
    </xf>
    <xf numFmtId="180" fontId="7" fillId="0" borderId="0" xfId="1" applyNumberFormat="1" applyFont="1"/>
    <xf numFmtId="180" fontId="0" fillId="0" borderId="0" xfId="1" applyNumberFormat="1" applyFont="1" applyAlignment="1">
      <alignment horizontal="left"/>
    </xf>
    <xf numFmtId="187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87" fontId="0" fillId="0" borderId="0" xfId="0" applyNumberFormat="1" applyFont="1" applyFill="1" applyBorder="1" applyAlignment="1" applyProtection="1">
      <alignment horizontal="center" vertical="center"/>
    </xf>
    <xf numFmtId="187" fontId="8" fillId="6" borderId="6" xfId="0" applyNumberFormat="1" applyFont="1" applyFill="1" applyBorder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8" fontId="0" fillId="0" borderId="0" xfId="0" applyNumberFormat="1"/>
    <xf numFmtId="187" fontId="79" fillId="0" borderId="6" xfId="68" applyNumberFormat="1" applyFont="1" applyBorder="1"/>
    <xf numFmtId="0" fontId="8" fillId="0" borderId="0" xfId="68" applyFont="1" applyAlignment="1">
      <alignment horizontal="center" vertical="center"/>
    </xf>
    <xf numFmtId="0" fontId="8" fillId="0" borderId="0" xfId="68" applyFont="1" applyAlignment="1">
      <alignment vertical="center"/>
    </xf>
    <xf numFmtId="0" fontId="4" fillId="0" borderId="0" xfId="68" applyAlignment="1">
      <alignment horizontal="left"/>
    </xf>
    <xf numFmtId="0" fontId="8" fillId="12" borderId="6" xfId="68" applyFont="1" applyFill="1" applyBorder="1" applyAlignment="1">
      <alignment horizontal="center"/>
    </xf>
    <xf numFmtId="0" fontId="8" fillId="12" borderId="6" xfId="68" applyFont="1" applyFill="1" applyBorder="1"/>
    <xf numFmtId="0" fontId="8" fillId="6" borderId="0" xfId="68" applyFont="1" applyFill="1"/>
    <xf numFmtId="180" fontId="0" fillId="0" borderId="0" xfId="61" applyNumberFormat="1" applyFont="1" applyAlignment="1"/>
    <xf numFmtId="1" fontId="4" fillId="0" borderId="0" xfId="68" applyNumberFormat="1"/>
    <xf numFmtId="0" fontId="8" fillId="0" borderId="6" xfId="68" applyFont="1" applyBorder="1"/>
    <xf numFmtId="0" fontId="4" fillId="0" borderId="6" xfId="68" applyBorder="1"/>
    <xf numFmtId="176" fontId="0" fillId="0" borderId="0" xfId="62" applyFont="1" applyAlignment="1"/>
    <xf numFmtId="187" fontId="71" fillId="0" borderId="6" xfId="68" applyNumberFormat="1" applyFont="1" applyBorder="1"/>
    <xf numFmtId="180" fontId="0" fillId="0" borderId="0" xfId="61" applyNumberFormat="1" applyFont="1"/>
    <xf numFmtId="41" fontId="0" fillId="0" borderId="0" xfId="53" applyFont="1" applyAlignment="1"/>
    <xf numFmtId="187" fontId="8" fillId="0" borderId="6" xfId="68" applyNumberFormat="1" applyFont="1" applyBorder="1"/>
    <xf numFmtId="188" fontId="8" fillId="0" borderId="6" xfId="61" applyNumberFormat="1" applyFont="1" applyBorder="1"/>
    <xf numFmtId="187" fontId="8" fillId="0" borderId="6" xfId="53" applyNumberFormat="1" applyFont="1" applyBorder="1"/>
    <xf numFmtId="176" fontId="8" fillId="0" borderId="6" xfId="62" applyFont="1" applyBorder="1" applyAlignment="1"/>
    <xf numFmtId="41" fontId="8" fillId="0" borderId="0" xfId="53" applyFont="1" applyBorder="1" applyAlignment="1"/>
    <xf numFmtId="187" fontId="8" fillId="23" borderId="6" xfId="68" applyNumberFormat="1" applyFont="1" applyFill="1" applyBorder="1"/>
    <xf numFmtId="41" fontId="0" fillId="0" borderId="0" xfId="53" applyFont="1" applyBorder="1" applyAlignment="1"/>
    <xf numFmtId="0" fontId="8" fillId="0" borderId="6" xfId="68" applyFont="1" applyBorder="1" applyAlignment="1">
      <alignment horizontal="center"/>
    </xf>
    <xf numFmtId="9" fontId="0" fillId="0" borderId="0" xfId="62" applyNumberFormat="1" applyFont="1" applyAlignment="1">
      <alignment horizontal="center" vertical="center"/>
    </xf>
    <xf numFmtId="9" fontId="7" fillId="0" borderId="0" xfId="68" applyNumberFormat="1" applyFont="1" applyAlignment="1">
      <alignment horizontal="center" vertical="center"/>
    </xf>
    <xf numFmtId="9" fontId="4" fillId="0" borderId="0" xfId="68" applyNumberFormat="1" applyAlignment="1">
      <alignment horizontal="center" vertical="center"/>
    </xf>
    <xf numFmtId="41" fontId="0" fillId="0" borderId="0" xfId="53" applyFont="1" applyAlignment="1">
      <alignment horizontal="center"/>
    </xf>
    <xf numFmtId="176" fontId="4" fillId="0" borderId="0" xfId="68" applyNumberFormat="1"/>
    <xf numFmtId="176" fontId="80" fillId="0" borderId="0" xfId="62" applyFont="1" applyAlignment="1"/>
    <xf numFmtId="176" fontId="7" fillId="0" borderId="0" xfId="68" applyNumberFormat="1" applyFont="1"/>
    <xf numFmtId="176" fontId="80" fillId="0" borderId="0" xfId="68" applyNumberFormat="1" applyFont="1" applyAlignment="1">
      <alignment horizontal="left"/>
    </xf>
    <xf numFmtId="43" fontId="4" fillId="0" borderId="0" xfId="1" applyFont="1" applyFill="1" applyBorder="1" applyAlignment="1" applyProtection="1"/>
    <xf numFmtId="187" fontId="8" fillId="6" borderId="6" xfId="68" applyNumberFormat="1" applyFont="1" applyFill="1" applyBorder="1"/>
    <xf numFmtId="176" fontId="80" fillId="0" borderId="6" xfId="68" applyNumberFormat="1" applyFont="1" applyBorder="1"/>
    <xf numFmtId="0" fontId="11" fillId="0" borderId="0" xfId="68" applyFont="1"/>
    <xf numFmtId="176" fontId="0" fillId="0" borderId="0" xfId="62" applyFont="1"/>
    <xf numFmtId="176" fontId="8" fillId="0" borderId="0" xfId="68" applyNumberFormat="1" applyFont="1"/>
    <xf numFmtId="41" fontId="0" fillId="0" borderId="0" xfId="53" applyFont="1" applyFill="1" applyBorder="1" applyAlignment="1">
      <alignment horizontal="center"/>
    </xf>
    <xf numFmtId="41" fontId="11" fillId="0" borderId="0" xfId="68" applyNumberFormat="1" applyFont="1"/>
    <xf numFmtId="41" fontId="0" fillId="0" borderId="0" xfId="53" applyFont="1"/>
    <xf numFmtId="176" fontId="74" fillId="0" borderId="0" xfId="68" applyNumberFormat="1" applyFont="1"/>
    <xf numFmtId="41" fontId="7" fillId="0" borderId="0" xfId="53" applyFont="1"/>
    <xf numFmtId="41" fontId="8" fillId="0" borderId="0" xfId="68" applyNumberFormat="1" applyFont="1"/>
    <xf numFmtId="9" fontId="4" fillId="0" borderId="0" xfId="68" applyNumberFormat="1"/>
    <xf numFmtId="43" fontId="4" fillId="0" borderId="0" xfId="68" applyNumberFormat="1"/>
    <xf numFmtId="9" fontId="4" fillId="0" borderId="0" xfId="68" applyNumberFormat="1" applyAlignment="1">
      <alignment horizontal="center"/>
    </xf>
    <xf numFmtId="180" fontId="4" fillId="0" borderId="0" xfId="68" applyNumberFormat="1"/>
    <xf numFmtId="0" fontId="77" fillId="0" borderId="0" xfId="0" applyFont="1" applyAlignment="1">
      <alignment vertical="center"/>
    </xf>
    <xf numFmtId="180" fontId="79" fillId="0" borderId="0" xfId="1" applyNumberFormat="1" applyFont="1"/>
    <xf numFmtId="0" fontId="4" fillId="0" borderId="0" xfId="0" applyFont="1" applyAlignment="1">
      <alignment horizontal="left" vertical="center"/>
    </xf>
    <xf numFmtId="180" fontId="79" fillId="0" borderId="0" xfId="1" applyNumberFormat="1" applyFont="1" applyAlignment="1">
      <alignment vertical="center"/>
    </xf>
    <xf numFmtId="180" fontId="0" fillId="0" borderId="0" xfId="1" applyNumberFormat="1" applyFont="1" applyAlignment="1">
      <alignment horizontal="left" vertical="center"/>
    </xf>
    <xf numFmtId="0" fontId="81" fillId="12" borderId="63" xfId="0" applyFont="1" applyFill="1" applyBorder="1" applyAlignment="1">
      <alignment horizontal="center" vertical="center"/>
    </xf>
    <xf numFmtId="0" fontId="81" fillId="12" borderId="64" xfId="0" applyFont="1" applyFill="1" applyBorder="1" applyAlignment="1">
      <alignment horizontal="center" vertical="center"/>
    </xf>
    <xf numFmtId="0" fontId="81" fillId="12" borderId="65" xfId="0" applyFont="1" applyFill="1" applyBorder="1" applyAlignment="1">
      <alignment horizontal="center" vertical="center"/>
    </xf>
    <xf numFmtId="180" fontId="81" fillId="12" borderId="63" xfId="1" applyNumberFormat="1" applyFont="1" applyFill="1" applyBorder="1" applyAlignment="1">
      <alignment horizontal="center" vertical="center"/>
    </xf>
    <xf numFmtId="180" fontId="81" fillId="12" borderId="64" xfId="1" applyNumberFormat="1" applyFont="1" applyFill="1" applyBorder="1" applyAlignment="1">
      <alignment horizontal="center" vertical="center"/>
    </xf>
    <xf numFmtId="180" fontId="81" fillId="12" borderId="65" xfId="1" applyNumberFormat="1" applyFont="1" applyFill="1" applyBorder="1" applyAlignment="1">
      <alignment horizontal="center" vertical="center"/>
    </xf>
    <xf numFmtId="0" fontId="81" fillId="0" borderId="41" xfId="0" applyFont="1" applyBorder="1" applyAlignment="1">
      <alignment horizontal="left" vertical="center"/>
    </xf>
    <xf numFmtId="0" fontId="81" fillId="0" borderId="43" xfId="0" applyFont="1" applyBorder="1" applyAlignment="1">
      <alignment vertical="center"/>
    </xf>
    <xf numFmtId="0" fontId="77" fillId="0" borderId="43" xfId="0" applyFont="1" applyBorder="1" applyAlignment="1">
      <alignment horizontal="center" vertical="center"/>
    </xf>
    <xf numFmtId="180" fontId="77" fillId="0" borderId="43" xfId="1" applyNumberFormat="1" applyFont="1" applyBorder="1" applyAlignment="1">
      <alignment horizontal="center" vertical="center"/>
    </xf>
    <xf numFmtId="180" fontId="82" fillId="0" borderId="49" xfId="1" applyNumberFormat="1" applyFont="1" applyBorder="1" applyAlignment="1">
      <alignment horizontal="center" vertical="center"/>
    </xf>
    <xf numFmtId="180" fontId="81" fillId="0" borderId="41" xfId="1" applyNumberFormat="1" applyFont="1" applyBorder="1" applyAlignment="1">
      <alignment horizontal="left" vertical="center"/>
    </xf>
    <xf numFmtId="180" fontId="81" fillId="0" borderId="43" xfId="1" applyNumberFormat="1" applyFont="1" applyBorder="1" applyAlignment="1">
      <alignment vertical="center"/>
    </xf>
    <xf numFmtId="180" fontId="77" fillId="0" borderId="49" xfId="1" applyNumberFormat="1" applyFont="1" applyBorder="1" applyAlignment="1">
      <alignment horizontal="center" vertical="center"/>
    </xf>
    <xf numFmtId="0" fontId="81" fillId="0" borderId="39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0" fontId="77" fillId="0" borderId="5" xfId="0" applyFont="1" applyBorder="1" applyAlignment="1">
      <alignment horizontal="center" vertical="center"/>
    </xf>
    <xf numFmtId="180" fontId="77" fillId="0" borderId="5" xfId="1" applyNumberFormat="1" applyFont="1" applyBorder="1" applyAlignment="1">
      <alignment horizontal="center" vertical="center"/>
    </xf>
    <xf numFmtId="180" fontId="82" fillId="0" borderId="47" xfId="1" applyNumberFormat="1" applyFont="1" applyBorder="1" applyAlignment="1">
      <alignment horizontal="center" vertical="center"/>
    </xf>
    <xf numFmtId="180" fontId="77" fillId="0" borderId="39" xfId="1" applyNumberFormat="1" applyFont="1" applyBorder="1" applyAlignment="1">
      <alignment horizontal="left" vertical="center"/>
    </xf>
    <xf numFmtId="180" fontId="77" fillId="0" borderId="5" xfId="1" applyNumberFormat="1" applyFont="1" applyBorder="1" applyAlignment="1">
      <alignment vertical="center"/>
    </xf>
    <xf numFmtId="180" fontId="77" fillId="0" borderId="47" xfId="1" applyNumberFormat="1" applyFont="1" applyBorder="1" applyAlignment="1">
      <alignment horizontal="center" vertical="center"/>
    </xf>
    <xf numFmtId="0" fontId="77" fillId="0" borderId="44" xfId="0" applyFont="1" applyBorder="1" applyAlignment="1">
      <alignment horizontal="left" vertical="center"/>
    </xf>
    <xf numFmtId="0" fontId="77" fillId="0" borderId="6" xfId="0" applyFont="1" applyBorder="1" applyAlignment="1">
      <alignment vertical="center"/>
    </xf>
    <xf numFmtId="187" fontId="77" fillId="0" borderId="6" xfId="0" applyNumberFormat="1" applyFont="1" applyBorder="1" applyAlignment="1">
      <alignment horizontal="center" vertical="center"/>
    </xf>
    <xf numFmtId="180" fontId="77" fillId="0" borderId="6" xfId="1" applyNumberFormat="1" applyFont="1" applyBorder="1" applyAlignment="1">
      <alignment horizontal="center" vertical="center"/>
    </xf>
    <xf numFmtId="180" fontId="83" fillId="0" borderId="50" xfId="1" applyNumberFormat="1" applyFont="1" applyBorder="1" applyAlignment="1">
      <alignment horizontal="center" vertical="center"/>
    </xf>
    <xf numFmtId="187" fontId="77" fillId="0" borderId="4" xfId="0" applyNumberFormat="1" applyFont="1" applyBorder="1" applyAlignment="1">
      <alignment horizontal="center" vertical="center"/>
    </xf>
    <xf numFmtId="180" fontId="82" fillId="0" borderId="50" xfId="1" applyNumberFormat="1" applyFont="1" applyBorder="1" applyAlignment="1">
      <alignment horizontal="center" vertical="center"/>
    </xf>
    <xf numFmtId="180" fontId="77" fillId="0" borderId="6" xfId="1" applyNumberFormat="1" applyFont="1" applyBorder="1" applyAlignment="1">
      <alignment horizontal="left" vertical="center"/>
    </xf>
    <xf numFmtId="180" fontId="77" fillId="0" borderId="50" xfId="1" applyNumberFormat="1" applyFont="1" applyBorder="1" applyAlignment="1">
      <alignment vertical="center"/>
    </xf>
    <xf numFmtId="180" fontId="77" fillId="0" borderId="6" xfId="1" applyNumberFormat="1" applyFont="1" applyBorder="1" applyAlignment="1">
      <alignment vertical="center"/>
    </xf>
    <xf numFmtId="187" fontId="77" fillId="0" borderId="6" xfId="5" applyNumberFormat="1" applyFont="1" applyBorder="1" applyAlignment="1">
      <alignment horizontal="center" vertical="center"/>
    </xf>
    <xf numFmtId="180" fontId="77" fillId="0" borderId="0" xfId="1" applyNumberFormat="1" applyFont="1" applyAlignment="1">
      <alignment vertical="center"/>
    </xf>
    <xf numFmtId="180" fontId="81" fillId="0" borderId="44" xfId="1" applyNumberFormat="1" applyFont="1" applyBorder="1" applyAlignment="1">
      <alignment horizontal="left" vertical="center"/>
    </xf>
    <xf numFmtId="180" fontId="81" fillId="0" borderId="6" xfId="1" applyNumberFormat="1" applyFont="1" applyBorder="1" applyAlignment="1">
      <alignment vertical="center"/>
    </xf>
    <xf numFmtId="0" fontId="81" fillId="0" borderId="44" xfId="0" applyFont="1" applyBorder="1" applyAlignment="1">
      <alignment horizontal="left" vertical="center"/>
    </xf>
    <xf numFmtId="0" fontId="81" fillId="0" borderId="6" xfId="0" applyFont="1" applyBorder="1" applyAlignment="1">
      <alignment vertical="center"/>
    </xf>
    <xf numFmtId="187" fontId="77" fillId="0" borderId="4" xfId="5" applyNumberFormat="1" applyFont="1" applyBorder="1" applyAlignment="1">
      <alignment horizontal="center" vertical="center"/>
    </xf>
    <xf numFmtId="0" fontId="77" fillId="0" borderId="4" xfId="0" applyFont="1" applyBorder="1" applyAlignment="1">
      <alignment vertical="center"/>
    </xf>
    <xf numFmtId="180" fontId="12" fillId="0" borderId="76" xfId="1" applyNumberFormat="1" applyFont="1" applyBorder="1" applyAlignment="1">
      <alignment horizontal="center"/>
    </xf>
    <xf numFmtId="180" fontId="77" fillId="0" borderId="44" xfId="1" applyNumberFormat="1" applyFont="1" applyBorder="1" applyAlignment="1">
      <alignment horizontal="left" vertical="center"/>
    </xf>
    <xf numFmtId="187" fontId="77" fillId="0" borderId="6" xfId="4" applyNumberFormat="1" applyFont="1" applyBorder="1" applyAlignment="1">
      <alignment horizontal="center" vertical="center"/>
    </xf>
    <xf numFmtId="180" fontId="81" fillId="0" borderId="6" xfId="1" applyNumberFormat="1" applyFont="1" applyBorder="1" applyAlignment="1">
      <alignment horizontal="center" vertical="center"/>
    </xf>
    <xf numFmtId="180" fontId="81" fillId="0" borderId="50" xfId="1" applyNumberFormat="1" applyFont="1" applyBorder="1" applyAlignment="1">
      <alignment vertical="center"/>
    </xf>
    <xf numFmtId="0" fontId="77" fillId="0" borderId="6" xfId="0" applyFont="1" applyBorder="1" applyAlignment="1">
      <alignment horizontal="center" vertical="center"/>
    </xf>
    <xf numFmtId="180" fontId="82" fillId="0" borderId="50" xfId="1" applyNumberFormat="1" applyFont="1" applyBorder="1" applyAlignment="1">
      <alignment horizontal="left" vertical="center"/>
    </xf>
    <xf numFmtId="180" fontId="82" fillId="0" borderId="50" xfId="1" applyNumberFormat="1" applyFont="1" applyBorder="1" applyAlignment="1">
      <alignment vertical="center"/>
    </xf>
    <xf numFmtId="0" fontId="77" fillId="0" borderId="7" xfId="0" applyFont="1" applyBorder="1" applyAlignment="1">
      <alignment horizontal="left" vertical="center"/>
    </xf>
    <xf numFmtId="180" fontId="82" fillId="0" borderId="6" xfId="1" applyNumberFormat="1" applyFont="1" applyBorder="1" applyAlignment="1">
      <alignment horizontal="center" vertical="center"/>
    </xf>
    <xf numFmtId="180" fontId="77" fillId="0" borderId="7" xfId="1" applyNumberFormat="1" applyFont="1" applyBorder="1" applyAlignment="1">
      <alignment horizontal="left" vertical="center"/>
    </xf>
    <xf numFmtId="0" fontId="77" fillId="0" borderId="6" xfId="0" applyFont="1" applyBorder="1" applyAlignment="1">
      <alignment horizontal="left" vertical="center"/>
    </xf>
    <xf numFmtId="180" fontId="77" fillId="0" borderId="50" xfId="1" applyNumberFormat="1" applyFont="1" applyFill="1" applyBorder="1" applyAlignment="1">
      <alignment vertical="center"/>
    </xf>
    <xf numFmtId="180" fontId="83" fillId="0" borderId="6" xfId="1" applyNumberFormat="1" applyFont="1" applyBorder="1" applyAlignment="1">
      <alignment horizontal="center" vertical="center"/>
    </xf>
    <xf numFmtId="180" fontId="77" fillId="0" borderId="1" xfId="1" applyNumberFormat="1" applyFont="1" applyBorder="1" applyAlignment="1">
      <alignment vertical="center"/>
    </xf>
    <xf numFmtId="180" fontId="77" fillId="0" borderId="48" xfId="1" applyNumberFormat="1" applyFont="1" applyFill="1" applyBorder="1" applyAlignment="1">
      <alignment vertical="center"/>
    </xf>
    <xf numFmtId="0" fontId="77" fillId="0" borderId="40" xfId="0" applyFont="1" applyBorder="1" applyAlignment="1">
      <alignment horizontal="left" vertical="center"/>
    </xf>
    <xf numFmtId="0" fontId="77" fillId="0" borderId="1" xfId="0" applyFont="1" applyBorder="1" applyAlignment="1">
      <alignment vertical="center"/>
    </xf>
    <xf numFmtId="187" fontId="77" fillId="0" borderId="1" xfId="0" applyNumberFormat="1" applyFont="1" applyBorder="1" applyAlignment="1">
      <alignment horizontal="center" vertical="center"/>
    </xf>
    <xf numFmtId="180" fontId="77" fillId="0" borderId="1" xfId="1" applyNumberFormat="1" applyFont="1" applyBorder="1" applyAlignment="1">
      <alignment horizontal="center" vertical="center"/>
    </xf>
    <xf numFmtId="180" fontId="83" fillId="0" borderId="48" xfId="1" applyNumberFormat="1" applyFont="1" applyBorder="1" applyAlignment="1">
      <alignment horizontal="center" vertical="center"/>
    </xf>
    <xf numFmtId="180" fontId="81" fillId="0" borderId="48" xfId="1" applyNumberFormat="1" applyFont="1" applyFill="1" applyBorder="1" applyAlignment="1">
      <alignment vertical="center"/>
    </xf>
    <xf numFmtId="180" fontId="83" fillId="0" borderId="16" xfId="1" applyNumberFormat="1" applyFont="1" applyBorder="1" applyAlignment="1">
      <alignment horizontal="center" vertical="center"/>
    </xf>
    <xf numFmtId="180" fontId="77" fillId="0" borderId="6" xfId="1" applyNumberFormat="1" applyFont="1" applyFill="1" applyBorder="1" applyAlignment="1">
      <alignment vertical="center"/>
    </xf>
    <xf numFmtId="0" fontId="81" fillId="21" borderId="77" xfId="0" applyFont="1" applyFill="1" applyBorder="1" applyAlignment="1">
      <alignment horizontal="center" vertical="center"/>
    </xf>
    <xf numFmtId="0" fontId="81" fillId="21" borderId="53" xfId="0" applyFont="1" applyFill="1" applyBorder="1" applyAlignment="1">
      <alignment horizontal="center" vertical="center"/>
    </xf>
    <xf numFmtId="180" fontId="83" fillId="21" borderId="78" xfId="1" applyNumberFormat="1" applyFont="1" applyFill="1" applyBorder="1" applyAlignment="1">
      <alignment horizontal="center" vertical="center"/>
    </xf>
    <xf numFmtId="180" fontId="81" fillId="21" borderId="77" xfId="1" applyNumberFormat="1" applyFont="1" applyFill="1" applyBorder="1" applyAlignment="1">
      <alignment horizontal="center" vertical="center"/>
    </xf>
    <xf numFmtId="180" fontId="81" fillId="21" borderId="53" xfId="1" applyNumberFormat="1" applyFont="1" applyFill="1" applyBorder="1" applyAlignment="1">
      <alignment horizontal="center" vertical="center"/>
    </xf>
    <xf numFmtId="180" fontId="81" fillId="21" borderId="78" xfId="1" applyNumberFormat="1" applyFont="1" applyFill="1" applyBorder="1" applyAlignment="1">
      <alignment vertical="center"/>
    </xf>
    <xf numFmtId="180" fontId="11" fillId="0" borderId="0" xfId="1" applyNumberFormat="1" applyFont="1" applyAlignment="1">
      <alignment horizontal="right" vertical="center"/>
    </xf>
    <xf numFmtId="180" fontId="7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180" fontId="0" fillId="0" borderId="0" xfId="1" applyNumberFormat="1" applyFont="1" applyAlignment="1">
      <alignment horizontal="center"/>
    </xf>
    <xf numFmtId="180" fontId="79" fillId="0" borderId="0" xfId="1" applyNumberFormat="1" applyFont="1" applyAlignment="1">
      <alignment horizontal="center"/>
    </xf>
    <xf numFmtId="180" fontId="10" fillId="0" borderId="0" xfId="1" applyNumberFormat="1" applyFont="1" applyAlignment="1">
      <alignment horizontal="center"/>
    </xf>
    <xf numFmtId="180" fontId="8" fillId="0" borderId="0" xfId="1" applyNumberFormat="1" applyFont="1" applyAlignment="1">
      <alignment horizontal="center"/>
    </xf>
    <xf numFmtId="180" fontId="71" fillId="0" borderId="0" xfId="1" applyNumberFormat="1" applyFont="1" applyAlignment="1">
      <alignment horizontal="center"/>
    </xf>
    <xf numFmtId="180" fontId="8" fillId="0" borderId="0" xfId="1" applyNumberFormat="1" applyFont="1" applyAlignment="1">
      <alignment horizontal="left"/>
    </xf>
    <xf numFmtId="180" fontId="9" fillId="0" borderId="0" xfId="1" applyNumberFormat="1" applyFont="1" applyAlignment="1">
      <alignment horizontal="center"/>
    </xf>
    <xf numFmtId="180" fontId="84" fillId="0" borderId="0" xfId="1" applyNumberFormat="1" applyFont="1" applyAlignment="1">
      <alignment horizontal="center"/>
    </xf>
    <xf numFmtId="180" fontId="9" fillId="0" borderId="0" xfId="1" applyNumberFormat="1" applyFont="1" applyAlignment="1">
      <alignment horizontal="left"/>
    </xf>
    <xf numFmtId="187" fontId="0" fillId="0" borderId="0" xfId="0" applyNumberFormat="1" applyAlignment="1">
      <alignment vertical="center"/>
    </xf>
    <xf numFmtId="41" fontId="0" fillId="0" borderId="0" xfId="4" applyFont="1" applyAlignment="1">
      <alignment vertical="center"/>
    </xf>
    <xf numFmtId="41" fontId="77" fillId="0" borderId="0" xfId="4" applyFont="1" applyBorder="1" applyAlignment="1">
      <alignment horizontal="left" vertical="center"/>
    </xf>
    <xf numFmtId="41" fontId="85" fillId="0" borderId="0" xfId="4" applyFont="1" applyAlignment="1">
      <alignment vertical="center"/>
    </xf>
    <xf numFmtId="41" fontId="77" fillId="0" borderId="0" xfId="0" applyNumberFormat="1" applyFont="1" applyAlignment="1">
      <alignment horizontal="left" vertical="center"/>
    </xf>
    <xf numFmtId="41" fontId="77" fillId="0" borderId="0" xfId="4" applyFont="1" applyAlignment="1">
      <alignment vertical="center"/>
    </xf>
    <xf numFmtId="41" fontId="77" fillId="0" borderId="0" xfId="0" applyNumberFormat="1" applyFont="1" applyAlignment="1">
      <alignment vertical="center"/>
    </xf>
    <xf numFmtId="41" fontId="77" fillId="0" borderId="0" xfId="4" applyFont="1" applyBorder="1" applyAlignment="1">
      <alignment vertical="center"/>
    </xf>
    <xf numFmtId="41" fontId="82" fillId="0" borderId="0" xfId="4" applyFont="1" applyAlignment="1">
      <alignment vertical="center"/>
    </xf>
    <xf numFmtId="176" fontId="77" fillId="0" borderId="0" xfId="0" applyNumberFormat="1" applyFont="1" applyAlignment="1">
      <alignment vertical="center"/>
    </xf>
    <xf numFmtId="41" fontId="86" fillId="0" borderId="0" xfId="0" applyNumberFormat="1" applyFont="1" applyAlignment="1">
      <alignment vertical="center"/>
    </xf>
    <xf numFmtId="41" fontId="85" fillId="0" borderId="0" xfId="4" applyFont="1" applyBorder="1" applyAlignment="1">
      <alignment vertical="center"/>
    </xf>
    <xf numFmtId="41" fontId="82" fillId="0" borderId="0" xfId="4" applyFont="1" applyBorder="1" applyAlignment="1">
      <alignment vertical="center"/>
    </xf>
    <xf numFmtId="187" fontId="77" fillId="0" borderId="0" xfId="0" applyNumberFormat="1" applyFont="1" applyAlignment="1">
      <alignment horizontal="left" vertical="center"/>
    </xf>
    <xf numFmtId="41" fontId="82" fillId="0" borderId="0" xfId="4" applyFont="1" applyBorder="1" applyAlignment="1">
      <alignment vertical="center" wrapText="1"/>
    </xf>
    <xf numFmtId="187" fontId="77" fillId="0" borderId="0" xfId="4" applyNumberFormat="1" applyFont="1" applyAlignment="1">
      <alignment vertical="center"/>
    </xf>
    <xf numFmtId="41" fontId="45" fillId="0" borderId="0" xfId="4" applyFont="1" applyBorder="1" applyAlignment="1">
      <alignment vertical="center" wrapText="1"/>
    </xf>
    <xf numFmtId="187" fontId="81" fillId="0" borderId="0" xfId="4" applyNumberFormat="1" applyFont="1" applyAlignment="1">
      <alignment vertical="center"/>
    </xf>
    <xf numFmtId="189" fontId="77" fillId="0" borderId="0" xfId="0" applyNumberFormat="1" applyFont="1" applyAlignment="1">
      <alignment vertical="center"/>
    </xf>
    <xf numFmtId="176" fontId="77" fillId="0" borderId="0" xfId="5" applyFont="1" applyAlignment="1">
      <alignment vertical="center"/>
    </xf>
    <xf numFmtId="176" fontId="82" fillId="0" borderId="0" xfId="5" applyFont="1" applyBorder="1" applyAlignment="1">
      <alignment vertical="center" wrapText="1"/>
    </xf>
    <xf numFmtId="176" fontId="87" fillId="0" borderId="0" xfId="5" applyFont="1" applyBorder="1" applyAlignment="1">
      <alignment vertical="center"/>
    </xf>
    <xf numFmtId="41" fontId="81" fillId="0" borderId="0" xfId="0" applyNumberFormat="1" applyFont="1" applyAlignment="1">
      <alignment vertical="center"/>
    </xf>
    <xf numFmtId="176" fontId="87" fillId="0" borderId="0" xfId="5" applyFont="1" applyAlignment="1">
      <alignment vertical="center"/>
    </xf>
    <xf numFmtId="187" fontId="82" fillId="0" borderId="0" xfId="0" applyNumberFormat="1" applyFont="1" applyAlignment="1">
      <alignment vertical="center"/>
    </xf>
    <xf numFmtId="176" fontId="82" fillId="0" borderId="0" xfId="5" applyFont="1" applyAlignment="1">
      <alignment vertical="center"/>
    </xf>
    <xf numFmtId="176" fontId="77" fillId="0" borderId="0" xfId="5" applyFont="1" applyAlignment="1">
      <alignment horizontal="left" vertical="center"/>
    </xf>
    <xf numFmtId="41" fontId="81" fillId="0" borderId="0" xfId="4" applyFont="1" applyAlignment="1">
      <alignment vertical="center"/>
    </xf>
    <xf numFmtId="187" fontId="83" fillId="0" borderId="0" xfId="0" applyNumberFormat="1" applyFont="1" applyAlignment="1">
      <alignment vertical="center"/>
    </xf>
    <xf numFmtId="176" fontId="88" fillId="0" borderId="0" xfId="0" applyNumberFormat="1" applyFont="1" applyAlignment="1">
      <alignment vertical="center"/>
    </xf>
    <xf numFmtId="176" fontId="87" fillId="0" borderId="0" xfId="0" applyNumberFormat="1" applyFont="1" applyAlignment="1">
      <alignment vertical="center"/>
    </xf>
    <xf numFmtId="187" fontId="86" fillId="0" borderId="0" xfId="0" applyNumberFormat="1" applyFont="1" applyAlignment="1">
      <alignment vertical="center"/>
    </xf>
    <xf numFmtId="41" fontId="77" fillId="6" borderId="0" xfId="0" applyNumberFormat="1" applyFont="1" applyFill="1" applyAlignment="1">
      <alignment vertical="center"/>
    </xf>
    <xf numFmtId="176" fontId="81" fillId="0" borderId="0" xfId="5" applyFont="1" applyAlignment="1">
      <alignment vertical="center"/>
    </xf>
    <xf numFmtId="187" fontId="81" fillId="0" borderId="0" xfId="0" applyNumberFormat="1" applyFont="1" applyAlignment="1">
      <alignment vertical="center"/>
    </xf>
    <xf numFmtId="187" fontId="8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176" fontId="77" fillId="0" borderId="0" xfId="5" applyFont="1" applyBorder="1" applyAlignment="1">
      <alignment vertical="center"/>
    </xf>
    <xf numFmtId="187" fontId="77" fillId="6" borderId="0" xfId="0" applyNumberFormat="1" applyFont="1" applyFill="1" applyAlignment="1">
      <alignment vertical="center"/>
    </xf>
    <xf numFmtId="180" fontId="77" fillId="0" borderId="39" xfId="1" applyNumberFormat="1" applyFont="1" applyBorder="1" applyAlignment="1" quotePrefix="1">
      <alignment horizontal="left" vertical="center"/>
    </xf>
    <xf numFmtId="0" fontId="65" fillId="6" borderId="6" xfId="64" applyFont="1" applyFill="1" applyBorder="1" applyAlignment="1" quotePrefix="1">
      <alignment horizontal="center" vertical="center"/>
    </xf>
    <xf numFmtId="0" fontId="65" fillId="6" borderId="1" xfId="64" applyFont="1" applyFill="1" applyBorder="1" applyAlignment="1" quotePrefix="1">
      <alignment horizontal="center" vertical="center"/>
    </xf>
    <xf numFmtId="58" fontId="12" fillId="0" borderId="1" xfId="0" applyNumberFormat="1" applyFont="1" applyFill="1" applyBorder="1" applyAlignment="1" quotePrefix="1">
      <alignment horizontal="center" vertical="center"/>
    </xf>
    <xf numFmtId="58" fontId="12" fillId="0" borderId="6" xfId="0" applyNumberFormat="1" applyFont="1" applyFill="1" applyBorder="1" applyAlignment="1" quotePrefix="1">
      <alignment horizontal="center" vertical="center"/>
    </xf>
    <xf numFmtId="58" fontId="12" fillId="0" borderId="4" xfId="0" applyNumberFormat="1" applyFont="1" applyFill="1" applyBorder="1" applyAlignment="1" quotePrefix="1">
      <alignment horizontal="center" vertical="center"/>
    </xf>
    <xf numFmtId="58" fontId="12" fillId="0" borderId="6" xfId="0" applyNumberFormat="1" applyFont="1" applyFill="1" applyBorder="1" applyAlignment="1" quotePrefix="1">
      <alignment vertical="center"/>
    </xf>
    <xf numFmtId="0" fontId="12" fillId="0" borderId="6" xfId="64" applyFont="1" applyFill="1" applyBorder="1" applyAlignment="1" quotePrefix="1">
      <alignment horizontal="center" vertical="center"/>
    </xf>
    <xf numFmtId="0" fontId="12" fillId="0" borderId="4" xfId="64" applyFont="1" applyFill="1" applyBorder="1" applyAlignment="1" quotePrefix="1">
      <alignment horizontal="center" vertical="center"/>
    </xf>
    <xf numFmtId="0" fontId="65" fillId="0" borderId="1" xfId="64" applyFont="1" applyFill="1" applyBorder="1" applyAlignment="1" quotePrefix="1">
      <alignment horizontal="center" vertical="center"/>
    </xf>
    <xf numFmtId="0" fontId="65" fillId="0" borderId="6" xfId="64" applyFont="1" applyFill="1" applyBorder="1" applyAlignment="1" quotePrefix="1">
      <alignment vertical="center"/>
    </xf>
    <xf numFmtId="0" fontId="65" fillId="0" borderId="6" xfId="64" applyFont="1" applyFill="1" applyBorder="1" applyAlignment="1" quotePrefix="1">
      <alignment horizontal="center" vertical="center"/>
    </xf>
    <xf numFmtId="0" fontId="12" fillId="0" borderId="4" xfId="64" applyFont="1" applyFill="1" applyBorder="1" applyAlignment="1" quotePrefix="1">
      <alignment vertical="center"/>
    </xf>
    <xf numFmtId="41" fontId="0" fillId="0" borderId="6" xfId="4" applyFont="1" applyFill="1" applyBorder="1" applyAlignment="1" quotePrefix="1">
      <alignment vertical="center"/>
    </xf>
    <xf numFmtId="180" fontId="4" fillId="0" borderId="6" xfId="1" applyNumberFormat="1" applyFont="1" applyBorder="1" applyAlignment="1" quotePrefix="1">
      <alignment horizontal="center" vertical="center"/>
    </xf>
    <xf numFmtId="180" fontId="4" fillId="6" borderId="6" xfId="1" applyNumberFormat="1" applyFont="1" applyFill="1" applyBorder="1" applyAlignment="1" quotePrefix="1">
      <alignment horizontal="center" vertical="center"/>
    </xf>
    <xf numFmtId="41" fontId="0" fillId="6" borderId="6" xfId="4" applyFont="1" applyFill="1" applyBorder="1" applyAlignment="1" quotePrefix="1">
      <alignment vertical="center"/>
    </xf>
    <xf numFmtId="41" fontId="4" fillId="6" borderId="6" xfId="4" applyFont="1" applyFill="1" applyBorder="1" applyAlignment="1" quotePrefix="1">
      <alignment vertical="center"/>
    </xf>
    <xf numFmtId="41" fontId="0" fillId="0" borderId="5" xfId="4" applyFont="1" applyFill="1" applyBorder="1" applyAlignment="1" quotePrefix="1">
      <alignment vertical="center"/>
    </xf>
    <xf numFmtId="180" fontId="4" fillId="0" borderId="5" xfId="1" applyNumberFormat="1" applyFont="1" applyBorder="1" applyAlignment="1" quotePrefix="1">
      <alignment horizontal="center" vertical="center"/>
    </xf>
    <xf numFmtId="58" fontId="0" fillId="0" borderId="5" xfId="4" applyNumberFormat="1" applyFont="1" applyFill="1" applyBorder="1" applyAlignment="1" quotePrefix="1">
      <alignment vertical="center"/>
    </xf>
    <xf numFmtId="58" fontId="0" fillId="0" borderId="6" xfId="4" applyNumberFormat="1" applyFont="1" applyFill="1" applyBorder="1" applyAlignment="1" quotePrefix="1">
      <alignment vertical="center"/>
    </xf>
    <xf numFmtId="180" fontId="4" fillId="0" borderId="6" xfId="1" applyNumberFormat="1" applyFont="1" applyFill="1" applyBorder="1" applyAlignment="1" quotePrefix="1">
      <alignment horizontal="center" vertical="center"/>
    </xf>
    <xf numFmtId="58" fontId="4" fillId="0" borderId="5" xfId="4" applyNumberFormat="1" applyFont="1" applyFill="1" applyBorder="1" applyAlignment="1" quotePrefix="1">
      <alignment vertical="center"/>
    </xf>
    <xf numFmtId="58" fontId="4" fillId="0" borderId="6" xfId="4" applyNumberFormat="1" applyFont="1" applyFill="1" applyBorder="1" applyAlignment="1" quotePrefix="1">
      <alignment vertical="center"/>
    </xf>
    <xf numFmtId="0" fontId="67" fillId="13" borderId="6" xfId="0" applyFont="1" applyFill="1" applyBorder="1" applyAlignment="1" quotePrefix="1">
      <alignment horizontal="center" vertical="center"/>
    </xf>
    <xf numFmtId="58" fontId="12" fillId="0" borderId="6" xfId="0" applyNumberFormat="1" applyFont="1" applyFill="1" applyBorder="1" quotePrefix="1"/>
    <xf numFmtId="0" fontId="12" fillId="13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quotePrefix="1"/>
    <xf numFmtId="0" fontId="12" fillId="0" borderId="6" xfId="67" applyFont="1" applyFill="1" applyBorder="1" applyAlignment="1" quotePrefix="1">
      <alignment horizontal="left" vertical="center"/>
    </xf>
    <xf numFmtId="0" fontId="12" fillId="13" borderId="6" xfId="67" applyFont="1" applyFill="1" applyBorder="1" applyAlignment="1" quotePrefix="1">
      <alignment horizontal="left" vertical="center"/>
    </xf>
    <xf numFmtId="41" fontId="12" fillId="13" borderId="6" xfId="67" applyNumberFormat="1" applyFont="1" applyFill="1" applyBorder="1" applyAlignment="1" quotePrefix="1">
      <alignment horizontal="left" vertical="center"/>
    </xf>
    <xf numFmtId="0" fontId="12" fillId="13" borderId="6" xfId="67" applyFont="1" applyFill="1" applyBorder="1" applyAlignment="1" quotePrefix="1">
      <alignment horizontal="center" vertical="center"/>
    </xf>
    <xf numFmtId="0" fontId="12" fillId="6" borderId="6" xfId="67" applyFont="1" applyFill="1" applyBorder="1" applyAlignment="1" quotePrefix="1">
      <alignment horizontal="center" vertical="center"/>
    </xf>
    <xf numFmtId="58" fontId="39" fillId="0" borderId="6" xfId="65" applyNumberFormat="1" applyFont="1" applyBorder="1" applyAlignment="1" quotePrefix="1">
      <alignment horizontal="center" vertical="center"/>
    </xf>
    <xf numFmtId="186" fontId="34" fillId="0" borderId="6" xfId="65" applyNumberFormat="1" applyFont="1" applyBorder="1" applyAlignment="1" quotePrefix="1">
      <alignment horizontal="center"/>
    </xf>
    <xf numFmtId="186" fontId="34" fillId="13" borderId="6" xfId="65" applyNumberFormat="1" applyFont="1" applyFill="1" applyBorder="1" applyAlignment="1" quotePrefix="1">
      <alignment horizontal="center"/>
    </xf>
    <xf numFmtId="0" fontId="39" fillId="0" borderId="6" xfId="65" applyFont="1" applyBorder="1" applyAlignment="1" quotePrefix="1">
      <alignment vertical="center"/>
    </xf>
    <xf numFmtId="0" fontId="39" fillId="0" borderId="6" xfId="65" applyFont="1" applyBorder="1" applyAlignment="1" quotePrefix="1">
      <alignment horizontal="left" vertical="center"/>
    </xf>
    <xf numFmtId="186" fontId="35" fillId="0" borderId="6" xfId="65" applyNumberFormat="1" applyFont="1" applyBorder="1" applyAlignment="1" quotePrefix="1">
      <alignment horizontal="center"/>
    </xf>
    <xf numFmtId="0" fontId="4" fillId="0" borderId="6" xfId="0" applyFont="1" applyFill="1" applyBorder="1" applyAlignment="1" quotePrefix="1">
      <alignment vertical="center"/>
    </xf>
    <xf numFmtId="58" fontId="4" fillId="0" borderId="6" xfId="0" applyNumberFormat="1" applyFont="1" applyFill="1" applyBorder="1" applyAlignment="1" quotePrefix="1">
      <alignment vertical="center"/>
    </xf>
    <xf numFmtId="58" fontId="0" fillId="0" borderId="1" xfId="0" applyNumberFormat="1" applyBorder="1" applyAlignment="1" quotePrefix="1">
      <alignment horizontal="center" vertical="center"/>
    </xf>
  </cellXfs>
  <cellStyles count="7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[0] 2" xfId="49"/>
    <cellStyle name="Comma [0] 3" xfId="50"/>
    <cellStyle name="Comma [0] 4" xfId="51"/>
    <cellStyle name="Comma [0] 5" xfId="52"/>
    <cellStyle name="Comma [0] 6" xfId="53"/>
    <cellStyle name="Comma 2" xfId="54"/>
    <cellStyle name="Comma 2 2" xfId="55"/>
    <cellStyle name="Comma 3" xfId="56"/>
    <cellStyle name="Comma 4" xfId="57"/>
    <cellStyle name="Comma 4 2" xfId="58"/>
    <cellStyle name="Comma 5" xfId="59"/>
    <cellStyle name="Comma 6" xfId="60"/>
    <cellStyle name="Comma 7" xfId="61"/>
    <cellStyle name="Currency [0] 2" xfId="62"/>
    <cellStyle name="Normal 2" xfId="63"/>
    <cellStyle name="Normal 3" xfId="64"/>
    <cellStyle name="Normal 4" xfId="65"/>
    <cellStyle name="Normal 5" xfId="66"/>
    <cellStyle name="Normal 6" xfId="67"/>
    <cellStyle name="Normal 6 2" xfId="68"/>
    <cellStyle name="Normal 7" xfId="69"/>
    <cellStyle name="Percent 2" xfId="70"/>
    <cellStyle name="Percent 3" xfId="71"/>
  </cellStyles>
  <tableStyles count="0" defaultTableStyle="TableStyleMedium2" defaultPivotStyle="PivotStyleLight16"/>
  <colors>
    <mruColors>
      <color rgb="0033CC33"/>
      <color rgb="00FF00FF"/>
      <color rgb="00FF6600"/>
      <color rgb="00000099"/>
      <color rgb="000033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0" Type="http://schemas.openxmlformats.org/officeDocument/2006/relationships/styles" Target="styles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theme" Target="theme/theme1.xml"/><Relationship Id="rId77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49.xml"/><Relationship Id="rId71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47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39.xml"/><Relationship Id="rId61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37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29.xml"/><Relationship Id="rId51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>
      <xdr:nvSpPr>
        <xdr:cNvPr id="2" name="TextBox 1"/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  <a:endParaRPr lang="en-ID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ekniks%20SIDRAP\ANALISA%20BARU\Bina%20Marga\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TazMania\Smoke%20Project\Penawaran%202005\cv%20buyung\paket%207\kaluku\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ISHAM-FIKA\polewali\13%20MILYAR\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ee%202014\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K%20RAB\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DAM-PANGKEP%20(TOMBOLO)\D-STIMULUS(PEM.SARANA%20AIR%20BAKU%20TOMBOLO)\PERENCANAAN%20PPI%20PANGKEP\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EMBOBOTAN%20DERMAGA\limbangan\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My%20Document%20Windat\BONE\PASAR%20BONE%2008\GUDANG%20BONE%202009\JUNI\Juli\RAB%20GUDANG%20BONE%20FILE\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%20Windat\MAKASSAR\BKPMD\RAB%20BKPMD\Kakanta%20Project\File%20Penawaran\2010\Tender%20UNM\TENDER%20PASCASARJANA\PT.%20KAKANTA\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ender\TIM-EST\budi\TenderJalan\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DESAIN\Pujananting\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02-Sadli\Data%202006\RSUD\PEMELIHARAAN%20RSU\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ocuments%20and%20Settings\mjc\My%20Documents\PASAR%20SIDRAP\Dokumen%20Lelang%20Pasar%20Pangkajene\1-RAB%20REVISI-PANG\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ocuments%20and%20Settings\Start%20Menu\INSTANT-ACCESS\My%20Documents\RSU%20Enrekang%202005\maros\pbb\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0\Data%20Untuk%20Dinas\RAB%20SARANA%20DAN%20PRASARANA%20APARATUR\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3\PERHUB.%202013\perhub%202013\rambu%202013\anggaran%20perubahan\penawarana%20perubahan\HALTE%20NISAR\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KUMPULAN%20ANALISA%20HARGA\MY%20PROJECT\PT.%20NARAYANA%20ADICIPTA\FAJAR%20MAKMUR\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cAmpUr2\Pekerjaan%20Penyelesaian%20B1\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ata%202012\perikanan%202012\PENAWARAN%20H.MIMING\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12.Kas%20Umum%20Asl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PENGELUARAN%20BUMDES%20202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10%20Oktober\PEMBUKUAN%20MESIN%20BOR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DESEMBER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FEBRUARI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daftar%20aset%20tetap%20tahun%20202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01%20JANUARI\01%20JAN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PDAM-PANGKEP%20(TOMBOLO)\D-STIMULUS(PEM.SARANA%20AIR%20BAKU%20TOMBOLO)\PERENCANAAN%20PPI%20PANGKEP\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12%20DESEMBER\12%20DESEMBER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12%20DESEMBER\daftar%20aset%20tetap%20tahun%202025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%20-%20Copy%20(2)\Pengadaan%20barang%20dan%20jasa\Besi%20nelayan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IM-EST\budi\TenderJalan\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PANTAI%20APATANAH\My%20Documents\reog\teka\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PENAWARAN-2010\JN_2010\RAB%20LUTIM-2010\JEMBT.LAUMPANG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</row>
        <row r="10">
          <cell r="D10" t="str">
            <v>Batupute</v>
          </cell>
        </row>
        <row r="11">
          <cell r="A11" t="str">
            <v>Kabupaten</v>
          </cell>
        </row>
        <row r="11">
          <cell r="D11" t="str">
            <v>BARRU</v>
          </cell>
        </row>
        <row r="12">
          <cell r="A12" t="str">
            <v>Provinsi</v>
          </cell>
        </row>
        <row r="12"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titik 5"/>
      <sheetName val="titik 8"/>
      <sheetName val="PENG. GALUNG JAMPU TAHAP KE 2"/>
      <sheetName val="Mantanaice bor air"/>
      <sheetName val="titik 3"/>
      <sheetName val="titik 4"/>
      <sheetName val="titik 6"/>
      <sheetName val="titik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  <sheetName val="RUGI LABA "/>
      <sheetName val="KASHAR"/>
      <sheetName val="REK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/>
      <sheetData sheetId="2"/>
      <sheetData sheetId="3">
        <row r="250">
          <cell r="W250">
            <v>99706967.166667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</sheetNames>
    <sheetDataSet>
      <sheetData sheetId="0">
        <row r="173">
          <cell r="K173">
            <v>33442162.3333333</v>
          </cell>
        </row>
        <row r="174">
          <cell r="K174">
            <v>271100837.666667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Mantanaice bor air"/>
      <sheetName val=" LOMPO E"/>
      <sheetName val="PENGELUARAN DI LOMPO E"/>
      <sheetName val="PENGELUARAN GALUNG JAMPU"/>
      <sheetName val="Pengeluaran LPJ"/>
      <sheetName val="Sheet1 (6)"/>
      <sheetName val="SALURAN AIR UJU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G18">
            <v>9505000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>
        <row r="47">
          <cell r="J47">
            <v>1260000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</sheetNames>
    <sheetDataSet>
      <sheetData sheetId="0">
        <row r="172">
          <cell r="K172">
            <v>4745029.16666667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view="pageBreakPreview" zoomScale="110" zoomScalePageLayoutView="80" zoomScaleNormal="90" topLeftCell="A40" workbookViewId="0">
      <selection activeCell="H14" sqref="H14"/>
    </sheetView>
  </sheetViews>
  <sheetFormatPr defaultColWidth="9" defaultRowHeight="14.5"/>
  <cols>
    <col min="1" max="1" width="5.86363636363636" style="669" customWidth="1"/>
    <col min="2" max="2" width="27.7090909090909" customWidth="1"/>
    <col min="3" max="3" width="2.57272727272727" hidden="1" customWidth="1"/>
    <col min="4" max="4" width="12.2818181818182" style="62" customWidth="1"/>
    <col min="5" max="5" width="14.7090909090909" style="939" customWidth="1"/>
    <col min="6" max="6" width="6" style="881" customWidth="1"/>
    <col min="7" max="7" width="24.2818181818182" style="62" customWidth="1"/>
    <col min="8" max="8" width="17.9545454545455" style="62" customWidth="1"/>
    <col min="9" max="9" width="18.8545454545455" customWidth="1"/>
    <col min="10" max="10" width="18" customWidth="1"/>
    <col min="11" max="11" width="19.5727272727273" customWidth="1"/>
    <col min="12" max="12" width="17" customWidth="1"/>
    <col min="13" max="13" width="17.5727272727273" customWidth="1"/>
    <col min="14" max="14" width="15" customWidth="1"/>
    <col min="15" max="15" width="13.8545454545455" customWidth="1"/>
    <col min="16" max="16" width="15.4272727272727" customWidth="1"/>
    <col min="17" max="17" width="16.8545454545455" customWidth="1"/>
    <col min="18" max="18" width="11" customWidth="1"/>
  </cols>
  <sheetData>
    <row r="1" s="58" customFormat="1" ht="13.5" customHeight="1" spans="1:10">
      <c r="A1" s="57" t="s">
        <v>0</v>
      </c>
      <c r="B1" s="57"/>
      <c r="C1" s="57"/>
      <c r="D1" s="57"/>
      <c r="E1" s="57"/>
      <c r="F1" s="57"/>
      <c r="G1" s="57"/>
      <c r="H1" s="57"/>
      <c r="I1" s="750"/>
      <c r="J1" s="848"/>
    </row>
    <row r="2" s="58" customFormat="1" ht="12.75" customHeight="1" spans="1:10">
      <c r="A2" s="57" t="s">
        <v>1</v>
      </c>
      <c r="B2" s="57"/>
      <c r="C2" s="57"/>
      <c r="D2" s="57"/>
      <c r="E2" s="57"/>
      <c r="F2" s="57"/>
      <c r="G2" s="57"/>
      <c r="H2" s="57"/>
      <c r="I2" s="750"/>
      <c r="J2" s="848"/>
    </row>
    <row r="3" s="58" customFormat="1" ht="12.75" customHeight="1" spans="1:10">
      <c r="A3" s="57" t="s">
        <v>2</v>
      </c>
      <c r="B3" s="57"/>
      <c r="C3" s="57"/>
      <c r="D3" s="57"/>
      <c r="E3" s="57"/>
      <c r="F3" s="57"/>
      <c r="G3" s="57"/>
      <c r="H3" s="57"/>
      <c r="J3" s="848"/>
    </row>
    <row r="4" s="58" customFormat="1" spans="1:10">
      <c r="A4" s="940"/>
      <c r="B4" s="633"/>
      <c r="D4" s="848"/>
      <c r="E4" s="941"/>
      <c r="F4" s="942"/>
      <c r="G4" s="848"/>
      <c r="H4" s="848"/>
      <c r="I4" s="1026"/>
      <c r="J4" s="848"/>
    </row>
    <row r="5" s="58" customFormat="1" spans="1:10">
      <c r="A5" s="940"/>
      <c r="B5" s="633"/>
      <c r="D5" s="848"/>
      <c r="E5" s="941"/>
      <c r="F5" s="942"/>
      <c r="G5" s="848"/>
      <c r="H5" s="848"/>
      <c r="I5" s="1026"/>
      <c r="J5" s="1027"/>
    </row>
    <row r="6" s="58" customFormat="1" spans="1:10">
      <c r="A6" s="940"/>
      <c r="B6" s="633"/>
      <c r="D6" s="848"/>
      <c r="E6" s="941"/>
      <c r="F6" s="942"/>
      <c r="G6" s="848"/>
      <c r="H6" s="848"/>
      <c r="I6" s="1026"/>
      <c r="J6" s="848"/>
    </row>
    <row r="7" s="58" customFormat="1" ht="15.25" spans="1:10">
      <c r="A7" s="940"/>
      <c r="B7" s="633"/>
      <c r="D7" s="848"/>
      <c r="E7" s="941"/>
      <c r="F7" s="942"/>
      <c r="G7" s="848"/>
      <c r="H7" s="848"/>
      <c r="I7" s="1026"/>
      <c r="J7" s="848"/>
    </row>
    <row r="8" s="938" customFormat="1" ht="18" customHeight="1" spans="1:16">
      <c r="A8" s="943" t="s">
        <v>3</v>
      </c>
      <c r="B8" s="944"/>
      <c r="C8" s="944"/>
      <c r="D8" s="944"/>
      <c r="E8" s="945"/>
      <c r="F8" s="946" t="s">
        <v>4</v>
      </c>
      <c r="G8" s="947"/>
      <c r="H8" s="948"/>
      <c r="I8" s="1028"/>
      <c r="J8" s="1029"/>
      <c r="K8" s="1030"/>
      <c r="L8" s="1031"/>
      <c r="M8" s="1032"/>
      <c r="N8" s="1032"/>
      <c r="O8" s="1032"/>
      <c r="P8" s="852"/>
    </row>
    <row r="9" s="938" customFormat="1" ht="18" customHeight="1" spans="1:16">
      <c r="A9" s="949" t="s">
        <v>5</v>
      </c>
      <c r="B9" s="950" t="s">
        <v>6</v>
      </c>
      <c r="C9" s="951"/>
      <c r="D9" s="952"/>
      <c r="E9" s="953"/>
      <c r="F9" s="954" t="s">
        <v>7</v>
      </c>
      <c r="G9" s="955" t="s">
        <v>8</v>
      </c>
      <c r="H9" s="956"/>
      <c r="I9" s="1033"/>
      <c r="J9" s="1034"/>
      <c r="K9" s="1030"/>
      <c r="L9" s="1031"/>
      <c r="M9" s="1035"/>
      <c r="N9" s="1036"/>
      <c r="O9" s="1032"/>
      <c r="P9" s="1037"/>
    </row>
    <row r="10" s="938" customFormat="1" ht="18" customHeight="1" spans="1:16">
      <c r="A10" s="957" t="s">
        <v>9</v>
      </c>
      <c r="B10" s="958" t="s">
        <v>10</v>
      </c>
      <c r="C10" s="959"/>
      <c r="D10" s="960"/>
      <c r="E10" s="961"/>
      <c r="F10" s="962" t="s">
        <v>11</v>
      </c>
      <c r="G10" s="963" t="s">
        <v>12</v>
      </c>
      <c r="H10" s="964">
        <f>SUM(REKAP!F8)</f>
        <v>328235.124999998</v>
      </c>
      <c r="I10" s="1033"/>
      <c r="J10" s="1034"/>
      <c r="K10" s="1030"/>
      <c r="L10" s="1031"/>
      <c r="M10" s="1035"/>
      <c r="N10" s="1036"/>
      <c r="O10" s="1032"/>
      <c r="P10" s="1037"/>
    </row>
    <row r="11" s="938" customFormat="1" ht="18" customHeight="1" spans="1:17">
      <c r="A11" s="965" t="s">
        <v>13</v>
      </c>
      <c r="B11" s="966" t="s">
        <v>14</v>
      </c>
      <c r="C11" s="967"/>
      <c r="D11" s="968"/>
      <c r="E11" s="969"/>
      <c r="F11" s="962" t="s">
        <v>15</v>
      </c>
      <c r="G11" s="963" t="s">
        <v>16</v>
      </c>
      <c r="H11" s="964">
        <f>SUM(REKAP!G8)</f>
        <v>87529.3666666661</v>
      </c>
      <c r="I11" s="852"/>
      <c r="J11" s="1038"/>
      <c r="K11" s="1039"/>
      <c r="L11" s="1031"/>
      <c r="M11" s="1032"/>
      <c r="N11" s="1031"/>
      <c r="P11" s="852"/>
      <c r="Q11" s="852"/>
    </row>
    <row r="12" s="938" customFormat="1" ht="18" customHeight="1" spans="1:17">
      <c r="A12" s="965" t="s">
        <v>17</v>
      </c>
      <c r="B12" s="966" t="s">
        <v>18</v>
      </c>
      <c r="C12" s="970"/>
      <c r="D12" s="968"/>
      <c r="E12" s="971">
        <f>SUM(KASHAR!W254)</f>
        <v>84434087.166667</v>
      </c>
      <c r="F12" s="962" t="s">
        <v>19</v>
      </c>
      <c r="G12" s="972" t="s">
        <v>20</v>
      </c>
      <c r="H12" s="973">
        <f>SUM(REKAP!H8)</f>
        <v>21882.3416666665</v>
      </c>
      <c r="I12" s="852"/>
      <c r="J12" s="1038"/>
      <c r="K12" s="1039"/>
      <c r="L12" s="1031"/>
      <c r="M12" s="1032"/>
      <c r="N12" s="1031"/>
      <c r="P12" s="852"/>
      <c r="Q12" s="852"/>
    </row>
    <row r="13" s="938" customFormat="1" ht="18" customHeight="1" spans="1:17">
      <c r="A13" s="965"/>
      <c r="B13" s="966"/>
      <c r="C13" s="970"/>
      <c r="D13" s="968"/>
      <c r="E13" s="971"/>
      <c r="F13" s="1066" t="s">
        <v>21</v>
      </c>
      <c r="G13" s="972" t="s">
        <v>22</v>
      </c>
      <c r="H13" s="974"/>
      <c r="I13" s="852"/>
      <c r="J13" s="1038"/>
      <c r="K13" s="1039"/>
      <c r="L13" s="1031"/>
      <c r="M13" s="1032"/>
      <c r="N13" s="1031"/>
      <c r="P13" s="852"/>
      <c r="Q13" s="852"/>
    </row>
    <row r="14" s="938" customFormat="1" ht="18" customHeight="1" spans="1:17">
      <c r="A14" s="965"/>
      <c r="B14" s="966" t="s">
        <v>23</v>
      </c>
      <c r="C14" s="975"/>
      <c r="D14" s="968"/>
      <c r="E14" s="969">
        <f>SUM(E11:E12)</f>
        <v>84434087.166667</v>
      </c>
      <c r="F14" s="962"/>
      <c r="G14" s="972" t="s">
        <v>24</v>
      </c>
      <c r="H14" s="976">
        <f>SUM(H10:H12)</f>
        <v>437646.83333333</v>
      </c>
      <c r="I14" s="852"/>
      <c r="J14" s="1038"/>
      <c r="K14" s="1039"/>
      <c r="L14" s="1031"/>
      <c r="M14" s="1032"/>
      <c r="N14" s="1031"/>
      <c r="P14" s="852"/>
      <c r="Q14" s="852"/>
    </row>
    <row r="15" s="938" customFormat="1" ht="18" customHeight="1" spans="1:17">
      <c r="A15" s="965"/>
      <c r="B15" s="966"/>
      <c r="C15" s="975"/>
      <c r="D15" s="968"/>
      <c r="E15" s="969"/>
      <c r="F15" s="977" t="s">
        <v>25</v>
      </c>
      <c r="G15" s="978" t="s">
        <v>26</v>
      </c>
      <c r="H15" s="973"/>
      <c r="I15" s="852"/>
      <c r="J15" s="1038"/>
      <c r="K15" s="1039"/>
      <c r="L15" s="1031"/>
      <c r="M15" s="1032"/>
      <c r="N15" s="1031"/>
      <c r="P15" s="852"/>
      <c r="Q15" s="852"/>
    </row>
    <row r="16" s="938" customFormat="1" ht="18" customHeight="1" spans="1:17">
      <c r="A16" s="979" t="s">
        <v>27</v>
      </c>
      <c r="B16" s="980" t="s">
        <v>28</v>
      </c>
      <c r="C16" s="981"/>
      <c r="D16" s="968"/>
      <c r="E16" s="969"/>
      <c r="F16" s="977" t="s">
        <v>29</v>
      </c>
      <c r="G16" s="978" t="s">
        <v>30</v>
      </c>
      <c r="H16" s="973"/>
      <c r="I16" s="852"/>
      <c r="J16" s="1040"/>
      <c r="K16" s="852"/>
      <c r="L16" s="1031"/>
      <c r="M16" s="1032"/>
      <c r="N16" s="1031"/>
      <c r="P16" s="852"/>
      <c r="Q16" s="1064"/>
    </row>
    <row r="17" s="938" customFormat="1" ht="18" customHeight="1" spans="1:17">
      <c r="A17" s="965" t="s">
        <v>31</v>
      </c>
      <c r="B17" s="966" t="s">
        <v>32</v>
      </c>
      <c r="C17" s="982"/>
      <c r="D17" s="968"/>
      <c r="E17" s="983">
        <v>498512</v>
      </c>
      <c r="F17" s="984" t="s">
        <v>33</v>
      </c>
      <c r="G17" s="974" t="s">
        <v>34</v>
      </c>
      <c r="H17" s="973">
        <v>1186803</v>
      </c>
      <c r="I17" s="1041"/>
      <c r="J17" s="1042"/>
      <c r="K17" s="852"/>
      <c r="L17" s="1031"/>
      <c r="M17" s="1032"/>
      <c r="N17" s="1031"/>
      <c r="P17" s="1043"/>
      <c r="Q17" s="1065"/>
    </row>
    <row r="18" s="938" customFormat="1" ht="18" customHeight="1" spans="1:17">
      <c r="A18" s="965" t="s">
        <v>35</v>
      </c>
      <c r="B18" s="966" t="s">
        <v>36</v>
      </c>
      <c r="C18" s="975"/>
      <c r="D18" s="968"/>
      <c r="E18" s="971">
        <v>549503</v>
      </c>
      <c r="F18" s="984" t="s">
        <v>37</v>
      </c>
      <c r="G18" s="974" t="s">
        <v>38</v>
      </c>
      <c r="H18" s="973">
        <v>4659495</v>
      </c>
      <c r="I18" s="1041"/>
      <c r="J18" s="1042">
        <f>[46]REKAP!$F$75</f>
        <v>0</v>
      </c>
      <c r="K18" s="852"/>
      <c r="L18" s="1031"/>
      <c r="M18" s="1032"/>
      <c r="N18" s="1031"/>
      <c r="P18" s="1043"/>
      <c r="Q18" s="1065"/>
    </row>
    <row r="19" s="938" customFormat="1" ht="18" customHeight="1" spans="1:17">
      <c r="A19" s="965"/>
      <c r="B19" s="966" t="s">
        <v>39</v>
      </c>
      <c r="C19" s="975"/>
      <c r="D19" s="968"/>
      <c r="E19" s="969">
        <f>SUM(E17:E18)</f>
        <v>1048015</v>
      </c>
      <c r="F19" s="984" t="s">
        <v>40</v>
      </c>
      <c r="G19" s="974" t="s">
        <v>41</v>
      </c>
      <c r="H19" s="973">
        <v>12940985</v>
      </c>
      <c r="I19" s="1044"/>
      <c r="J19" s="1040">
        <f>E17-J18</f>
        <v>498512</v>
      </c>
      <c r="K19" s="1031"/>
      <c r="L19" s="1031"/>
      <c r="M19" s="1032"/>
      <c r="N19" s="1031"/>
      <c r="P19" s="1044"/>
      <c r="Q19" s="1065"/>
    </row>
    <row r="20" s="938" customFormat="1" ht="18" customHeight="1" spans="1:17">
      <c r="A20" s="965"/>
      <c r="B20" s="966"/>
      <c r="C20" s="975"/>
      <c r="D20" s="968"/>
      <c r="E20" s="969"/>
      <c r="F20" s="984" t="s">
        <v>42</v>
      </c>
      <c r="G20" s="974" t="s">
        <v>43</v>
      </c>
      <c r="H20" s="973">
        <v>29810954</v>
      </c>
      <c r="I20" s="1045"/>
      <c r="J20" s="1046"/>
      <c r="K20" s="852"/>
      <c r="L20" s="1031"/>
      <c r="M20" s="852"/>
      <c r="P20" s="1045"/>
      <c r="Q20" s="1064"/>
    </row>
    <row r="21" s="938" customFormat="1" ht="18" customHeight="1" spans="1:17">
      <c r="A21" s="979" t="s">
        <v>44</v>
      </c>
      <c r="B21" s="980" t="s">
        <v>45</v>
      </c>
      <c r="C21" s="985"/>
      <c r="D21" s="986">
        <f>SUM('[49]INVEN (2)'!$G$87)</f>
        <v>304393000</v>
      </c>
      <c r="E21" s="969"/>
      <c r="F21" s="984" t="s">
        <v>46</v>
      </c>
      <c r="G21" s="974" t="s">
        <v>47</v>
      </c>
      <c r="H21" s="973">
        <v>31861941</v>
      </c>
      <c r="I21" s="1045"/>
      <c r="J21" s="1046"/>
      <c r="K21" s="852"/>
      <c r="L21" s="1031"/>
      <c r="M21" s="852"/>
      <c r="P21" s="1045"/>
      <c r="Q21" s="1064"/>
    </row>
    <row r="22" s="938" customFormat="1" ht="18" customHeight="1" spans="1:17">
      <c r="A22" s="965" t="s">
        <v>48</v>
      </c>
      <c r="B22" s="966" t="s">
        <v>49</v>
      </c>
      <c r="C22" s="967"/>
      <c r="D22" s="968">
        <f>SUM('[51]INVEN (2)'!$K$173)</f>
        <v>33442162.3333333</v>
      </c>
      <c r="E22" s="971"/>
      <c r="F22" s="984" t="s">
        <v>50</v>
      </c>
      <c r="G22" s="974" t="s">
        <v>51</v>
      </c>
      <c r="H22" s="973">
        <v>31326534</v>
      </c>
      <c r="I22" s="1045"/>
      <c r="J22" s="1046"/>
      <c r="K22" s="852"/>
      <c r="L22" s="1031"/>
      <c r="M22" s="852"/>
      <c r="P22" s="1045"/>
      <c r="Q22" s="1064"/>
    </row>
    <row r="23" s="938" customFormat="1" ht="18" customHeight="1" spans="1:17">
      <c r="A23" s="965" t="s">
        <v>52</v>
      </c>
      <c r="B23" s="966" t="s">
        <v>53</v>
      </c>
      <c r="C23" s="967"/>
      <c r="D23" s="968"/>
      <c r="E23" s="969">
        <f>SUM('[51]INVEN (2)'!$K$174)</f>
        <v>271100837.666667</v>
      </c>
      <c r="F23" s="984" t="s">
        <v>54</v>
      </c>
      <c r="G23" s="974" t="s">
        <v>55</v>
      </c>
      <c r="H23" s="973">
        <v>40014708</v>
      </c>
      <c r="I23" s="1044"/>
      <c r="J23" s="1047"/>
      <c r="K23" s="852"/>
      <c r="L23" s="1048"/>
      <c r="M23" s="1048"/>
      <c r="N23" s="1031"/>
      <c r="P23" s="1044"/>
      <c r="Q23" s="1064"/>
    </row>
    <row r="24" s="938" customFormat="1" ht="18" customHeight="1" spans="1:17">
      <c r="A24" s="965"/>
      <c r="B24" s="966"/>
      <c r="C24" s="967"/>
      <c r="D24" s="968"/>
      <c r="E24" s="969"/>
      <c r="F24" s="984" t="s">
        <v>56</v>
      </c>
      <c r="G24" s="974" t="s">
        <v>57</v>
      </c>
      <c r="H24" s="973">
        <v>26027431</v>
      </c>
      <c r="I24" s="1044"/>
      <c r="J24" s="1049"/>
      <c r="K24" s="852"/>
      <c r="L24" s="1048"/>
      <c r="M24" s="1048"/>
      <c r="N24" s="1031"/>
      <c r="P24" s="1044"/>
      <c r="Q24" s="1045"/>
    </row>
    <row r="25" s="938" customFormat="1" ht="18" customHeight="1" spans="1:17">
      <c r="A25" s="965"/>
      <c r="B25" s="966"/>
      <c r="C25" s="967"/>
      <c r="D25" s="968"/>
      <c r="E25" s="969"/>
      <c r="F25" s="984" t="s">
        <v>58</v>
      </c>
      <c r="G25" s="974" t="s">
        <v>59</v>
      </c>
      <c r="H25" s="973">
        <v>29437299</v>
      </c>
      <c r="I25" s="1044"/>
      <c r="J25" s="1049"/>
      <c r="K25" s="852"/>
      <c r="L25" s="1048"/>
      <c r="M25" s="1048"/>
      <c r="N25" s="1031"/>
      <c r="P25" s="1044"/>
      <c r="Q25" s="1045"/>
    </row>
    <row r="26" s="938" customFormat="1" ht="18" customHeight="1" spans="1:17">
      <c r="A26" s="965"/>
      <c r="B26" s="966"/>
      <c r="C26" s="967"/>
      <c r="D26" s="968"/>
      <c r="E26" s="969"/>
      <c r="F26" s="984"/>
      <c r="G26" s="974" t="s">
        <v>24</v>
      </c>
      <c r="H26" s="987">
        <f>SUM(H17:H25)</f>
        <v>207266150</v>
      </c>
      <c r="I26" s="1035"/>
      <c r="J26" s="1050"/>
      <c r="K26" s="1045"/>
      <c r="L26" s="1032"/>
      <c r="M26" s="1032"/>
      <c r="Q26" s="852"/>
    </row>
    <row r="27" s="938" customFormat="1" ht="18" customHeight="1" spans="1:17">
      <c r="A27" s="979" t="s">
        <v>60</v>
      </c>
      <c r="B27" s="980" t="s">
        <v>61</v>
      </c>
      <c r="C27" s="988"/>
      <c r="D27" s="968"/>
      <c r="E27" s="971"/>
      <c r="F27" s="977" t="s">
        <v>62</v>
      </c>
      <c r="G27" s="978" t="s">
        <v>63</v>
      </c>
      <c r="H27" s="973"/>
      <c r="I27" s="852"/>
      <c r="J27" s="1051"/>
      <c r="K27" s="1035"/>
      <c r="L27" s="1035"/>
      <c r="M27" s="1032"/>
      <c r="N27" s="1031"/>
      <c r="P27" s="852"/>
      <c r="Q27" s="1045"/>
    </row>
    <row r="28" s="938" customFormat="1" ht="18" customHeight="1" spans="1:17">
      <c r="A28" s="965" t="s">
        <v>64</v>
      </c>
      <c r="B28" s="966" t="s">
        <v>65</v>
      </c>
      <c r="C28" s="967"/>
      <c r="D28" s="968"/>
      <c r="E28" s="971">
        <f>SUM(MODUS!J160)</f>
        <v>595443945</v>
      </c>
      <c r="F28" s="984" t="s">
        <v>66</v>
      </c>
      <c r="G28" s="974" t="s">
        <v>67</v>
      </c>
      <c r="H28" s="973">
        <v>30000000</v>
      </c>
      <c r="I28" s="1052"/>
      <c r="J28" s="1050"/>
      <c r="K28" s="1041"/>
      <c r="L28" s="1035"/>
      <c r="M28" s="1031"/>
      <c r="N28" s="1032"/>
      <c r="P28" s="1053"/>
      <c r="Q28" s="1057"/>
    </row>
    <row r="29" s="938" customFormat="1" ht="18" customHeight="1" spans="1:17">
      <c r="A29" s="965" t="s">
        <v>68</v>
      </c>
      <c r="B29" s="966" t="s">
        <v>69</v>
      </c>
      <c r="C29" s="967"/>
      <c r="D29" s="968"/>
      <c r="E29" s="989">
        <v>61950250</v>
      </c>
      <c r="F29" s="984" t="s">
        <v>70</v>
      </c>
      <c r="G29" s="972" t="s">
        <v>71</v>
      </c>
      <c r="H29" s="973">
        <v>98340000</v>
      </c>
      <c r="I29" s="852"/>
      <c r="J29" s="1054">
        <v>20190000</v>
      </c>
      <c r="K29" s="1055"/>
      <c r="L29" s="1056"/>
      <c r="M29" s="1031"/>
      <c r="N29" s="1032"/>
      <c r="P29" s="1053"/>
      <c r="Q29" s="1057"/>
    </row>
    <row r="30" s="938" customFormat="1" ht="18" customHeight="1" spans="1:17">
      <c r="A30" s="965" t="s">
        <v>72</v>
      </c>
      <c r="B30" s="966" t="s">
        <v>73</v>
      </c>
      <c r="C30" s="967"/>
      <c r="D30" s="968"/>
      <c r="E30" s="990">
        <f>SUM(14073208+396000-175000)</f>
        <v>14294208</v>
      </c>
      <c r="F30" s="984" t="s">
        <v>74</v>
      </c>
      <c r="G30" s="972" t="s">
        <v>75</v>
      </c>
      <c r="H30" s="973">
        <v>130000000</v>
      </c>
      <c r="I30" s="1035"/>
      <c r="J30" s="1054">
        <f>E32-J29</f>
        <v>32169219</v>
      </c>
      <c r="K30" s="1057"/>
      <c r="L30" s="852"/>
      <c r="M30" s="1031"/>
      <c r="N30" s="1032"/>
      <c r="P30" s="1053"/>
      <c r="Q30" s="1057"/>
    </row>
    <row r="31" s="938" customFormat="1" ht="18" customHeight="1" spans="1:17">
      <c r="A31" s="965" t="s">
        <v>76</v>
      </c>
      <c r="B31" s="966" t="s">
        <v>77</v>
      </c>
      <c r="C31" s="967"/>
      <c r="D31" s="968"/>
      <c r="E31" s="971">
        <f>SUM(MULTI!P63)</f>
        <v>366183449</v>
      </c>
      <c r="F31" s="984" t="s">
        <v>78</v>
      </c>
      <c r="G31" s="972" t="s">
        <v>79</v>
      </c>
      <c r="H31" s="973">
        <v>220232350</v>
      </c>
      <c r="I31" s="1035"/>
      <c r="J31" s="1050">
        <v>5690000</v>
      </c>
      <c r="K31" s="1031">
        <v>38890000</v>
      </c>
      <c r="L31" s="1058"/>
      <c r="M31" s="1031"/>
      <c r="N31" s="1032"/>
      <c r="O31" s="1032"/>
      <c r="P31" s="1053"/>
      <c r="Q31" s="852"/>
    </row>
    <row r="32" s="938" customFormat="1" ht="18" customHeight="1" spans="1:17">
      <c r="A32" s="965" t="s">
        <v>80</v>
      </c>
      <c r="B32" s="966" t="s">
        <v>81</v>
      </c>
      <c r="C32" s="967"/>
      <c r="D32" s="968"/>
      <c r="E32" s="614">
        <v>52359219</v>
      </c>
      <c r="F32" s="984" t="s">
        <v>82</v>
      </c>
      <c r="G32" s="972" t="s">
        <v>83</v>
      </c>
      <c r="H32" s="973">
        <v>46905500</v>
      </c>
      <c r="I32" s="1035"/>
      <c r="J32" s="1050">
        <f>K31+J31</f>
        <v>44580000</v>
      </c>
      <c r="K32" s="1031"/>
      <c r="L32" s="1058"/>
      <c r="M32" s="1031"/>
      <c r="N32" s="1032"/>
      <c r="P32" s="1053"/>
      <c r="Q32" s="852"/>
    </row>
    <row r="33" s="938" customFormat="1" ht="18" customHeight="1" spans="1:17">
      <c r="A33" s="965" t="s">
        <v>84</v>
      </c>
      <c r="B33" s="966" t="s">
        <v>85</v>
      </c>
      <c r="C33" s="967"/>
      <c r="D33" s="968"/>
      <c r="E33" s="971">
        <f>SUM(KASHAR!R254)</f>
        <v>1769000</v>
      </c>
      <c r="F33" s="984" t="s">
        <v>86</v>
      </c>
      <c r="G33" s="972" t="s">
        <v>87</v>
      </c>
      <c r="H33" s="973">
        <v>135766650</v>
      </c>
      <c r="I33" s="1059"/>
      <c r="J33" s="1050">
        <v>1940549</v>
      </c>
      <c r="K33" s="359"/>
      <c r="L33" s="1060"/>
      <c r="M33" s="1032"/>
      <c r="N33" s="852"/>
      <c r="P33" s="1059"/>
      <c r="Q33" s="852"/>
    </row>
    <row r="34" s="938" customFormat="1" ht="18" customHeight="1" spans="1:17">
      <c r="A34" s="965" t="s">
        <v>88</v>
      </c>
      <c r="B34" s="966" t="s">
        <v>89</v>
      </c>
      <c r="C34" s="967"/>
      <c r="D34" s="968"/>
      <c r="E34" s="971">
        <f>SUM(KASHAR!Q254)</f>
        <v>201618966</v>
      </c>
      <c r="F34" s="984" t="s">
        <v>90</v>
      </c>
      <c r="G34" s="972" t="s">
        <v>91</v>
      </c>
      <c r="H34" s="973">
        <v>200000000</v>
      </c>
      <c r="I34" s="1059"/>
      <c r="J34" s="1050"/>
      <c r="K34" s="359"/>
      <c r="L34" s="1060"/>
      <c r="M34" s="1032"/>
      <c r="N34" s="852"/>
      <c r="P34" s="1059"/>
      <c r="Q34" s="852"/>
    </row>
    <row r="35" s="938" customFormat="1" ht="18" customHeight="1" spans="1:17">
      <c r="A35" s="991" t="s">
        <v>92</v>
      </c>
      <c r="B35" s="966" t="s">
        <v>93</v>
      </c>
      <c r="C35" s="967"/>
      <c r="D35" s="968"/>
      <c r="E35" s="992">
        <v>60000000</v>
      </c>
      <c r="F35" s="993" t="s">
        <v>94</v>
      </c>
      <c r="G35" s="972" t="s">
        <v>95</v>
      </c>
      <c r="H35" s="973">
        <v>220000000</v>
      </c>
      <c r="I35" s="1059"/>
      <c r="J35" s="1050"/>
      <c r="K35" s="359"/>
      <c r="L35" s="1060"/>
      <c r="M35" s="1032"/>
      <c r="N35" s="852"/>
      <c r="P35" s="1059"/>
      <c r="Q35" s="852"/>
    </row>
    <row r="36" s="938" customFormat="1" ht="18" customHeight="1" spans="1:17">
      <c r="A36" s="966" t="s">
        <v>96</v>
      </c>
      <c r="B36" s="966" t="s">
        <v>97</v>
      </c>
      <c r="C36" s="966"/>
      <c r="D36" s="966"/>
      <c r="E36" s="974">
        <v>3500000</v>
      </c>
      <c r="F36" s="993" t="s">
        <v>98</v>
      </c>
      <c r="G36" s="972" t="s">
        <v>99</v>
      </c>
      <c r="H36" s="973">
        <v>343500000</v>
      </c>
      <c r="I36" s="1059"/>
      <c r="J36" s="1050"/>
      <c r="K36" s="359"/>
      <c r="L36" s="1060"/>
      <c r="M36" s="1032"/>
      <c r="N36" s="852"/>
      <c r="P36" s="1059"/>
      <c r="Q36" s="852"/>
    </row>
    <row r="37" s="938" customFormat="1" ht="18" customHeight="1" spans="1:17">
      <c r="A37" s="994" t="s">
        <v>100</v>
      </c>
      <c r="B37" s="966" t="s">
        <v>101</v>
      </c>
      <c r="C37" s="967"/>
      <c r="D37" s="968"/>
      <c r="E37" s="992">
        <f>SUM(KASHAR!S254)</f>
        <v>46256320</v>
      </c>
      <c r="F37" s="993" t="s">
        <v>102</v>
      </c>
      <c r="G37" s="974" t="s">
        <v>103</v>
      </c>
      <c r="H37" s="995">
        <v>75000000</v>
      </c>
      <c r="I37" s="1059">
        <f>SUM(H29:H36)</f>
        <v>1394744500</v>
      </c>
      <c r="J37" s="1050"/>
      <c r="K37" s="359"/>
      <c r="L37" s="1060"/>
      <c r="M37" s="1032"/>
      <c r="N37" s="852"/>
      <c r="P37" s="1059"/>
      <c r="Q37" s="852"/>
    </row>
    <row r="38" s="938" customFormat="1" ht="18" customHeight="1" spans="1:17">
      <c r="A38" s="994"/>
      <c r="B38" s="966" t="s">
        <v>24</v>
      </c>
      <c r="C38" s="967"/>
      <c r="D38" s="968"/>
      <c r="E38" s="996">
        <f>SUM(E28:E37)</f>
        <v>1403375357</v>
      </c>
      <c r="F38" s="993" t="s">
        <v>104</v>
      </c>
      <c r="G38" s="997" t="s">
        <v>105</v>
      </c>
      <c r="H38" s="998">
        <v>52510000</v>
      </c>
      <c r="I38" s="1059"/>
      <c r="J38" s="1050"/>
      <c r="K38" s="359"/>
      <c r="L38" s="1060"/>
      <c r="M38" s="1032"/>
      <c r="N38" s="852"/>
      <c r="P38" s="1059"/>
      <c r="Q38" s="852"/>
    </row>
    <row r="39" s="938" customFormat="1" ht="18" customHeight="1" spans="1:17">
      <c r="A39" s="994"/>
      <c r="B39" s="966"/>
      <c r="C39" s="967"/>
      <c r="D39" s="968"/>
      <c r="E39" s="996"/>
      <c r="F39" s="993"/>
      <c r="G39" s="997" t="s">
        <v>24</v>
      </c>
      <c r="H39" s="998">
        <f>SUM(H28:H38)</f>
        <v>1552254500</v>
      </c>
      <c r="I39" s="1059"/>
      <c r="J39" s="1050"/>
      <c r="K39" s="359"/>
      <c r="L39" s="1060"/>
      <c r="M39" s="1032"/>
      <c r="N39" s="852"/>
      <c r="P39" s="1059"/>
      <c r="Q39" s="852"/>
    </row>
    <row r="40" s="938" customFormat="1" ht="18" customHeight="1" spans="1:17">
      <c r="A40" s="999"/>
      <c r="B40" s="1000"/>
      <c r="C40" s="1001"/>
      <c r="D40" s="1002"/>
      <c r="E40" s="1003"/>
      <c r="F40" s="984" t="s">
        <v>102</v>
      </c>
      <c r="G40" s="997" t="s">
        <v>106</v>
      </c>
      <c r="H40" s="1004">
        <f>SUM('RL JAN-DES'!C35)</f>
        <v>437646.83333333</v>
      </c>
      <c r="I40" s="1059"/>
      <c r="J40" s="1050"/>
      <c r="K40" s="359"/>
      <c r="L40" s="1060"/>
      <c r="M40" s="1032"/>
      <c r="N40" s="852"/>
      <c r="P40" s="1059"/>
      <c r="Q40" s="852"/>
    </row>
    <row r="41" s="938" customFormat="1" ht="18" customHeight="1" spans="1:17">
      <c r="A41" s="999"/>
      <c r="B41" s="1000"/>
      <c r="C41" s="1001"/>
      <c r="D41" s="1002"/>
      <c r="E41" s="1005"/>
      <c r="F41" s="972" t="s">
        <v>104</v>
      </c>
      <c r="G41" s="974" t="s">
        <v>107</v>
      </c>
      <c r="H41" s="1006"/>
      <c r="I41" s="1059"/>
      <c r="J41" s="1050"/>
      <c r="K41" s="359"/>
      <c r="L41" s="1060"/>
      <c r="M41" s="1032"/>
      <c r="N41" s="852"/>
      <c r="P41" s="1059"/>
      <c r="Q41" s="852"/>
    </row>
    <row r="42" s="938" customFormat="1" ht="18" customHeight="1" spans="1:17">
      <c r="A42" s="999"/>
      <c r="B42" s="1000"/>
      <c r="C42" s="1001"/>
      <c r="D42" s="1002"/>
      <c r="E42" s="1005"/>
      <c r="F42" s="966"/>
      <c r="G42" s="966"/>
      <c r="H42" s="966"/>
      <c r="I42" s="1059"/>
      <c r="J42" s="1050"/>
      <c r="K42" s="359"/>
      <c r="L42" s="1060"/>
      <c r="M42" s="1032"/>
      <c r="N42" s="852"/>
      <c r="P42" s="1059"/>
      <c r="Q42" s="852"/>
    </row>
    <row r="43" s="938" customFormat="1" ht="18" customHeight="1" spans="1:18">
      <c r="A43" s="1007" t="s">
        <v>108</v>
      </c>
      <c r="B43" s="1008"/>
      <c r="C43" s="1008"/>
      <c r="D43" s="1008"/>
      <c r="E43" s="1009">
        <f>SUM(E14+E19+E22+E23+E38)</f>
        <v>1759958296.83333</v>
      </c>
      <c r="F43" s="1010" t="s">
        <v>109</v>
      </c>
      <c r="G43" s="1011"/>
      <c r="H43" s="1012">
        <f>SUM(H26+H39+H40)</f>
        <v>1759958296.83333</v>
      </c>
      <c r="I43" s="852">
        <f>E11+I44</f>
        <v>3.33786010742187e-6</v>
      </c>
      <c r="J43" s="1050"/>
      <c r="K43" s="852"/>
      <c r="L43" s="1031"/>
      <c r="M43" s="1032"/>
      <c r="N43" s="1032"/>
      <c r="P43" s="1061"/>
      <c r="Q43" s="852"/>
      <c r="R43" s="1060"/>
    </row>
    <row r="44" s="58" customFormat="1" spans="1:17">
      <c r="A44" s="633"/>
      <c r="D44" s="848"/>
      <c r="E44" s="941"/>
      <c r="F44" s="942"/>
      <c r="G44" s="848"/>
      <c r="H44" s="1013" t="s">
        <v>110</v>
      </c>
      <c r="I44" s="848">
        <f>H43-E43</f>
        <v>3.33786010742187e-6</v>
      </c>
      <c r="J44" s="1026"/>
      <c r="K44" s="1026">
        <f>E11-I47</f>
        <v>3.33786010742187e-6</v>
      </c>
      <c r="P44" s="1062"/>
      <c r="Q44" s="1026"/>
    </row>
    <row r="45" s="58" customFormat="1" spans="1:17">
      <c r="A45" s="60" t="s">
        <v>111</v>
      </c>
      <c r="B45" s="60"/>
      <c r="C45" s="60"/>
      <c r="D45" s="60"/>
      <c r="E45" s="60"/>
      <c r="F45" s="60"/>
      <c r="G45" s="60"/>
      <c r="H45" s="60"/>
      <c r="I45" s="848"/>
      <c r="J45" s="1026"/>
      <c r="K45" s="1026"/>
      <c r="P45" s="1062"/>
      <c r="Q45" s="1026"/>
    </row>
    <row r="46" s="58" customFormat="1" spans="1:17">
      <c r="A46" s="60" t="s">
        <v>112</v>
      </c>
      <c r="B46" s="60"/>
      <c r="C46" s="60"/>
      <c r="D46" s="60"/>
      <c r="E46" s="60"/>
      <c r="F46" s="60"/>
      <c r="G46" s="60"/>
      <c r="H46" s="60"/>
      <c r="I46" s="848"/>
      <c r="J46" s="1026"/>
      <c r="K46" s="1026"/>
      <c r="P46" s="1062"/>
      <c r="Q46" s="1026"/>
    </row>
    <row r="47" s="58" customFormat="1" spans="1:12">
      <c r="A47" s="60" t="s">
        <v>113</v>
      </c>
      <c r="B47" s="60"/>
      <c r="C47" s="60"/>
      <c r="D47" s="61"/>
      <c r="E47" s="1014"/>
      <c r="F47" s="942"/>
      <c r="G47" s="61"/>
      <c r="H47" s="61" t="s">
        <v>114</v>
      </c>
      <c r="I47" s="1026">
        <f>E43-H43</f>
        <v>-3.33786010742187e-6</v>
      </c>
      <c r="J47" s="1026" t="e">
        <f>I47-#REF!</f>
        <v>#REF!</v>
      </c>
      <c r="K47" s="1026">
        <f>KASHAR!Y258</f>
        <v>0</v>
      </c>
      <c r="L47" s="1063"/>
    </row>
    <row r="48" s="58" customFormat="1" spans="1:11">
      <c r="A48" s="633"/>
      <c r="B48" s="60"/>
      <c r="C48" s="60"/>
      <c r="D48" s="61"/>
      <c r="E48" s="1014"/>
      <c r="F48" s="942"/>
      <c r="G48" s="61"/>
      <c r="H48" s="61"/>
      <c r="I48" s="1026">
        <f>I29</f>
        <v>0</v>
      </c>
      <c r="J48" s="1027"/>
      <c r="K48" s="1026">
        <f>I47-K47</f>
        <v>-3.33786010742187e-6</v>
      </c>
    </row>
    <row r="49" s="58" customFormat="1" spans="1:12">
      <c r="A49" s="633"/>
      <c r="B49" s="60"/>
      <c r="C49" s="60"/>
      <c r="D49" s="61"/>
      <c r="E49" s="1014"/>
      <c r="F49" s="942"/>
      <c r="G49" s="61"/>
      <c r="H49" s="61"/>
      <c r="I49" s="1026"/>
      <c r="J49" s="1027"/>
      <c r="K49" s="58">
        <f>256607-150491</f>
        <v>106116</v>
      </c>
      <c r="L49" s="1063"/>
    </row>
    <row r="50" s="58" customFormat="1" spans="1:13">
      <c r="A50" s="633"/>
      <c r="B50" s="1015" t="s">
        <v>115</v>
      </c>
      <c r="C50" s="60"/>
      <c r="D50" s="61"/>
      <c r="E50" s="1014"/>
      <c r="F50" s="942"/>
      <c r="G50" s="61"/>
      <c r="H50" s="1016" t="s">
        <v>116</v>
      </c>
      <c r="I50" s="1026"/>
      <c r="J50" s="1027"/>
      <c r="K50" s="1027"/>
      <c r="L50" s="1027"/>
      <c r="M50" s="1027"/>
    </row>
    <row r="51" spans="1:11">
      <c r="A51" s="889"/>
      <c r="B51" s="889"/>
      <c r="C51" s="884"/>
      <c r="D51" s="1017"/>
      <c r="E51" s="1018"/>
      <c r="G51" s="1017"/>
      <c r="H51" s="1019"/>
      <c r="I51" s="874"/>
      <c r="J51" s="91"/>
      <c r="K51" s="679"/>
    </row>
    <row r="52" spans="3:10">
      <c r="C52" s="63"/>
      <c r="D52" s="1020"/>
      <c r="E52" s="1021"/>
      <c r="F52" s="1022"/>
      <c r="G52" s="1020"/>
      <c r="I52" s="874"/>
      <c r="J52" s="91"/>
    </row>
    <row r="53" spans="3:10">
      <c r="C53" s="63"/>
      <c r="D53" s="1020"/>
      <c r="E53" s="1021"/>
      <c r="F53" s="1022"/>
      <c r="G53" s="1020"/>
      <c r="I53" s="874"/>
      <c r="J53" s="91"/>
    </row>
    <row r="54" spans="3:10">
      <c r="C54" s="888"/>
      <c r="D54" s="1023"/>
      <c r="E54" s="1024"/>
      <c r="F54" s="1025"/>
      <c r="G54" s="1023"/>
      <c r="I54" s="874"/>
      <c r="J54" s="91"/>
    </row>
    <row r="55" spans="9:10">
      <c r="I55" s="874"/>
      <c r="J55" s="91"/>
    </row>
    <row r="56" spans="9:10">
      <c r="I56" s="874"/>
      <c r="J56" s="91"/>
    </row>
    <row r="57" spans="9:10">
      <c r="I57" s="874"/>
      <c r="J57" s="91"/>
    </row>
  </sheetData>
  <mergeCells count="14">
    <mergeCell ref="A1:H1"/>
    <mergeCell ref="A2:H2"/>
    <mergeCell ref="A3:H3"/>
    <mergeCell ref="A4:B4"/>
    <mergeCell ref="A5:B5"/>
    <mergeCell ref="A6:B6"/>
    <mergeCell ref="A8:E8"/>
    <mergeCell ref="F8:H8"/>
    <mergeCell ref="A43:D43"/>
    <mergeCell ref="F43:G43"/>
    <mergeCell ref="A45:H45"/>
    <mergeCell ref="A46:H46"/>
    <mergeCell ref="A47:B47"/>
    <mergeCell ref="A51:B51"/>
  </mergeCells>
  <pageMargins left="0.78740157480315" right="0.236220472440945" top="0.393700787401575" bottom="0.393700787401575" header="0.31496062992126" footer="0.31496062992126"/>
  <pageSetup paperSize="5" scale="8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BW277"/>
  <sheetViews>
    <sheetView zoomScale="70" zoomScaleNormal="70" zoomScaleSheetLayoutView="120" topLeftCell="A2" workbookViewId="0">
      <selection activeCell="G7" sqref="G7"/>
    </sheetView>
  </sheetViews>
  <sheetFormatPr defaultColWidth="9" defaultRowHeight="14.5"/>
  <cols>
    <col min="1" max="1" width="5.57272727272727" style="197" customWidth="1"/>
    <col min="2" max="2" width="58.8545454545455" style="198" customWidth="1"/>
    <col min="3" max="3" width="10" style="199" customWidth="1"/>
    <col min="4" max="4" width="10" style="197" customWidth="1"/>
    <col min="5" max="6" width="15.2818181818182" style="200" customWidth="1"/>
    <col min="7" max="8" width="15.2818181818182" style="201" customWidth="1"/>
    <col min="9" max="9" width="16.7090909090909" style="202" customWidth="1"/>
    <col min="10" max="10" width="13.4272727272727" style="201" customWidth="1"/>
    <col min="11" max="11" width="28.2818181818182" style="203" customWidth="1"/>
    <col min="12" max="12" width="20.4272727272727" style="204" customWidth="1"/>
    <col min="13" max="13" width="14.5727272727273" style="205" customWidth="1"/>
    <col min="14" max="14" width="3.13636363636364" style="206" customWidth="1"/>
    <col min="15" max="15" width="9.70909090909091" style="207" customWidth="1"/>
    <col min="16" max="16" width="3.42727272727273" style="206" customWidth="1"/>
    <col min="17" max="17" width="12.2818181818182" style="206" customWidth="1"/>
    <col min="18" max="18" width="3.13636363636364" style="206" customWidth="1"/>
    <col min="19" max="19" width="9.70909090909091" style="207" customWidth="1"/>
    <col min="20" max="20" width="3.42727272727273" style="206" customWidth="1"/>
    <col min="21" max="21" width="12.2818181818182" style="206" customWidth="1"/>
    <col min="22" max="22" width="3.13636363636364" style="206" customWidth="1"/>
    <col min="23" max="23" width="9.70909090909091" style="207" customWidth="1"/>
    <col min="24" max="24" width="3.42727272727273" style="206" customWidth="1"/>
    <col min="25" max="25" width="12.2818181818182" style="206" customWidth="1"/>
    <col min="26" max="26" width="3.13636363636364" style="206" customWidth="1"/>
    <col min="27" max="27" width="9.70909090909091" style="207" customWidth="1"/>
    <col min="28" max="28" width="3.42727272727273" style="206" customWidth="1"/>
    <col min="29" max="29" width="12.2818181818182" style="206" customWidth="1"/>
    <col min="30" max="30" width="3.13636363636364" style="206" customWidth="1"/>
    <col min="31" max="31" width="9.70909090909091" style="207" customWidth="1"/>
    <col min="32" max="32" width="3.42727272727273" style="206" customWidth="1"/>
    <col min="33" max="33" width="12.2818181818182" style="206" customWidth="1"/>
    <col min="34" max="34" width="3.13636363636364" style="206" customWidth="1"/>
    <col min="35" max="35" width="9.70909090909091" style="207" customWidth="1"/>
    <col min="36" max="36" width="3.42727272727273" style="206" customWidth="1"/>
    <col min="37" max="37" width="12.2818181818182" style="206" customWidth="1"/>
    <col min="38" max="38" width="3.13636363636364" style="206" customWidth="1"/>
    <col min="39" max="39" width="9.70909090909091" style="207" customWidth="1"/>
    <col min="40" max="40" width="3.42727272727273" style="206" customWidth="1"/>
    <col min="41" max="41" width="12.2818181818182" style="206" customWidth="1"/>
    <col min="42" max="42" width="3.13636363636364" style="206" customWidth="1"/>
    <col min="43" max="43" width="9.70909090909091" style="207" customWidth="1"/>
    <col min="44" max="44" width="3.42727272727273" style="206" customWidth="1"/>
    <col min="45" max="45" width="12.2818181818182" style="206" customWidth="1"/>
    <col min="46" max="46" width="16.2818181818182" style="208" customWidth="1"/>
    <col min="47" max="47" width="9.13636363636364" style="205"/>
    <col min="48" max="48" width="24.1363636363636" style="205" customWidth="1"/>
    <col min="49" max="49" width="21.1363636363636" style="205" customWidth="1"/>
    <col min="50" max="58" width="9.13636363636364" style="205"/>
    <col min="59" max="16384" width="9.13636363636364" style="200"/>
  </cols>
  <sheetData>
    <row r="1" s="192" customFormat="1" ht="24.75" customHeight="1" spans="1:58">
      <c r="A1" s="209"/>
      <c r="C1" s="209"/>
      <c r="D1" s="209"/>
      <c r="G1" s="210"/>
      <c r="H1" s="210"/>
      <c r="I1" s="210"/>
      <c r="J1" s="210"/>
      <c r="K1" s="252"/>
      <c r="L1" s="253"/>
      <c r="M1" s="254"/>
      <c r="N1" s="255"/>
      <c r="O1" s="256"/>
      <c r="P1" s="255"/>
      <c r="Q1" s="255"/>
      <c r="R1" s="255"/>
      <c r="S1" s="256"/>
      <c r="T1" s="255"/>
      <c r="U1" s="255"/>
      <c r="V1" s="255"/>
      <c r="W1" s="256"/>
      <c r="X1" s="255"/>
      <c r="Y1" s="255"/>
      <c r="Z1" s="255"/>
      <c r="AA1" s="256"/>
      <c r="AB1" s="255"/>
      <c r="AC1" s="255"/>
      <c r="AD1" s="255"/>
      <c r="AE1" s="256"/>
      <c r="AF1" s="255"/>
      <c r="AG1" s="255"/>
      <c r="AH1" s="255"/>
      <c r="AI1" s="256"/>
      <c r="AJ1" s="255"/>
      <c r="AK1" s="255"/>
      <c r="AL1" s="255"/>
      <c r="AM1" s="256"/>
      <c r="AN1" s="255"/>
      <c r="AO1" s="255"/>
      <c r="AP1" s="255"/>
      <c r="AQ1" s="256"/>
      <c r="AR1" s="255"/>
      <c r="AS1" s="255"/>
      <c r="AT1" s="255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</row>
    <row r="2" s="192" customFormat="1" ht="24.75" customHeight="1" spans="1:75">
      <c r="A2" s="211" t="s">
        <v>935</v>
      </c>
      <c r="B2" s="212"/>
      <c r="C2" s="213" t="s">
        <v>936</v>
      </c>
      <c r="D2" s="214"/>
      <c r="E2" s="215"/>
      <c r="F2" s="215"/>
      <c r="G2" s="216"/>
      <c r="H2" s="216"/>
      <c r="I2" s="216"/>
      <c r="J2" s="214"/>
      <c r="K2" s="257"/>
      <c r="L2" s="257"/>
      <c r="M2" s="258"/>
      <c r="N2" s="257"/>
      <c r="O2" s="259"/>
      <c r="P2" s="257"/>
      <c r="Q2" s="279"/>
      <c r="R2" s="257"/>
      <c r="S2" s="259"/>
      <c r="T2" s="257"/>
      <c r="U2" s="279"/>
      <c r="V2" s="257"/>
      <c r="W2" s="259"/>
      <c r="X2" s="257"/>
      <c r="Y2" s="279"/>
      <c r="Z2" s="257"/>
      <c r="AA2" s="259"/>
      <c r="AB2" s="257"/>
      <c r="AC2" s="279"/>
      <c r="AD2" s="257"/>
      <c r="AE2" s="259"/>
      <c r="AF2" s="257"/>
      <c r="AG2" s="279"/>
      <c r="AH2" s="257"/>
      <c r="AI2" s="259"/>
      <c r="AJ2" s="257"/>
      <c r="AK2" s="279"/>
      <c r="AL2" s="257"/>
      <c r="AM2" s="259"/>
      <c r="AN2" s="257"/>
      <c r="AO2" s="279"/>
      <c r="AP2" s="257"/>
      <c r="AQ2" s="259"/>
      <c r="AR2" s="257"/>
      <c r="AS2" s="279"/>
      <c r="AT2" s="257"/>
      <c r="AU2" s="258"/>
      <c r="AV2" s="258"/>
      <c r="AW2" s="258"/>
      <c r="AX2" s="258"/>
      <c r="AY2" s="216"/>
      <c r="AZ2" s="216"/>
      <c r="BA2" s="216"/>
      <c r="BB2" s="212"/>
      <c r="BC2" s="281"/>
      <c r="BD2" s="216"/>
      <c r="BE2" s="216"/>
      <c r="BF2" s="254"/>
      <c r="BG2" s="254"/>
      <c r="BH2" s="254"/>
      <c r="BI2" s="254"/>
      <c r="BJ2" s="254"/>
      <c r="BK2" s="283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</row>
    <row r="3" s="192" customFormat="1" ht="26.25" customHeight="1" spans="1:75">
      <c r="A3" s="217" t="s">
        <v>937</v>
      </c>
      <c r="B3" s="218"/>
      <c r="C3" s="219" t="s">
        <v>938</v>
      </c>
      <c r="D3" s="220"/>
      <c r="E3" s="221"/>
      <c r="F3" s="221"/>
      <c r="G3" s="222"/>
      <c r="H3" s="222"/>
      <c r="I3" s="222"/>
      <c r="J3" s="214"/>
      <c r="K3" s="257"/>
      <c r="L3" s="257"/>
      <c r="M3" s="214"/>
      <c r="N3" s="257"/>
      <c r="O3" s="259"/>
      <c r="P3" s="257"/>
      <c r="Q3" s="257"/>
      <c r="R3" s="257"/>
      <c r="S3" s="259"/>
      <c r="T3" s="257"/>
      <c r="U3" s="257"/>
      <c r="V3" s="257"/>
      <c r="W3" s="259"/>
      <c r="X3" s="257"/>
      <c r="Y3" s="257"/>
      <c r="Z3" s="257"/>
      <c r="AA3" s="259"/>
      <c r="AB3" s="257"/>
      <c r="AC3" s="257"/>
      <c r="AD3" s="257"/>
      <c r="AE3" s="259"/>
      <c r="AF3" s="257"/>
      <c r="AG3" s="257"/>
      <c r="AH3" s="257"/>
      <c r="AI3" s="259"/>
      <c r="AJ3" s="257"/>
      <c r="AK3" s="257"/>
      <c r="AL3" s="257"/>
      <c r="AM3" s="259"/>
      <c r="AN3" s="257"/>
      <c r="AO3" s="257"/>
      <c r="AP3" s="257"/>
      <c r="AQ3" s="259"/>
      <c r="AR3" s="257"/>
      <c r="AS3" s="257"/>
      <c r="AT3" s="257"/>
      <c r="AU3" s="214"/>
      <c r="AV3" s="214"/>
      <c r="AW3" s="214"/>
      <c r="AX3" s="214"/>
      <c r="AY3" s="214"/>
      <c r="AZ3" s="214"/>
      <c r="BA3" s="214"/>
      <c r="BB3" s="214"/>
      <c r="BC3" s="214"/>
      <c r="BD3" s="216"/>
      <c r="BE3" s="216"/>
      <c r="BF3" s="254"/>
      <c r="BG3" s="254"/>
      <c r="BH3" s="254"/>
      <c r="BI3" s="254"/>
      <c r="BJ3" s="254"/>
      <c r="BK3" s="283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</row>
    <row r="4" s="193" customFormat="1" ht="48.75" customHeight="1" spans="1:57">
      <c r="A4" s="223" t="s">
        <v>478</v>
      </c>
      <c r="B4" s="224" t="s">
        <v>205</v>
      </c>
      <c r="C4" s="225" t="s">
        <v>939</v>
      </c>
      <c r="D4" s="224" t="s">
        <v>940</v>
      </c>
      <c r="E4" s="226" t="s">
        <v>941</v>
      </c>
      <c r="F4" s="227"/>
      <c r="G4" s="227"/>
      <c r="H4" s="228"/>
      <c r="I4" s="224" t="s">
        <v>942</v>
      </c>
      <c r="J4" s="212"/>
      <c r="K4" s="260"/>
      <c r="L4" s="214"/>
      <c r="M4" s="214"/>
      <c r="N4" s="257"/>
      <c r="O4" s="259"/>
      <c r="P4" s="257"/>
      <c r="Q4" s="257"/>
      <c r="R4" s="257"/>
      <c r="S4" s="259"/>
      <c r="T4" s="257"/>
      <c r="U4" s="257"/>
      <c r="V4" s="257"/>
      <c r="W4" s="259"/>
      <c r="X4" s="257"/>
      <c r="Y4" s="257"/>
      <c r="Z4" s="257"/>
      <c r="AA4" s="259"/>
      <c r="AB4" s="257"/>
      <c r="AC4" s="257"/>
      <c r="AD4" s="257"/>
      <c r="AE4" s="259"/>
      <c r="AF4" s="257"/>
      <c r="AG4" s="257"/>
      <c r="AH4" s="257"/>
      <c r="AI4" s="259"/>
      <c r="AJ4" s="257"/>
      <c r="AK4" s="257"/>
      <c r="AL4" s="257"/>
      <c r="AM4" s="259"/>
      <c r="AN4" s="257"/>
      <c r="AO4" s="257"/>
      <c r="AP4" s="257"/>
      <c r="AQ4" s="259"/>
      <c r="AR4" s="257"/>
      <c r="AS4" s="257"/>
      <c r="AT4" s="257"/>
      <c r="AU4" s="214"/>
      <c r="AV4" s="214"/>
      <c r="AW4" s="214"/>
      <c r="AX4" s="214"/>
      <c r="AY4" s="214"/>
      <c r="AZ4" s="214"/>
      <c r="BA4" s="214"/>
      <c r="BB4" s="214"/>
      <c r="BC4" s="214"/>
      <c r="BD4" s="282"/>
      <c r="BE4" s="282"/>
    </row>
    <row r="5" s="193" customFormat="1" ht="48.75" customHeight="1" spans="1:57">
      <c r="A5" s="229"/>
      <c r="B5" s="230"/>
      <c r="C5" s="231" t="s">
        <v>943</v>
      </c>
      <c r="D5" s="230"/>
      <c r="E5" s="232" t="s">
        <v>943</v>
      </c>
      <c r="F5" s="233"/>
      <c r="G5" s="232" t="s">
        <v>944</v>
      </c>
      <c r="H5" s="233"/>
      <c r="I5" s="230"/>
      <c r="J5" s="212"/>
      <c r="K5" s="260"/>
      <c r="L5" s="214"/>
      <c r="M5" s="214"/>
      <c r="N5" s="257"/>
      <c r="O5" s="259"/>
      <c r="P5" s="257"/>
      <c r="Q5" s="257"/>
      <c r="R5" s="257"/>
      <c r="S5" s="259"/>
      <c r="T5" s="257"/>
      <c r="U5" s="257"/>
      <c r="V5" s="257"/>
      <c r="W5" s="259"/>
      <c r="X5" s="257"/>
      <c r="Y5" s="257"/>
      <c r="Z5" s="257"/>
      <c r="AA5" s="259"/>
      <c r="AB5" s="257"/>
      <c r="AC5" s="257"/>
      <c r="AD5" s="257"/>
      <c r="AE5" s="259"/>
      <c r="AF5" s="257"/>
      <c r="AG5" s="257"/>
      <c r="AH5" s="257"/>
      <c r="AI5" s="259"/>
      <c r="AJ5" s="257"/>
      <c r="AK5" s="257"/>
      <c r="AL5" s="257"/>
      <c r="AM5" s="259"/>
      <c r="AN5" s="257"/>
      <c r="AO5" s="257"/>
      <c r="AP5" s="257"/>
      <c r="AQ5" s="259"/>
      <c r="AR5" s="257"/>
      <c r="AS5" s="257"/>
      <c r="AT5" s="257"/>
      <c r="AU5" s="214"/>
      <c r="AV5" s="214"/>
      <c r="AW5" s="214"/>
      <c r="AX5" s="214"/>
      <c r="AY5" s="214"/>
      <c r="AZ5" s="214"/>
      <c r="BA5" s="214"/>
      <c r="BB5" s="214"/>
      <c r="BC5" s="214"/>
      <c r="BD5" s="282"/>
      <c r="BE5" s="282"/>
    </row>
    <row r="6" s="194" customFormat="1" ht="24.75" customHeight="1" spans="1:57">
      <c r="A6" s="234">
        <v>1</v>
      </c>
      <c r="B6" s="235" t="s">
        <v>945</v>
      </c>
      <c r="C6" s="236">
        <v>200</v>
      </c>
      <c r="D6" s="237" t="s">
        <v>946</v>
      </c>
      <c r="E6" s="238">
        <v>62000</v>
      </c>
      <c r="F6" s="238">
        <f>SUM(C6*E6)</f>
        <v>12400000</v>
      </c>
      <c r="G6" s="239">
        <v>56000</v>
      </c>
      <c r="H6" s="240">
        <f>SUM(C6*G6)</f>
        <v>11200000</v>
      </c>
      <c r="I6" s="261">
        <f>SUM(F6-H6)</f>
        <v>1200000</v>
      </c>
      <c r="J6" s="262"/>
      <c r="K6" s="263"/>
      <c r="L6" s="264"/>
      <c r="M6" s="265"/>
      <c r="N6" s="264"/>
      <c r="O6" s="266"/>
      <c r="P6" s="264"/>
      <c r="Q6" s="264"/>
      <c r="R6" s="264"/>
      <c r="S6" s="266"/>
      <c r="T6" s="264"/>
      <c r="U6" s="264"/>
      <c r="V6" s="264"/>
      <c r="W6" s="266"/>
      <c r="X6" s="264"/>
      <c r="Y6" s="264"/>
      <c r="Z6" s="264"/>
      <c r="AA6" s="266"/>
      <c r="AB6" s="264"/>
      <c r="AC6" s="264"/>
      <c r="AD6" s="264"/>
      <c r="AE6" s="266"/>
      <c r="AF6" s="264"/>
      <c r="AG6" s="264"/>
      <c r="AH6" s="264"/>
      <c r="AI6" s="266"/>
      <c r="AJ6" s="264"/>
      <c r="AK6" s="264"/>
      <c r="AL6" s="264"/>
      <c r="AM6" s="266"/>
      <c r="AN6" s="264"/>
      <c r="AO6" s="264"/>
      <c r="AP6" s="264"/>
      <c r="AQ6" s="266"/>
      <c r="AR6" s="264"/>
      <c r="AS6" s="264"/>
      <c r="AT6" s="264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</row>
    <row r="7" s="194" customFormat="1" ht="24.75" customHeight="1" spans="1:57">
      <c r="A7" s="234">
        <v>2</v>
      </c>
      <c r="B7" s="235" t="s">
        <v>947</v>
      </c>
      <c r="C7" s="236">
        <v>1</v>
      </c>
      <c r="D7" s="237" t="s">
        <v>948</v>
      </c>
      <c r="E7" s="238">
        <v>0</v>
      </c>
      <c r="F7" s="238">
        <v>0</v>
      </c>
      <c r="G7" s="239">
        <v>18000</v>
      </c>
      <c r="H7" s="240">
        <f>SUM(C7*G7)</f>
        <v>18000</v>
      </c>
      <c r="I7" s="261">
        <f>SUM(F7-H7)</f>
        <v>-18000</v>
      </c>
      <c r="J7" s="262"/>
      <c r="K7" s="263"/>
      <c r="L7" s="264"/>
      <c r="M7" s="265"/>
      <c r="N7" s="264"/>
      <c r="O7" s="266"/>
      <c r="P7" s="264"/>
      <c r="Q7" s="264"/>
      <c r="R7" s="264"/>
      <c r="S7" s="266"/>
      <c r="T7" s="264"/>
      <c r="U7" s="264"/>
      <c r="V7" s="264"/>
      <c r="W7" s="266"/>
      <c r="X7" s="264"/>
      <c r="Y7" s="264"/>
      <c r="Z7" s="264"/>
      <c r="AA7" s="266"/>
      <c r="AB7" s="264"/>
      <c r="AC7" s="264"/>
      <c r="AD7" s="264"/>
      <c r="AE7" s="266"/>
      <c r="AF7" s="264"/>
      <c r="AG7" s="264"/>
      <c r="AH7" s="264"/>
      <c r="AI7" s="266"/>
      <c r="AJ7" s="264"/>
      <c r="AK7" s="264"/>
      <c r="AL7" s="264"/>
      <c r="AM7" s="266"/>
      <c r="AN7" s="264"/>
      <c r="AO7" s="264"/>
      <c r="AP7" s="264"/>
      <c r="AQ7" s="266"/>
      <c r="AR7" s="264"/>
      <c r="AS7" s="264"/>
      <c r="AT7" s="264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</row>
    <row r="8" s="194" customFormat="1" ht="24.75" customHeight="1" spans="1:57">
      <c r="A8" s="234"/>
      <c r="B8" s="235"/>
      <c r="C8" s="236"/>
      <c r="D8" s="237"/>
      <c r="E8" s="238"/>
      <c r="F8" s="238"/>
      <c r="G8" s="239"/>
      <c r="H8" s="240"/>
      <c r="I8" s="261"/>
      <c r="J8" s="262"/>
      <c r="K8" s="263"/>
      <c r="L8" s="264"/>
      <c r="M8" s="265"/>
      <c r="N8" s="264"/>
      <c r="O8" s="266"/>
      <c r="P8" s="264"/>
      <c r="Q8" s="264"/>
      <c r="R8" s="264"/>
      <c r="S8" s="266"/>
      <c r="T8" s="264"/>
      <c r="U8" s="264"/>
      <c r="V8" s="264"/>
      <c r="W8" s="266"/>
      <c r="X8" s="264"/>
      <c r="Y8" s="264"/>
      <c r="Z8" s="264"/>
      <c r="AA8" s="266"/>
      <c r="AB8" s="264"/>
      <c r="AC8" s="264"/>
      <c r="AD8" s="264"/>
      <c r="AE8" s="266"/>
      <c r="AF8" s="264"/>
      <c r="AG8" s="264"/>
      <c r="AH8" s="264"/>
      <c r="AI8" s="266"/>
      <c r="AJ8" s="264"/>
      <c r="AK8" s="264"/>
      <c r="AL8" s="264"/>
      <c r="AM8" s="266"/>
      <c r="AN8" s="264"/>
      <c r="AO8" s="264"/>
      <c r="AP8" s="264"/>
      <c r="AQ8" s="266"/>
      <c r="AR8" s="264"/>
      <c r="AS8" s="264"/>
      <c r="AT8" s="264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</row>
    <row r="9" s="194" customFormat="1" ht="24.75" customHeight="1" spans="1:57">
      <c r="A9" s="234"/>
      <c r="B9" s="235"/>
      <c r="C9" s="236"/>
      <c r="D9" s="237"/>
      <c r="E9" s="238"/>
      <c r="F9" s="238"/>
      <c r="G9" s="239"/>
      <c r="H9" s="240"/>
      <c r="I9" s="261"/>
      <c r="J9" s="262"/>
      <c r="K9" s="263"/>
      <c r="L9" s="264"/>
      <c r="M9" s="265"/>
      <c r="N9" s="264"/>
      <c r="O9" s="266"/>
      <c r="P9" s="264"/>
      <c r="Q9" s="264"/>
      <c r="R9" s="264"/>
      <c r="S9" s="266"/>
      <c r="T9" s="264"/>
      <c r="U9" s="264"/>
      <c r="V9" s="264"/>
      <c r="W9" s="266"/>
      <c r="X9" s="264"/>
      <c r="Y9" s="264"/>
      <c r="Z9" s="264"/>
      <c r="AA9" s="266"/>
      <c r="AB9" s="264"/>
      <c r="AC9" s="264"/>
      <c r="AD9" s="264"/>
      <c r="AE9" s="266"/>
      <c r="AF9" s="264"/>
      <c r="AG9" s="264"/>
      <c r="AH9" s="264"/>
      <c r="AI9" s="266"/>
      <c r="AJ9" s="264"/>
      <c r="AK9" s="264"/>
      <c r="AL9" s="264"/>
      <c r="AM9" s="266"/>
      <c r="AN9" s="264"/>
      <c r="AO9" s="264"/>
      <c r="AP9" s="264"/>
      <c r="AQ9" s="266"/>
      <c r="AR9" s="264"/>
      <c r="AS9" s="264"/>
      <c r="AT9" s="264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</row>
    <row r="10" s="194" customFormat="1" ht="24.75" customHeight="1" spans="1:57">
      <c r="A10" s="234"/>
      <c r="B10" s="235"/>
      <c r="C10" s="236"/>
      <c r="D10" s="237"/>
      <c r="E10" s="241"/>
      <c r="F10" s="238"/>
      <c r="G10" s="239"/>
      <c r="H10" s="240"/>
      <c r="I10" s="261"/>
      <c r="J10" s="262"/>
      <c r="K10" s="263"/>
      <c r="L10" s="264"/>
      <c r="M10" s="265"/>
      <c r="N10" s="264"/>
      <c r="O10" s="266"/>
      <c r="P10" s="264"/>
      <c r="Q10" s="264"/>
      <c r="R10" s="264"/>
      <c r="S10" s="266"/>
      <c r="T10" s="264"/>
      <c r="U10" s="264"/>
      <c r="V10" s="264"/>
      <c r="W10" s="266"/>
      <c r="X10" s="264"/>
      <c r="Y10" s="264"/>
      <c r="Z10" s="264"/>
      <c r="AA10" s="266"/>
      <c r="AB10" s="264"/>
      <c r="AC10" s="264"/>
      <c r="AD10" s="264"/>
      <c r="AE10" s="266"/>
      <c r="AF10" s="264"/>
      <c r="AG10" s="264"/>
      <c r="AH10" s="264"/>
      <c r="AI10" s="266"/>
      <c r="AJ10" s="264"/>
      <c r="AK10" s="264"/>
      <c r="AL10" s="264"/>
      <c r="AM10" s="266"/>
      <c r="AN10" s="264"/>
      <c r="AO10" s="264"/>
      <c r="AP10" s="264"/>
      <c r="AQ10" s="266"/>
      <c r="AR10" s="264"/>
      <c r="AS10" s="264"/>
      <c r="AT10" s="264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</row>
    <row r="11" s="194" customFormat="1" ht="24.75" customHeight="1" spans="1:57">
      <c r="A11" s="234"/>
      <c r="B11" s="235"/>
      <c r="C11" s="236"/>
      <c r="D11" s="237"/>
      <c r="E11" s="238"/>
      <c r="F11" s="238"/>
      <c r="G11" s="239"/>
      <c r="H11" s="240"/>
      <c r="I11" s="261"/>
      <c r="J11" s="262"/>
      <c r="K11" s="263"/>
      <c r="L11" s="264"/>
      <c r="M11" s="265"/>
      <c r="N11" s="264"/>
      <c r="O11" s="266"/>
      <c r="P11" s="264"/>
      <c r="Q11" s="264"/>
      <c r="R11" s="264"/>
      <c r="S11" s="266"/>
      <c r="T11" s="264"/>
      <c r="U11" s="264"/>
      <c r="V11" s="264"/>
      <c r="W11" s="266"/>
      <c r="X11" s="264"/>
      <c r="Y11" s="264"/>
      <c r="Z11" s="264"/>
      <c r="AA11" s="266"/>
      <c r="AB11" s="264"/>
      <c r="AC11" s="264"/>
      <c r="AD11" s="264"/>
      <c r="AE11" s="266"/>
      <c r="AF11" s="264"/>
      <c r="AG11" s="264"/>
      <c r="AH11" s="264"/>
      <c r="AI11" s="266"/>
      <c r="AJ11" s="264"/>
      <c r="AK11" s="264"/>
      <c r="AL11" s="264"/>
      <c r="AM11" s="266"/>
      <c r="AN11" s="264"/>
      <c r="AO11" s="264"/>
      <c r="AP11" s="264"/>
      <c r="AQ11" s="266"/>
      <c r="AR11" s="264"/>
      <c r="AS11" s="264"/>
      <c r="AT11" s="264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</row>
    <row r="12" s="194" customFormat="1" ht="24.75" customHeight="1" spans="1:57">
      <c r="A12" s="234"/>
      <c r="B12" s="235"/>
      <c r="C12" s="236"/>
      <c r="D12" s="237"/>
      <c r="E12" s="238"/>
      <c r="F12" s="238"/>
      <c r="G12" s="239"/>
      <c r="H12" s="240"/>
      <c r="I12" s="261"/>
      <c r="J12" s="262"/>
      <c r="K12" s="263"/>
      <c r="L12" s="264"/>
      <c r="M12" s="265"/>
      <c r="N12" s="264"/>
      <c r="O12" s="266"/>
      <c r="P12" s="264"/>
      <c r="Q12" s="264"/>
      <c r="R12" s="264"/>
      <c r="S12" s="266"/>
      <c r="T12" s="264"/>
      <c r="U12" s="264"/>
      <c r="V12" s="264"/>
      <c r="W12" s="266"/>
      <c r="X12" s="264"/>
      <c r="Y12" s="264"/>
      <c r="Z12" s="264"/>
      <c r="AA12" s="266"/>
      <c r="AB12" s="264"/>
      <c r="AC12" s="264"/>
      <c r="AD12" s="264"/>
      <c r="AE12" s="266"/>
      <c r="AF12" s="264"/>
      <c r="AG12" s="264"/>
      <c r="AH12" s="264"/>
      <c r="AI12" s="266"/>
      <c r="AJ12" s="264"/>
      <c r="AK12" s="264"/>
      <c r="AL12" s="264"/>
      <c r="AM12" s="266"/>
      <c r="AN12" s="264"/>
      <c r="AO12" s="264"/>
      <c r="AP12" s="264"/>
      <c r="AQ12" s="266"/>
      <c r="AR12" s="264"/>
      <c r="AS12" s="264"/>
      <c r="AT12" s="264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</row>
    <row r="13" s="194" customFormat="1" ht="24.75" customHeight="1" spans="1:57">
      <c r="A13" s="234"/>
      <c r="B13" s="235"/>
      <c r="C13" s="236"/>
      <c r="D13" s="237"/>
      <c r="E13" s="238"/>
      <c r="F13" s="238"/>
      <c r="G13" s="239"/>
      <c r="H13" s="240"/>
      <c r="I13" s="261"/>
      <c r="J13" s="262"/>
      <c r="K13" s="263"/>
      <c r="L13" s="264"/>
      <c r="M13" s="265"/>
      <c r="N13" s="264"/>
      <c r="O13" s="266"/>
      <c r="P13" s="264"/>
      <c r="Q13" s="264"/>
      <c r="R13" s="264"/>
      <c r="S13" s="266"/>
      <c r="T13" s="264"/>
      <c r="U13" s="264"/>
      <c r="V13" s="264"/>
      <c r="W13" s="266"/>
      <c r="X13" s="264"/>
      <c r="Y13" s="264"/>
      <c r="Z13" s="264"/>
      <c r="AA13" s="266"/>
      <c r="AB13" s="264"/>
      <c r="AC13" s="264"/>
      <c r="AD13" s="264"/>
      <c r="AE13" s="266"/>
      <c r="AF13" s="264"/>
      <c r="AG13" s="264"/>
      <c r="AH13" s="264"/>
      <c r="AI13" s="266"/>
      <c r="AJ13" s="264"/>
      <c r="AK13" s="264"/>
      <c r="AL13" s="264"/>
      <c r="AM13" s="266"/>
      <c r="AN13" s="264"/>
      <c r="AO13" s="264"/>
      <c r="AP13" s="264"/>
      <c r="AQ13" s="266"/>
      <c r="AR13" s="264"/>
      <c r="AS13" s="264"/>
      <c r="AT13" s="264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</row>
    <row r="14" s="194" customFormat="1" ht="24.75" customHeight="1" spans="1:57">
      <c r="A14" s="234"/>
      <c r="B14" s="235"/>
      <c r="C14" s="236"/>
      <c r="D14" s="237"/>
      <c r="E14" s="238"/>
      <c r="F14" s="238"/>
      <c r="G14" s="239"/>
      <c r="H14" s="240"/>
      <c r="I14" s="261"/>
      <c r="J14" s="262"/>
      <c r="K14" s="263"/>
      <c r="L14" s="264"/>
      <c r="M14" s="265"/>
      <c r="N14" s="264"/>
      <c r="O14" s="266"/>
      <c r="P14" s="264"/>
      <c r="Q14" s="264"/>
      <c r="R14" s="264"/>
      <c r="S14" s="266"/>
      <c r="T14" s="264"/>
      <c r="U14" s="264"/>
      <c r="V14" s="264"/>
      <c r="W14" s="266"/>
      <c r="X14" s="264"/>
      <c r="Y14" s="264"/>
      <c r="Z14" s="264"/>
      <c r="AA14" s="266"/>
      <c r="AB14" s="264"/>
      <c r="AC14" s="264"/>
      <c r="AD14" s="264"/>
      <c r="AE14" s="266"/>
      <c r="AF14" s="264"/>
      <c r="AG14" s="264"/>
      <c r="AH14" s="264"/>
      <c r="AI14" s="266"/>
      <c r="AJ14" s="264"/>
      <c r="AK14" s="264"/>
      <c r="AL14" s="264"/>
      <c r="AM14" s="266"/>
      <c r="AN14" s="264"/>
      <c r="AO14" s="264"/>
      <c r="AP14" s="264"/>
      <c r="AQ14" s="266"/>
      <c r="AR14" s="264"/>
      <c r="AS14" s="264"/>
      <c r="AT14" s="264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</row>
    <row r="15" s="194" customFormat="1" ht="24.75" customHeight="1" spans="1:57">
      <c r="A15" s="234"/>
      <c r="B15" s="235"/>
      <c r="C15" s="236"/>
      <c r="D15" s="237"/>
      <c r="E15" s="238"/>
      <c r="F15" s="238"/>
      <c r="G15" s="239"/>
      <c r="H15" s="240"/>
      <c r="I15" s="261"/>
      <c r="J15" s="262"/>
      <c r="K15" s="263"/>
      <c r="L15" s="264"/>
      <c r="M15" s="265"/>
      <c r="N15" s="264"/>
      <c r="O15" s="266"/>
      <c r="P15" s="264"/>
      <c r="Q15" s="264"/>
      <c r="R15" s="264"/>
      <c r="S15" s="266"/>
      <c r="T15" s="264"/>
      <c r="U15" s="264"/>
      <c r="V15" s="264"/>
      <c r="W15" s="266"/>
      <c r="X15" s="264"/>
      <c r="Y15" s="264"/>
      <c r="Z15" s="264"/>
      <c r="AA15" s="266"/>
      <c r="AB15" s="264"/>
      <c r="AC15" s="264"/>
      <c r="AD15" s="264"/>
      <c r="AE15" s="266"/>
      <c r="AF15" s="264"/>
      <c r="AG15" s="264"/>
      <c r="AH15" s="264"/>
      <c r="AI15" s="266"/>
      <c r="AJ15" s="264"/>
      <c r="AK15" s="264"/>
      <c r="AL15" s="264"/>
      <c r="AM15" s="266"/>
      <c r="AN15" s="264"/>
      <c r="AO15" s="264"/>
      <c r="AP15" s="264"/>
      <c r="AQ15" s="266"/>
      <c r="AR15" s="264"/>
      <c r="AS15" s="264"/>
      <c r="AT15" s="264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</row>
    <row r="16" s="194" customFormat="1" ht="24.75" customHeight="1" spans="1:57">
      <c r="A16" s="234"/>
      <c r="B16" s="235"/>
      <c r="C16" s="242"/>
      <c r="D16" s="237"/>
      <c r="E16" s="238"/>
      <c r="F16" s="238"/>
      <c r="G16" s="239"/>
      <c r="H16" s="240"/>
      <c r="I16" s="261"/>
      <c r="J16" s="262"/>
      <c r="K16" s="263"/>
      <c r="L16" s="264"/>
      <c r="M16" s="265"/>
      <c r="N16" s="264"/>
      <c r="O16" s="266"/>
      <c r="P16" s="264"/>
      <c r="Q16" s="264"/>
      <c r="R16" s="264"/>
      <c r="S16" s="266"/>
      <c r="T16" s="264"/>
      <c r="U16" s="264"/>
      <c r="V16" s="264"/>
      <c r="W16" s="266"/>
      <c r="X16" s="264"/>
      <c r="Y16" s="264"/>
      <c r="Z16" s="264"/>
      <c r="AA16" s="266"/>
      <c r="AB16" s="264"/>
      <c r="AC16" s="264"/>
      <c r="AD16" s="264"/>
      <c r="AE16" s="266"/>
      <c r="AF16" s="264"/>
      <c r="AG16" s="264"/>
      <c r="AH16" s="264"/>
      <c r="AI16" s="266"/>
      <c r="AJ16" s="264"/>
      <c r="AK16" s="264"/>
      <c r="AL16" s="264"/>
      <c r="AM16" s="266"/>
      <c r="AN16" s="264"/>
      <c r="AO16" s="264"/>
      <c r="AP16" s="264"/>
      <c r="AQ16" s="266"/>
      <c r="AR16" s="264"/>
      <c r="AS16" s="264"/>
      <c r="AT16" s="264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</row>
    <row r="17" s="194" customFormat="1" ht="24.75" customHeight="1" spans="1:57">
      <c r="A17" s="234"/>
      <c r="B17" s="235"/>
      <c r="C17" s="242"/>
      <c r="D17" s="237"/>
      <c r="E17" s="238"/>
      <c r="F17" s="238"/>
      <c r="G17" s="239"/>
      <c r="H17" s="240"/>
      <c r="I17" s="261"/>
      <c r="J17" s="262"/>
      <c r="K17" s="263"/>
      <c r="L17" s="264"/>
      <c r="M17" s="265"/>
      <c r="N17" s="264"/>
      <c r="O17" s="266"/>
      <c r="P17" s="264"/>
      <c r="Q17" s="264"/>
      <c r="R17" s="264"/>
      <c r="S17" s="266"/>
      <c r="T17" s="264"/>
      <c r="U17" s="264"/>
      <c r="V17" s="264"/>
      <c r="W17" s="266"/>
      <c r="X17" s="264"/>
      <c r="Y17" s="264"/>
      <c r="Z17" s="264"/>
      <c r="AA17" s="266"/>
      <c r="AB17" s="264"/>
      <c r="AC17" s="264"/>
      <c r="AD17" s="264"/>
      <c r="AE17" s="266"/>
      <c r="AF17" s="264"/>
      <c r="AG17" s="264"/>
      <c r="AH17" s="264"/>
      <c r="AI17" s="266"/>
      <c r="AJ17" s="264"/>
      <c r="AK17" s="264"/>
      <c r="AL17" s="264"/>
      <c r="AM17" s="266"/>
      <c r="AN17" s="264"/>
      <c r="AO17" s="264"/>
      <c r="AP17" s="264"/>
      <c r="AQ17" s="266"/>
      <c r="AR17" s="264"/>
      <c r="AS17" s="264"/>
      <c r="AT17" s="264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</row>
    <row r="18" s="194" customFormat="1" ht="24.75" customHeight="1" spans="1:57">
      <c r="A18" s="234"/>
      <c r="B18" s="235"/>
      <c r="C18" s="236"/>
      <c r="D18" s="237"/>
      <c r="E18" s="238"/>
      <c r="F18" s="238"/>
      <c r="G18" s="239"/>
      <c r="H18" s="240"/>
      <c r="I18" s="261"/>
      <c r="J18" s="262"/>
      <c r="K18" s="263"/>
      <c r="L18" s="264"/>
      <c r="M18" s="265"/>
      <c r="N18" s="264"/>
      <c r="O18" s="266"/>
      <c r="P18" s="264"/>
      <c r="Q18" s="264"/>
      <c r="R18" s="264"/>
      <c r="S18" s="266"/>
      <c r="T18" s="264"/>
      <c r="U18" s="264"/>
      <c r="V18" s="264"/>
      <c r="W18" s="266"/>
      <c r="X18" s="264"/>
      <c r="Y18" s="264"/>
      <c r="Z18" s="264"/>
      <c r="AA18" s="266"/>
      <c r="AB18" s="264"/>
      <c r="AC18" s="264"/>
      <c r="AD18" s="264"/>
      <c r="AE18" s="266"/>
      <c r="AF18" s="264"/>
      <c r="AG18" s="264"/>
      <c r="AH18" s="264"/>
      <c r="AI18" s="266"/>
      <c r="AJ18" s="264"/>
      <c r="AK18" s="264"/>
      <c r="AL18" s="264"/>
      <c r="AM18" s="266"/>
      <c r="AN18" s="264"/>
      <c r="AO18" s="264"/>
      <c r="AP18" s="264"/>
      <c r="AQ18" s="266"/>
      <c r="AR18" s="264"/>
      <c r="AS18" s="264"/>
      <c r="AT18" s="264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</row>
    <row r="19" s="195" customFormat="1" ht="39" customHeight="1" spans="1:57">
      <c r="A19" s="243"/>
      <c r="B19" s="243" t="s">
        <v>949</v>
      </c>
      <c r="C19" s="244"/>
      <c r="D19" s="245"/>
      <c r="E19" s="246"/>
      <c r="F19" s="246">
        <f>SUM(F6:F18)</f>
        <v>12400000</v>
      </c>
      <c r="G19" s="247"/>
      <c r="H19" s="246">
        <f>SUM(H6:H18)</f>
        <v>11218000</v>
      </c>
      <c r="I19" s="246">
        <f>SUM(I6:I18)</f>
        <v>1182000</v>
      </c>
      <c r="J19" s="267"/>
      <c r="K19" s="268"/>
      <c r="L19" s="269"/>
      <c r="M19" s="270"/>
      <c r="N19" s="269"/>
      <c r="O19" s="271"/>
      <c r="P19" s="269"/>
      <c r="Q19" s="269"/>
      <c r="R19" s="269"/>
      <c r="S19" s="271"/>
      <c r="T19" s="269"/>
      <c r="U19" s="269"/>
      <c r="V19" s="269"/>
      <c r="W19" s="271"/>
      <c r="X19" s="269"/>
      <c r="Y19" s="269"/>
      <c r="Z19" s="269"/>
      <c r="AA19" s="271"/>
      <c r="AB19" s="269"/>
      <c r="AC19" s="269"/>
      <c r="AD19" s="269"/>
      <c r="AE19" s="271"/>
      <c r="AF19" s="269"/>
      <c r="AG19" s="269"/>
      <c r="AH19" s="269"/>
      <c r="AI19" s="271"/>
      <c r="AJ19" s="269"/>
      <c r="AK19" s="269"/>
      <c r="AL19" s="269"/>
      <c r="AM19" s="271"/>
      <c r="AN19" s="269"/>
      <c r="AO19" s="269"/>
      <c r="AP19" s="269"/>
      <c r="AQ19" s="271"/>
      <c r="AR19" s="269"/>
      <c r="AS19" s="269"/>
      <c r="AT19" s="269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</row>
    <row r="20" s="192" customFormat="1" ht="24.75" customHeight="1" spans="1:58">
      <c r="A20" s="209"/>
      <c r="C20" s="209"/>
      <c r="D20" s="209"/>
      <c r="G20" s="248"/>
      <c r="H20" s="248"/>
      <c r="I20" s="272">
        <f>SUM(F19-H19)</f>
        <v>1182000</v>
      </c>
      <c r="J20" s="210"/>
      <c r="K20" s="252"/>
      <c r="L20" s="253"/>
      <c r="M20" s="254"/>
      <c r="N20" s="255"/>
      <c r="O20" s="256"/>
      <c r="P20" s="255"/>
      <c r="Q20" s="255"/>
      <c r="R20" s="255"/>
      <c r="S20" s="256"/>
      <c r="T20" s="255"/>
      <c r="U20" s="255"/>
      <c r="V20" s="255"/>
      <c r="W20" s="256"/>
      <c r="X20" s="255"/>
      <c r="Y20" s="255"/>
      <c r="Z20" s="255"/>
      <c r="AA20" s="256"/>
      <c r="AB20" s="255"/>
      <c r="AC20" s="255"/>
      <c r="AD20" s="255"/>
      <c r="AE20" s="256"/>
      <c r="AF20" s="255"/>
      <c r="AG20" s="255"/>
      <c r="AH20" s="255"/>
      <c r="AI20" s="256"/>
      <c r="AJ20" s="255"/>
      <c r="AK20" s="255"/>
      <c r="AL20" s="255"/>
      <c r="AM20" s="256"/>
      <c r="AN20" s="255"/>
      <c r="AO20" s="255"/>
      <c r="AP20" s="255"/>
      <c r="AQ20" s="256"/>
      <c r="AR20" s="255"/>
      <c r="AS20" s="255"/>
      <c r="AT20" s="255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</row>
    <row r="21" s="192" customFormat="1" ht="24.75" customHeight="1" spans="1:58">
      <c r="A21" s="209"/>
      <c r="C21" s="209"/>
      <c r="D21" s="209"/>
      <c r="G21" s="210"/>
      <c r="H21" s="210"/>
      <c r="I21" s="273"/>
      <c r="J21" s="210"/>
      <c r="K21" s="252"/>
      <c r="L21" s="253"/>
      <c r="M21" s="254"/>
      <c r="N21" s="255"/>
      <c r="O21" s="256"/>
      <c r="P21" s="255"/>
      <c r="Q21" s="255"/>
      <c r="R21" s="255"/>
      <c r="S21" s="256"/>
      <c r="T21" s="255"/>
      <c r="U21" s="255"/>
      <c r="V21" s="255"/>
      <c r="W21" s="256"/>
      <c r="X21" s="255"/>
      <c r="Y21" s="255"/>
      <c r="Z21" s="255"/>
      <c r="AA21" s="256"/>
      <c r="AB21" s="255"/>
      <c r="AC21" s="255"/>
      <c r="AD21" s="255"/>
      <c r="AE21" s="256"/>
      <c r="AF21" s="255"/>
      <c r="AG21" s="255"/>
      <c r="AH21" s="255"/>
      <c r="AI21" s="256"/>
      <c r="AJ21" s="255"/>
      <c r="AK21" s="255"/>
      <c r="AL21" s="255"/>
      <c r="AM21" s="256"/>
      <c r="AN21" s="255"/>
      <c r="AO21" s="255"/>
      <c r="AP21" s="255"/>
      <c r="AQ21" s="256"/>
      <c r="AR21" s="255"/>
      <c r="AS21" s="255"/>
      <c r="AT21" s="255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</row>
    <row r="22" s="196" customFormat="1" ht="14" spans="1:58">
      <c r="A22" s="249"/>
      <c r="B22" s="250"/>
      <c r="C22" s="193"/>
      <c r="D22" s="249"/>
      <c r="G22" s="251"/>
      <c r="H22" s="251"/>
      <c r="I22" s="274"/>
      <c r="J22" s="251"/>
      <c r="K22" s="275"/>
      <c r="L22" s="253"/>
      <c r="M22" s="276"/>
      <c r="N22" s="277"/>
      <c r="O22" s="278"/>
      <c r="P22" s="277"/>
      <c r="Q22" s="277"/>
      <c r="R22" s="277"/>
      <c r="S22" s="278"/>
      <c r="T22" s="277"/>
      <c r="U22" s="277"/>
      <c r="V22" s="277"/>
      <c r="W22" s="278"/>
      <c r="X22" s="277"/>
      <c r="Y22" s="277"/>
      <c r="Z22" s="277"/>
      <c r="AA22" s="278"/>
      <c r="AB22" s="277"/>
      <c r="AC22" s="277"/>
      <c r="AD22" s="277"/>
      <c r="AE22" s="278"/>
      <c r="AF22" s="277"/>
      <c r="AG22" s="277"/>
      <c r="AH22" s="277"/>
      <c r="AI22" s="278"/>
      <c r="AJ22" s="277"/>
      <c r="AK22" s="277"/>
      <c r="AL22" s="277"/>
      <c r="AM22" s="278"/>
      <c r="AN22" s="277"/>
      <c r="AO22" s="277"/>
      <c r="AP22" s="277"/>
      <c r="AQ22" s="278"/>
      <c r="AR22" s="277"/>
      <c r="AS22" s="277"/>
      <c r="AT22" s="280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</row>
    <row r="23" s="196" customFormat="1" ht="14" spans="1:58">
      <c r="A23" s="249"/>
      <c r="B23" s="250"/>
      <c r="C23" s="193"/>
      <c r="D23" s="249"/>
      <c r="G23" s="251"/>
      <c r="H23" s="251"/>
      <c r="I23" s="274"/>
      <c r="J23" s="251"/>
      <c r="K23" s="275"/>
      <c r="L23" s="253"/>
      <c r="M23" s="276"/>
      <c r="N23" s="277"/>
      <c r="O23" s="278"/>
      <c r="P23" s="277"/>
      <c r="Q23" s="277"/>
      <c r="R23" s="277"/>
      <c r="S23" s="278"/>
      <c r="T23" s="277"/>
      <c r="U23" s="277"/>
      <c r="V23" s="277"/>
      <c r="W23" s="278"/>
      <c r="X23" s="277"/>
      <c r="Y23" s="277"/>
      <c r="Z23" s="277"/>
      <c r="AA23" s="278"/>
      <c r="AB23" s="277"/>
      <c r="AC23" s="277"/>
      <c r="AD23" s="277"/>
      <c r="AE23" s="278"/>
      <c r="AF23" s="277"/>
      <c r="AG23" s="277"/>
      <c r="AH23" s="277"/>
      <c r="AI23" s="278"/>
      <c r="AJ23" s="277"/>
      <c r="AK23" s="277"/>
      <c r="AL23" s="277"/>
      <c r="AM23" s="278"/>
      <c r="AN23" s="277"/>
      <c r="AO23" s="277"/>
      <c r="AP23" s="277"/>
      <c r="AQ23" s="278"/>
      <c r="AR23" s="277"/>
      <c r="AS23" s="277"/>
      <c r="AT23" s="280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</row>
    <row r="24" s="196" customFormat="1" ht="14" spans="1:58">
      <c r="A24" s="249"/>
      <c r="B24" s="250"/>
      <c r="C24" s="193"/>
      <c r="D24" s="249"/>
      <c r="G24" s="251"/>
      <c r="H24" s="251"/>
      <c r="I24" s="274"/>
      <c r="J24" s="251"/>
      <c r="K24" s="275"/>
      <c r="L24" s="253"/>
      <c r="M24" s="276"/>
      <c r="N24" s="277"/>
      <c r="O24" s="278"/>
      <c r="P24" s="277"/>
      <c r="Q24" s="277"/>
      <c r="R24" s="277"/>
      <c r="S24" s="278"/>
      <c r="T24" s="277"/>
      <c r="U24" s="277"/>
      <c r="V24" s="277"/>
      <c r="W24" s="278"/>
      <c r="X24" s="277"/>
      <c r="Y24" s="277"/>
      <c r="Z24" s="277"/>
      <c r="AA24" s="278"/>
      <c r="AB24" s="277"/>
      <c r="AC24" s="277"/>
      <c r="AD24" s="277"/>
      <c r="AE24" s="278"/>
      <c r="AF24" s="277"/>
      <c r="AG24" s="277"/>
      <c r="AH24" s="277"/>
      <c r="AI24" s="278"/>
      <c r="AJ24" s="277"/>
      <c r="AK24" s="277"/>
      <c r="AL24" s="277"/>
      <c r="AM24" s="278"/>
      <c r="AN24" s="277"/>
      <c r="AO24" s="277"/>
      <c r="AP24" s="277"/>
      <c r="AQ24" s="278"/>
      <c r="AR24" s="277"/>
      <c r="AS24" s="277"/>
      <c r="AT24" s="280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</row>
    <row r="25" s="196" customFormat="1" ht="14" spans="1:58">
      <c r="A25" s="249"/>
      <c r="B25" s="250"/>
      <c r="C25" s="193"/>
      <c r="D25" s="249"/>
      <c r="G25" s="251"/>
      <c r="H25" s="251"/>
      <c r="I25" s="274"/>
      <c r="J25" s="251"/>
      <c r="K25" s="275"/>
      <c r="L25" s="253"/>
      <c r="M25" s="276"/>
      <c r="N25" s="277"/>
      <c r="O25" s="278"/>
      <c r="P25" s="277"/>
      <c r="Q25" s="277"/>
      <c r="R25" s="277"/>
      <c r="S25" s="278"/>
      <c r="T25" s="277"/>
      <c r="U25" s="277"/>
      <c r="V25" s="277"/>
      <c r="W25" s="278"/>
      <c r="X25" s="277"/>
      <c r="Y25" s="277"/>
      <c r="Z25" s="277"/>
      <c r="AA25" s="278"/>
      <c r="AB25" s="277"/>
      <c r="AC25" s="277"/>
      <c r="AD25" s="277"/>
      <c r="AE25" s="278"/>
      <c r="AF25" s="277"/>
      <c r="AG25" s="277"/>
      <c r="AH25" s="277"/>
      <c r="AI25" s="278"/>
      <c r="AJ25" s="277"/>
      <c r="AK25" s="277"/>
      <c r="AL25" s="277"/>
      <c r="AM25" s="278"/>
      <c r="AN25" s="277"/>
      <c r="AO25" s="277"/>
      <c r="AP25" s="277"/>
      <c r="AQ25" s="278"/>
      <c r="AR25" s="277"/>
      <c r="AS25" s="277"/>
      <c r="AT25" s="280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</row>
    <row r="26" s="196" customFormat="1" ht="14" spans="1:58">
      <c r="A26" s="249"/>
      <c r="B26" s="250"/>
      <c r="C26" s="193"/>
      <c r="D26" s="249"/>
      <c r="G26" s="251"/>
      <c r="H26" s="251"/>
      <c r="I26" s="274"/>
      <c r="J26" s="251"/>
      <c r="K26" s="275"/>
      <c r="L26" s="253"/>
      <c r="M26" s="276"/>
      <c r="N26" s="277"/>
      <c r="O26" s="278"/>
      <c r="P26" s="277"/>
      <c r="Q26" s="277"/>
      <c r="R26" s="277"/>
      <c r="S26" s="278"/>
      <c r="T26" s="277"/>
      <c r="U26" s="277"/>
      <c r="V26" s="277"/>
      <c r="W26" s="278"/>
      <c r="X26" s="277"/>
      <c r="Y26" s="277"/>
      <c r="Z26" s="277"/>
      <c r="AA26" s="278"/>
      <c r="AB26" s="277"/>
      <c r="AC26" s="277"/>
      <c r="AD26" s="277"/>
      <c r="AE26" s="278"/>
      <c r="AF26" s="277"/>
      <c r="AG26" s="277"/>
      <c r="AH26" s="277"/>
      <c r="AI26" s="278"/>
      <c r="AJ26" s="277"/>
      <c r="AK26" s="277"/>
      <c r="AL26" s="277"/>
      <c r="AM26" s="278"/>
      <c r="AN26" s="277"/>
      <c r="AO26" s="277"/>
      <c r="AP26" s="277"/>
      <c r="AQ26" s="278"/>
      <c r="AR26" s="277"/>
      <c r="AS26" s="277"/>
      <c r="AT26" s="280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</row>
    <row r="27" s="196" customFormat="1" ht="14" spans="1:58">
      <c r="A27" s="249"/>
      <c r="B27" s="250"/>
      <c r="C27" s="193"/>
      <c r="D27" s="249"/>
      <c r="G27" s="251"/>
      <c r="H27" s="251"/>
      <c r="I27" s="274"/>
      <c r="J27" s="251"/>
      <c r="K27" s="275"/>
      <c r="L27" s="253"/>
      <c r="M27" s="276"/>
      <c r="N27" s="277"/>
      <c r="O27" s="278"/>
      <c r="P27" s="277"/>
      <c r="Q27" s="277"/>
      <c r="R27" s="277"/>
      <c r="S27" s="278"/>
      <c r="T27" s="277"/>
      <c r="U27" s="277"/>
      <c r="V27" s="277"/>
      <c r="W27" s="278"/>
      <c r="X27" s="277"/>
      <c r="Y27" s="277"/>
      <c r="Z27" s="277"/>
      <c r="AA27" s="278"/>
      <c r="AB27" s="277"/>
      <c r="AC27" s="277"/>
      <c r="AD27" s="277"/>
      <c r="AE27" s="278"/>
      <c r="AF27" s="277"/>
      <c r="AG27" s="277"/>
      <c r="AH27" s="277"/>
      <c r="AI27" s="278"/>
      <c r="AJ27" s="277"/>
      <c r="AK27" s="277"/>
      <c r="AL27" s="277"/>
      <c r="AM27" s="278"/>
      <c r="AN27" s="277"/>
      <c r="AO27" s="277"/>
      <c r="AP27" s="277"/>
      <c r="AQ27" s="278"/>
      <c r="AR27" s="277"/>
      <c r="AS27" s="277"/>
      <c r="AT27" s="280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</row>
    <row r="28" s="196" customFormat="1" ht="14" spans="1:58">
      <c r="A28" s="249"/>
      <c r="B28" s="250"/>
      <c r="C28" s="193"/>
      <c r="D28" s="249"/>
      <c r="G28" s="251"/>
      <c r="H28" s="251"/>
      <c r="I28" s="274"/>
      <c r="J28" s="251"/>
      <c r="K28" s="275"/>
      <c r="L28" s="253"/>
      <c r="M28" s="276"/>
      <c r="N28" s="277"/>
      <c r="O28" s="278"/>
      <c r="P28" s="277"/>
      <c r="Q28" s="277"/>
      <c r="R28" s="277"/>
      <c r="S28" s="278"/>
      <c r="T28" s="277"/>
      <c r="U28" s="277"/>
      <c r="V28" s="277"/>
      <c r="W28" s="278"/>
      <c r="X28" s="277"/>
      <c r="Y28" s="277"/>
      <c r="Z28" s="277"/>
      <c r="AA28" s="278"/>
      <c r="AB28" s="277"/>
      <c r="AC28" s="277"/>
      <c r="AD28" s="277"/>
      <c r="AE28" s="278"/>
      <c r="AF28" s="277"/>
      <c r="AG28" s="277"/>
      <c r="AH28" s="277"/>
      <c r="AI28" s="278"/>
      <c r="AJ28" s="277"/>
      <c r="AK28" s="277"/>
      <c r="AL28" s="277"/>
      <c r="AM28" s="278"/>
      <c r="AN28" s="277"/>
      <c r="AO28" s="277"/>
      <c r="AP28" s="277"/>
      <c r="AQ28" s="278"/>
      <c r="AR28" s="277"/>
      <c r="AS28" s="277"/>
      <c r="AT28" s="280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</row>
    <row r="29" s="196" customFormat="1" ht="14" spans="1:58">
      <c r="A29" s="249"/>
      <c r="B29" s="250"/>
      <c r="C29" s="193"/>
      <c r="D29" s="249"/>
      <c r="G29" s="251"/>
      <c r="H29" s="251"/>
      <c r="I29" s="274"/>
      <c r="J29" s="251"/>
      <c r="K29" s="275"/>
      <c r="L29" s="253"/>
      <c r="M29" s="276"/>
      <c r="N29" s="277"/>
      <c r="O29" s="278"/>
      <c r="P29" s="277"/>
      <c r="Q29" s="277"/>
      <c r="R29" s="277"/>
      <c r="S29" s="278"/>
      <c r="T29" s="277"/>
      <c r="U29" s="277"/>
      <c r="V29" s="277"/>
      <c r="W29" s="278"/>
      <c r="X29" s="277"/>
      <c r="Y29" s="277"/>
      <c r="Z29" s="277"/>
      <c r="AA29" s="278"/>
      <c r="AB29" s="277"/>
      <c r="AC29" s="277"/>
      <c r="AD29" s="277"/>
      <c r="AE29" s="278"/>
      <c r="AF29" s="277"/>
      <c r="AG29" s="277"/>
      <c r="AH29" s="277"/>
      <c r="AI29" s="278"/>
      <c r="AJ29" s="277"/>
      <c r="AK29" s="277"/>
      <c r="AL29" s="277"/>
      <c r="AM29" s="278"/>
      <c r="AN29" s="277"/>
      <c r="AO29" s="277"/>
      <c r="AP29" s="277"/>
      <c r="AQ29" s="278"/>
      <c r="AR29" s="277"/>
      <c r="AS29" s="277"/>
      <c r="AT29" s="280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</row>
    <row r="30" s="196" customFormat="1" ht="14" spans="1:58">
      <c r="A30" s="249"/>
      <c r="B30" s="250"/>
      <c r="C30" s="193"/>
      <c r="D30" s="249"/>
      <c r="G30" s="251"/>
      <c r="H30" s="251"/>
      <c r="I30" s="274"/>
      <c r="J30" s="251"/>
      <c r="K30" s="275"/>
      <c r="L30" s="253"/>
      <c r="M30" s="276"/>
      <c r="N30" s="277"/>
      <c r="O30" s="278"/>
      <c r="P30" s="277"/>
      <c r="Q30" s="277"/>
      <c r="R30" s="277"/>
      <c r="S30" s="278"/>
      <c r="T30" s="277"/>
      <c r="U30" s="277"/>
      <c r="V30" s="277"/>
      <c r="W30" s="278"/>
      <c r="X30" s="277"/>
      <c r="Y30" s="277"/>
      <c r="Z30" s="277"/>
      <c r="AA30" s="278"/>
      <c r="AB30" s="277"/>
      <c r="AC30" s="277"/>
      <c r="AD30" s="277"/>
      <c r="AE30" s="278"/>
      <c r="AF30" s="277"/>
      <c r="AG30" s="277"/>
      <c r="AH30" s="277"/>
      <c r="AI30" s="278"/>
      <c r="AJ30" s="277"/>
      <c r="AK30" s="277"/>
      <c r="AL30" s="277"/>
      <c r="AM30" s="278"/>
      <c r="AN30" s="277"/>
      <c r="AO30" s="277"/>
      <c r="AP30" s="277"/>
      <c r="AQ30" s="278"/>
      <c r="AR30" s="277"/>
      <c r="AS30" s="277"/>
      <c r="AT30" s="280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</row>
    <row r="31" s="196" customFormat="1" ht="14" spans="1:58">
      <c r="A31" s="249"/>
      <c r="B31" s="250"/>
      <c r="C31" s="193"/>
      <c r="D31" s="249"/>
      <c r="G31" s="251"/>
      <c r="H31" s="251"/>
      <c r="I31" s="274"/>
      <c r="J31" s="251"/>
      <c r="K31" s="275"/>
      <c r="L31" s="253"/>
      <c r="M31" s="276"/>
      <c r="N31" s="277"/>
      <c r="O31" s="278"/>
      <c r="P31" s="277"/>
      <c r="Q31" s="277"/>
      <c r="R31" s="277"/>
      <c r="S31" s="278"/>
      <c r="T31" s="277"/>
      <c r="U31" s="277"/>
      <c r="V31" s="277"/>
      <c r="W31" s="278"/>
      <c r="X31" s="277"/>
      <c r="Y31" s="277"/>
      <c r="Z31" s="277"/>
      <c r="AA31" s="278"/>
      <c r="AB31" s="277"/>
      <c r="AC31" s="277"/>
      <c r="AD31" s="277"/>
      <c r="AE31" s="278"/>
      <c r="AF31" s="277"/>
      <c r="AG31" s="277"/>
      <c r="AH31" s="277"/>
      <c r="AI31" s="278"/>
      <c r="AJ31" s="277"/>
      <c r="AK31" s="277"/>
      <c r="AL31" s="277"/>
      <c r="AM31" s="278"/>
      <c r="AN31" s="277"/>
      <c r="AO31" s="277"/>
      <c r="AP31" s="277"/>
      <c r="AQ31" s="278"/>
      <c r="AR31" s="277"/>
      <c r="AS31" s="277"/>
      <c r="AT31" s="280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</row>
    <row r="32" s="196" customFormat="1" ht="14" spans="1:58">
      <c r="A32" s="249"/>
      <c r="B32" s="250"/>
      <c r="C32" s="193"/>
      <c r="D32" s="249"/>
      <c r="G32" s="251"/>
      <c r="H32" s="251"/>
      <c r="I32" s="274"/>
      <c r="J32" s="251"/>
      <c r="K32" s="275"/>
      <c r="L32" s="253"/>
      <c r="M32" s="276"/>
      <c r="N32" s="277"/>
      <c r="O32" s="278"/>
      <c r="P32" s="277"/>
      <c r="Q32" s="277"/>
      <c r="R32" s="277"/>
      <c r="S32" s="278"/>
      <c r="T32" s="277"/>
      <c r="U32" s="277"/>
      <c r="V32" s="277"/>
      <c r="W32" s="278"/>
      <c r="X32" s="277"/>
      <c r="Y32" s="277"/>
      <c r="Z32" s="277"/>
      <c r="AA32" s="278"/>
      <c r="AB32" s="277"/>
      <c r="AC32" s="277"/>
      <c r="AD32" s="277"/>
      <c r="AE32" s="278"/>
      <c r="AF32" s="277"/>
      <c r="AG32" s="277"/>
      <c r="AH32" s="277"/>
      <c r="AI32" s="278"/>
      <c r="AJ32" s="277"/>
      <c r="AK32" s="277"/>
      <c r="AL32" s="277"/>
      <c r="AM32" s="278"/>
      <c r="AN32" s="277"/>
      <c r="AO32" s="277"/>
      <c r="AP32" s="277"/>
      <c r="AQ32" s="278"/>
      <c r="AR32" s="277"/>
      <c r="AS32" s="277"/>
      <c r="AT32" s="280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</row>
    <row r="33" s="196" customFormat="1" ht="14" spans="1:58">
      <c r="A33" s="249"/>
      <c r="B33" s="250"/>
      <c r="C33" s="193"/>
      <c r="D33" s="249"/>
      <c r="G33" s="251"/>
      <c r="H33" s="251"/>
      <c r="I33" s="274"/>
      <c r="J33" s="251"/>
      <c r="K33" s="275"/>
      <c r="L33" s="253"/>
      <c r="M33" s="276"/>
      <c r="N33" s="277"/>
      <c r="O33" s="278"/>
      <c r="P33" s="277"/>
      <c r="Q33" s="277"/>
      <c r="R33" s="277"/>
      <c r="S33" s="278"/>
      <c r="T33" s="277"/>
      <c r="U33" s="277"/>
      <c r="V33" s="277"/>
      <c r="W33" s="278"/>
      <c r="X33" s="277"/>
      <c r="Y33" s="277"/>
      <c r="Z33" s="277"/>
      <c r="AA33" s="278"/>
      <c r="AB33" s="277"/>
      <c r="AC33" s="277"/>
      <c r="AD33" s="277"/>
      <c r="AE33" s="278"/>
      <c r="AF33" s="277"/>
      <c r="AG33" s="277"/>
      <c r="AH33" s="277"/>
      <c r="AI33" s="278"/>
      <c r="AJ33" s="277"/>
      <c r="AK33" s="277"/>
      <c r="AL33" s="277"/>
      <c r="AM33" s="278"/>
      <c r="AN33" s="277"/>
      <c r="AO33" s="277"/>
      <c r="AP33" s="277"/>
      <c r="AQ33" s="278"/>
      <c r="AR33" s="277"/>
      <c r="AS33" s="277"/>
      <c r="AT33" s="280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</row>
    <row r="34" s="196" customFormat="1" ht="14" spans="1:58">
      <c r="A34" s="249"/>
      <c r="B34" s="250"/>
      <c r="C34" s="193"/>
      <c r="D34" s="249"/>
      <c r="G34" s="251"/>
      <c r="H34" s="251"/>
      <c r="I34" s="274"/>
      <c r="J34" s="251"/>
      <c r="K34" s="275"/>
      <c r="L34" s="253"/>
      <c r="M34" s="276"/>
      <c r="N34" s="277"/>
      <c r="O34" s="278"/>
      <c r="P34" s="277"/>
      <c r="Q34" s="277"/>
      <c r="R34" s="277"/>
      <c r="S34" s="278"/>
      <c r="T34" s="277"/>
      <c r="U34" s="277"/>
      <c r="V34" s="277"/>
      <c r="W34" s="278"/>
      <c r="X34" s="277"/>
      <c r="Y34" s="277"/>
      <c r="Z34" s="277"/>
      <c r="AA34" s="278"/>
      <c r="AB34" s="277"/>
      <c r="AC34" s="277"/>
      <c r="AD34" s="277"/>
      <c r="AE34" s="278"/>
      <c r="AF34" s="277"/>
      <c r="AG34" s="277"/>
      <c r="AH34" s="277"/>
      <c r="AI34" s="278"/>
      <c r="AJ34" s="277"/>
      <c r="AK34" s="277"/>
      <c r="AL34" s="277"/>
      <c r="AM34" s="278"/>
      <c r="AN34" s="277"/>
      <c r="AO34" s="277"/>
      <c r="AP34" s="277"/>
      <c r="AQ34" s="278"/>
      <c r="AR34" s="277"/>
      <c r="AS34" s="277"/>
      <c r="AT34" s="280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</row>
    <row r="35" s="196" customFormat="1" ht="14" spans="1:58">
      <c r="A35" s="249"/>
      <c r="B35" s="250"/>
      <c r="C35" s="193"/>
      <c r="D35" s="249"/>
      <c r="G35" s="251"/>
      <c r="H35" s="251"/>
      <c r="I35" s="274"/>
      <c r="J35" s="251"/>
      <c r="K35" s="275"/>
      <c r="L35" s="253"/>
      <c r="M35" s="276"/>
      <c r="N35" s="277"/>
      <c r="O35" s="278"/>
      <c r="P35" s="277"/>
      <c r="Q35" s="277"/>
      <c r="R35" s="277"/>
      <c r="S35" s="278"/>
      <c r="T35" s="277"/>
      <c r="U35" s="277"/>
      <c r="V35" s="277"/>
      <c r="W35" s="278"/>
      <c r="X35" s="277"/>
      <c r="Y35" s="277"/>
      <c r="Z35" s="277"/>
      <c r="AA35" s="278"/>
      <c r="AB35" s="277"/>
      <c r="AC35" s="277"/>
      <c r="AD35" s="277"/>
      <c r="AE35" s="278"/>
      <c r="AF35" s="277"/>
      <c r="AG35" s="277"/>
      <c r="AH35" s="277"/>
      <c r="AI35" s="278"/>
      <c r="AJ35" s="277"/>
      <c r="AK35" s="277"/>
      <c r="AL35" s="277"/>
      <c r="AM35" s="278"/>
      <c r="AN35" s="277"/>
      <c r="AO35" s="277"/>
      <c r="AP35" s="277"/>
      <c r="AQ35" s="278"/>
      <c r="AR35" s="277"/>
      <c r="AS35" s="277"/>
      <c r="AT35" s="280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</row>
    <row r="36" s="196" customFormat="1" ht="14" spans="1:58">
      <c r="A36" s="249"/>
      <c r="B36" s="250"/>
      <c r="C36" s="193"/>
      <c r="D36" s="249"/>
      <c r="G36" s="251"/>
      <c r="H36" s="251"/>
      <c r="I36" s="274"/>
      <c r="J36" s="251"/>
      <c r="K36" s="275"/>
      <c r="L36" s="253"/>
      <c r="M36" s="276"/>
      <c r="N36" s="277"/>
      <c r="O36" s="278"/>
      <c r="P36" s="277"/>
      <c r="Q36" s="277"/>
      <c r="R36" s="277"/>
      <c r="S36" s="278"/>
      <c r="T36" s="277"/>
      <c r="U36" s="277"/>
      <c r="V36" s="277"/>
      <c r="W36" s="278"/>
      <c r="X36" s="277"/>
      <c r="Y36" s="277"/>
      <c r="Z36" s="277"/>
      <c r="AA36" s="278"/>
      <c r="AB36" s="277"/>
      <c r="AC36" s="277"/>
      <c r="AD36" s="277"/>
      <c r="AE36" s="278"/>
      <c r="AF36" s="277"/>
      <c r="AG36" s="277"/>
      <c r="AH36" s="277"/>
      <c r="AI36" s="278"/>
      <c r="AJ36" s="277"/>
      <c r="AK36" s="277"/>
      <c r="AL36" s="277"/>
      <c r="AM36" s="278"/>
      <c r="AN36" s="277"/>
      <c r="AO36" s="277"/>
      <c r="AP36" s="277"/>
      <c r="AQ36" s="278"/>
      <c r="AR36" s="277"/>
      <c r="AS36" s="277"/>
      <c r="AT36" s="280"/>
      <c r="AU36" s="276"/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276"/>
    </row>
    <row r="37" s="196" customFormat="1" ht="14" spans="1:58">
      <c r="A37" s="249"/>
      <c r="B37" s="250"/>
      <c r="C37" s="193"/>
      <c r="D37" s="249"/>
      <c r="G37" s="251"/>
      <c r="H37" s="251"/>
      <c r="I37" s="274"/>
      <c r="J37" s="251"/>
      <c r="K37" s="275"/>
      <c r="L37" s="253"/>
      <c r="M37" s="276"/>
      <c r="N37" s="277"/>
      <c r="O37" s="278"/>
      <c r="P37" s="277"/>
      <c r="Q37" s="277"/>
      <c r="R37" s="277"/>
      <c r="S37" s="278"/>
      <c r="T37" s="277"/>
      <c r="U37" s="277"/>
      <c r="V37" s="277"/>
      <c r="W37" s="278"/>
      <c r="X37" s="277"/>
      <c r="Y37" s="277"/>
      <c r="Z37" s="277"/>
      <c r="AA37" s="278"/>
      <c r="AB37" s="277"/>
      <c r="AC37" s="277"/>
      <c r="AD37" s="277"/>
      <c r="AE37" s="278"/>
      <c r="AF37" s="277"/>
      <c r="AG37" s="277"/>
      <c r="AH37" s="277"/>
      <c r="AI37" s="278"/>
      <c r="AJ37" s="277"/>
      <c r="AK37" s="277"/>
      <c r="AL37" s="277"/>
      <c r="AM37" s="278"/>
      <c r="AN37" s="277"/>
      <c r="AO37" s="277"/>
      <c r="AP37" s="277"/>
      <c r="AQ37" s="278"/>
      <c r="AR37" s="277"/>
      <c r="AS37" s="277"/>
      <c r="AT37" s="280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</row>
    <row r="38" s="196" customFormat="1" ht="14" spans="1:58">
      <c r="A38" s="249"/>
      <c r="B38" s="250"/>
      <c r="C38" s="193"/>
      <c r="D38" s="249"/>
      <c r="G38" s="251"/>
      <c r="H38" s="251"/>
      <c r="I38" s="274"/>
      <c r="J38" s="251"/>
      <c r="K38" s="275"/>
      <c r="L38" s="253"/>
      <c r="M38" s="276"/>
      <c r="N38" s="277"/>
      <c r="O38" s="278"/>
      <c r="P38" s="277"/>
      <c r="Q38" s="277"/>
      <c r="R38" s="277"/>
      <c r="S38" s="278"/>
      <c r="T38" s="277"/>
      <c r="U38" s="277"/>
      <c r="V38" s="277"/>
      <c r="W38" s="278"/>
      <c r="X38" s="277"/>
      <c r="Y38" s="277"/>
      <c r="Z38" s="277"/>
      <c r="AA38" s="278"/>
      <c r="AB38" s="277"/>
      <c r="AC38" s="277"/>
      <c r="AD38" s="277"/>
      <c r="AE38" s="278"/>
      <c r="AF38" s="277"/>
      <c r="AG38" s="277"/>
      <c r="AH38" s="277"/>
      <c r="AI38" s="278"/>
      <c r="AJ38" s="277"/>
      <c r="AK38" s="277"/>
      <c r="AL38" s="277"/>
      <c r="AM38" s="278"/>
      <c r="AN38" s="277"/>
      <c r="AO38" s="277"/>
      <c r="AP38" s="277"/>
      <c r="AQ38" s="278"/>
      <c r="AR38" s="277"/>
      <c r="AS38" s="277"/>
      <c r="AT38" s="280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</row>
    <row r="39" s="196" customFormat="1" ht="14" spans="1:58">
      <c r="A39" s="249"/>
      <c r="B39" s="250"/>
      <c r="C39" s="193"/>
      <c r="D39" s="249"/>
      <c r="G39" s="251"/>
      <c r="H39" s="251"/>
      <c r="I39" s="274"/>
      <c r="J39" s="251"/>
      <c r="K39" s="275"/>
      <c r="L39" s="253"/>
      <c r="M39" s="276"/>
      <c r="N39" s="277"/>
      <c r="O39" s="278"/>
      <c r="P39" s="277"/>
      <c r="Q39" s="277"/>
      <c r="R39" s="277"/>
      <c r="S39" s="278"/>
      <c r="T39" s="277"/>
      <c r="U39" s="277"/>
      <c r="V39" s="277"/>
      <c r="W39" s="278"/>
      <c r="X39" s="277"/>
      <c r="Y39" s="277"/>
      <c r="Z39" s="277"/>
      <c r="AA39" s="278"/>
      <c r="AB39" s="277"/>
      <c r="AC39" s="277"/>
      <c r="AD39" s="277"/>
      <c r="AE39" s="278"/>
      <c r="AF39" s="277"/>
      <c r="AG39" s="277"/>
      <c r="AH39" s="277"/>
      <c r="AI39" s="278"/>
      <c r="AJ39" s="277"/>
      <c r="AK39" s="277"/>
      <c r="AL39" s="277"/>
      <c r="AM39" s="278"/>
      <c r="AN39" s="277"/>
      <c r="AO39" s="277"/>
      <c r="AP39" s="277"/>
      <c r="AQ39" s="278"/>
      <c r="AR39" s="277"/>
      <c r="AS39" s="277"/>
      <c r="AT39" s="280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</row>
    <row r="40" s="196" customFormat="1" ht="14" spans="1:58">
      <c r="A40" s="249"/>
      <c r="B40" s="250"/>
      <c r="C40" s="193"/>
      <c r="D40" s="249"/>
      <c r="G40" s="251"/>
      <c r="H40" s="251"/>
      <c r="I40" s="274"/>
      <c r="J40" s="251"/>
      <c r="K40" s="275"/>
      <c r="L40" s="253"/>
      <c r="M40" s="276"/>
      <c r="N40" s="277"/>
      <c r="O40" s="278"/>
      <c r="P40" s="277"/>
      <c r="Q40" s="277"/>
      <c r="R40" s="277"/>
      <c r="S40" s="278"/>
      <c r="T40" s="277"/>
      <c r="U40" s="277"/>
      <c r="V40" s="277"/>
      <c r="W40" s="278"/>
      <c r="X40" s="277"/>
      <c r="Y40" s="277"/>
      <c r="Z40" s="277"/>
      <c r="AA40" s="278"/>
      <c r="AB40" s="277"/>
      <c r="AC40" s="277"/>
      <c r="AD40" s="277"/>
      <c r="AE40" s="278"/>
      <c r="AF40" s="277"/>
      <c r="AG40" s="277"/>
      <c r="AH40" s="277"/>
      <c r="AI40" s="278"/>
      <c r="AJ40" s="277"/>
      <c r="AK40" s="277"/>
      <c r="AL40" s="277"/>
      <c r="AM40" s="278"/>
      <c r="AN40" s="277"/>
      <c r="AO40" s="277"/>
      <c r="AP40" s="277"/>
      <c r="AQ40" s="278"/>
      <c r="AR40" s="277"/>
      <c r="AS40" s="277"/>
      <c r="AT40" s="280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</row>
    <row r="41" s="196" customFormat="1" ht="14" spans="1:58">
      <c r="A41" s="249"/>
      <c r="B41" s="250"/>
      <c r="C41" s="193"/>
      <c r="D41" s="249"/>
      <c r="G41" s="251"/>
      <c r="H41" s="251"/>
      <c r="I41" s="274"/>
      <c r="J41" s="251"/>
      <c r="K41" s="275"/>
      <c r="L41" s="253"/>
      <c r="M41" s="276"/>
      <c r="N41" s="277"/>
      <c r="O41" s="278"/>
      <c r="P41" s="277"/>
      <c r="Q41" s="277"/>
      <c r="R41" s="277"/>
      <c r="S41" s="278"/>
      <c r="T41" s="277"/>
      <c r="U41" s="277"/>
      <c r="V41" s="277"/>
      <c r="W41" s="278"/>
      <c r="X41" s="277"/>
      <c r="Y41" s="277"/>
      <c r="Z41" s="277"/>
      <c r="AA41" s="278"/>
      <c r="AB41" s="277"/>
      <c r="AC41" s="277"/>
      <c r="AD41" s="277"/>
      <c r="AE41" s="278"/>
      <c r="AF41" s="277"/>
      <c r="AG41" s="277"/>
      <c r="AH41" s="277"/>
      <c r="AI41" s="278"/>
      <c r="AJ41" s="277"/>
      <c r="AK41" s="277"/>
      <c r="AL41" s="277"/>
      <c r="AM41" s="278"/>
      <c r="AN41" s="277"/>
      <c r="AO41" s="277"/>
      <c r="AP41" s="277"/>
      <c r="AQ41" s="278"/>
      <c r="AR41" s="277"/>
      <c r="AS41" s="277"/>
      <c r="AT41" s="280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</row>
    <row r="42" s="196" customFormat="1" ht="14" spans="1:58">
      <c r="A42" s="249"/>
      <c r="B42" s="250"/>
      <c r="C42" s="193"/>
      <c r="D42" s="249"/>
      <c r="G42" s="251"/>
      <c r="H42" s="251"/>
      <c r="I42" s="274"/>
      <c r="J42" s="251"/>
      <c r="K42" s="275"/>
      <c r="L42" s="253"/>
      <c r="M42" s="276"/>
      <c r="N42" s="277"/>
      <c r="O42" s="278"/>
      <c r="P42" s="277"/>
      <c r="Q42" s="277"/>
      <c r="R42" s="277"/>
      <c r="S42" s="278"/>
      <c r="T42" s="277"/>
      <c r="U42" s="277"/>
      <c r="V42" s="277"/>
      <c r="W42" s="278"/>
      <c r="X42" s="277"/>
      <c r="Y42" s="277"/>
      <c r="Z42" s="277"/>
      <c r="AA42" s="278"/>
      <c r="AB42" s="277"/>
      <c r="AC42" s="277"/>
      <c r="AD42" s="277"/>
      <c r="AE42" s="278"/>
      <c r="AF42" s="277"/>
      <c r="AG42" s="277"/>
      <c r="AH42" s="277"/>
      <c r="AI42" s="278"/>
      <c r="AJ42" s="277"/>
      <c r="AK42" s="277"/>
      <c r="AL42" s="277"/>
      <c r="AM42" s="278"/>
      <c r="AN42" s="277"/>
      <c r="AO42" s="277"/>
      <c r="AP42" s="277"/>
      <c r="AQ42" s="278"/>
      <c r="AR42" s="277"/>
      <c r="AS42" s="277"/>
      <c r="AT42" s="280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</row>
    <row r="43" s="196" customFormat="1" ht="14" spans="1:58">
      <c r="A43" s="249"/>
      <c r="B43" s="250"/>
      <c r="C43" s="193"/>
      <c r="D43" s="249"/>
      <c r="G43" s="251"/>
      <c r="H43" s="251"/>
      <c r="I43" s="274"/>
      <c r="J43" s="251"/>
      <c r="K43" s="275"/>
      <c r="L43" s="253"/>
      <c r="M43" s="276"/>
      <c r="N43" s="277"/>
      <c r="O43" s="278"/>
      <c r="P43" s="277"/>
      <c r="Q43" s="277"/>
      <c r="R43" s="277"/>
      <c r="S43" s="278"/>
      <c r="T43" s="277"/>
      <c r="U43" s="277"/>
      <c r="V43" s="277"/>
      <c r="W43" s="278"/>
      <c r="X43" s="277"/>
      <c r="Y43" s="277"/>
      <c r="Z43" s="277"/>
      <c r="AA43" s="278"/>
      <c r="AB43" s="277"/>
      <c r="AC43" s="277"/>
      <c r="AD43" s="277"/>
      <c r="AE43" s="278"/>
      <c r="AF43" s="277"/>
      <c r="AG43" s="277"/>
      <c r="AH43" s="277"/>
      <c r="AI43" s="278"/>
      <c r="AJ43" s="277"/>
      <c r="AK43" s="277"/>
      <c r="AL43" s="277"/>
      <c r="AM43" s="278"/>
      <c r="AN43" s="277"/>
      <c r="AO43" s="277"/>
      <c r="AP43" s="277"/>
      <c r="AQ43" s="278"/>
      <c r="AR43" s="277"/>
      <c r="AS43" s="277"/>
      <c r="AT43" s="280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</row>
    <row r="44" s="196" customFormat="1" ht="14" spans="1:58">
      <c r="A44" s="249"/>
      <c r="B44" s="250"/>
      <c r="C44" s="193"/>
      <c r="D44" s="249"/>
      <c r="G44" s="251"/>
      <c r="H44" s="251"/>
      <c r="I44" s="274"/>
      <c r="J44" s="251"/>
      <c r="K44" s="275"/>
      <c r="L44" s="253"/>
      <c r="M44" s="276"/>
      <c r="N44" s="277"/>
      <c r="O44" s="278"/>
      <c r="P44" s="277"/>
      <c r="Q44" s="277"/>
      <c r="R44" s="277"/>
      <c r="S44" s="278"/>
      <c r="T44" s="277"/>
      <c r="U44" s="277"/>
      <c r="V44" s="277"/>
      <c r="W44" s="278"/>
      <c r="X44" s="277"/>
      <c r="Y44" s="277"/>
      <c r="Z44" s="277"/>
      <c r="AA44" s="278"/>
      <c r="AB44" s="277"/>
      <c r="AC44" s="277"/>
      <c r="AD44" s="277"/>
      <c r="AE44" s="278"/>
      <c r="AF44" s="277"/>
      <c r="AG44" s="277"/>
      <c r="AH44" s="277"/>
      <c r="AI44" s="278"/>
      <c r="AJ44" s="277"/>
      <c r="AK44" s="277"/>
      <c r="AL44" s="277"/>
      <c r="AM44" s="278"/>
      <c r="AN44" s="277"/>
      <c r="AO44" s="277"/>
      <c r="AP44" s="277"/>
      <c r="AQ44" s="278"/>
      <c r="AR44" s="277"/>
      <c r="AS44" s="277"/>
      <c r="AT44" s="280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</row>
    <row r="45" s="196" customFormat="1" ht="14" spans="1:58">
      <c r="A45" s="249"/>
      <c r="B45" s="250"/>
      <c r="C45" s="193"/>
      <c r="D45" s="249"/>
      <c r="G45" s="251"/>
      <c r="H45" s="251"/>
      <c r="I45" s="274"/>
      <c r="J45" s="251"/>
      <c r="K45" s="275"/>
      <c r="L45" s="253"/>
      <c r="M45" s="276"/>
      <c r="N45" s="277"/>
      <c r="O45" s="278"/>
      <c r="P45" s="277"/>
      <c r="Q45" s="277"/>
      <c r="R45" s="277"/>
      <c r="S45" s="278"/>
      <c r="T45" s="277"/>
      <c r="U45" s="277"/>
      <c r="V45" s="277"/>
      <c r="W45" s="278"/>
      <c r="X45" s="277"/>
      <c r="Y45" s="277"/>
      <c r="Z45" s="277"/>
      <c r="AA45" s="278"/>
      <c r="AB45" s="277"/>
      <c r="AC45" s="277"/>
      <c r="AD45" s="277"/>
      <c r="AE45" s="278"/>
      <c r="AF45" s="277"/>
      <c r="AG45" s="277"/>
      <c r="AH45" s="277"/>
      <c r="AI45" s="278"/>
      <c r="AJ45" s="277"/>
      <c r="AK45" s="277"/>
      <c r="AL45" s="277"/>
      <c r="AM45" s="278"/>
      <c r="AN45" s="277"/>
      <c r="AO45" s="277"/>
      <c r="AP45" s="277"/>
      <c r="AQ45" s="278"/>
      <c r="AR45" s="277"/>
      <c r="AS45" s="277"/>
      <c r="AT45" s="280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</row>
    <row r="46" s="196" customFormat="1" ht="14" spans="1:58">
      <c r="A46" s="249"/>
      <c r="B46" s="250"/>
      <c r="C46" s="193"/>
      <c r="D46" s="249"/>
      <c r="G46" s="251"/>
      <c r="H46" s="251"/>
      <c r="I46" s="274"/>
      <c r="J46" s="251"/>
      <c r="K46" s="275"/>
      <c r="L46" s="253"/>
      <c r="M46" s="276"/>
      <c r="N46" s="277"/>
      <c r="O46" s="278"/>
      <c r="P46" s="277"/>
      <c r="Q46" s="277"/>
      <c r="R46" s="277"/>
      <c r="S46" s="278"/>
      <c r="T46" s="277"/>
      <c r="U46" s="277"/>
      <c r="V46" s="277"/>
      <c r="W46" s="278"/>
      <c r="X46" s="277"/>
      <c r="Y46" s="277"/>
      <c r="Z46" s="277"/>
      <c r="AA46" s="278"/>
      <c r="AB46" s="277"/>
      <c r="AC46" s="277"/>
      <c r="AD46" s="277"/>
      <c r="AE46" s="278"/>
      <c r="AF46" s="277"/>
      <c r="AG46" s="277"/>
      <c r="AH46" s="277"/>
      <c r="AI46" s="278"/>
      <c r="AJ46" s="277"/>
      <c r="AK46" s="277"/>
      <c r="AL46" s="277"/>
      <c r="AM46" s="278"/>
      <c r="AN46" s="277"/>
      <c r="AO46" s="277"/>
      <c r="AP46" s="277"/>
      <c r="AQ46" s="278"/>
      <c r="AR46" s="277"/>
      <c r="AS46" s="277"/>
      <c r="AT46" s="280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</row>
    <row r="47" s="196" customFormat="1" ht="14" spans="1:58">
      <c r="A47" s="249"/>
      <c r="B47" s="250"/>
      <c r="C47" s="193"/>
      <c r="D47" s="249"/>
      <c r="G47" s="251"/>
      <c r="H47" s="251"/>
      <c r="I47" s="274"/>
      <c r="J47" s="251"/>
      <c r="K47" s="275"/>
      <c r="L47" s="253"/>
      <c r="M47" s="276"/>
      <c r="N47" s="277"/>
      <c r="O47" s="278"/>
      <c r="P47" s="277"/>
      <c r="Q47" s="277"/>
      <c r="R47" s="277"/>
      <c r="S47" s="278"/>
      <c r="T47" s="277"/>
      <c r="U47" s="277"/>
      <c r="V47" s="277"/>
      <c r="W47" s="278"/>
      <c r="X47" s="277"/>
      <c r="Y47" s="277"/>
      <c r="Z47" s="277"/>
      <c r="AA47" s="278"/>
      <c r="AB47" s="277"/>
      <c r="AC47" s="277"/>
      <c r="AD47" s="277"/>
      <c r="AE47" s="278"/>
      <c r="AF47" s="277"/>
      <c r="AG47" s="277"/>
      <c r="AH47" s="277"/>
      <c r="AI47" s="278"/>
      <c r="AJ47" s="277"/>
      <c r="AK47" s="277"/>
      <c r="AL47" s="277"/>
      <c r="AM47" s="278"/>
      <c r="AN47" s="277"/>
      <c r="AO47" s="277"/>
      <c r="AP47" s="277"/>
      <c r="AQ47" s="278"/>
      <c r="AR47" s="277"/>
      <c r="AS47" s="277"/>
      <c r="AT47" s="280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</row>
    <row r="48" s="196" customFormat="1" ht="14" spans="1:58">
      <c r="A48" s="249"/>
      <c r="B48" s="250"/>
      <c r="C48" s="193"/>
      <c r="D48" s="249"/>
      <c r="G48" s="251"/>
      <c r="H48" s="251"/>
      <c r="I48" s="274"/>
      <c r="J48" s="251"/>
      <c r="K48" s="275"/>
      <c r="L48" s="253"/>
      <c r="M48" s="276"/>
      <c r="N48" s="277"/>
      <c r="O48" s="278"/>
      <c r="P48" s="277"/>
      <c r="Q48" s="277"/>
      <c r="R48" s="277"/>
      <c r="S48" s="278"/>
      <c r="T48" s="277"/>
      <c r="U48" s="277"/>
      <c r="V48" s="277"/>
      <c r="W48" s="278"/>
      <c r="X48" s="277"/>
      <c r="Y48" s="277"/>
      <c r="Z48" s="277"/>
      <c r="AA48" s="278"/>
      <c r="AB48" s="277"/>
      <c r="AC48" s="277"/>
      <c r="AD48" s="277"/>
      <c r="AE48" s="278"/>
      <c r="AF48" s="277"/>
      <c r="AG48" s="277"/>
      <c r="AH48" s="277"/>
      <c r="AI48" s="278"/>
      <c r="AJ48" s="277"/>
      <c r="AK48" s="277"/>
      <c r="AL48" s="277"/>
      <c r="AM48" s="278"/>
      <c r="AN48" s="277"/>
      <c r="AO48" s="277"/>
      <c r="AP48" s="277"/>
      <c r="AQ48" s="278"/>
      <c r="AR48" s="277"/>
      <c r="AS48" s="277"/>
      <c r="AT48" s="280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</row>
    <row r="49" s="196" customFormat="1" ht="14" spans="1:58">
      <c r="A49" s="249"/>
      <c r="B49" s="250"/>
      <c r="C49" s="193"/>
      <c r="D49" s="249"/>
      <c r="G49" s="251"/>
      <c r="H49" s="251"/>
      <c r="I49" s="274"/>
      <c r="J49" s="251"/>
      <c r="K49" s="275"/>
      <c r="L49" s="253"/>
      <c r="M49" s="276"/>
      <c r="N49" s="277"/>
      <c r="O49" s="278"/>
      <c r="P49" s="277"/>
      <c r="Q49" s="277"/>
      <c r="R49" s="277"/>
      <c r="S49" s="278"/>
      <c r="T49" s="277"/>
      <c r="U49" s="277"/>
      <c r="V49" s="277"/>
      <c r="W49" s="278"/>
      <c r="X49" s="277"/>
      <c r="Y49" s="277"/>
      <c r="Z49" s="277"/>
      <c r="AA49" s="278"/>
      <c r="AB49" s="277"/>
      <c r="AC49" s="277"/>
      <c r="AD49" s="277"/>
      <c r="AE49" s="278"/>
      <c r="AF49" s="277"/>
      <c r="AG49" s="277"/>
      <c r="AH49" s="277"/>
      <c r="AI49" s="278"/>
      <c r="AJ49" s="277"/>
      <c r="AK49" s="277"/>
      <c r="AL49" s="277"/>
      <c r="AM49" s="278"/>
      <c r="AN49" s="277"/>
      <c r="AO49" s="277"/>
      <c r="AP49" s="277"/>
      <c r="AQ49" s="278"/>
      <c r="AR49" s="277"/>
      <c r="AS49" s="277"/>
      <c r="AT49" s="280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</row>
    <row r="50" s="196" customFormat="1" ht="14" spans="1:58">
      <c r="A50" s="249"/>
      <c r="B50" s="250"/>
      <c r="C50" s="193"/>
      <c r="D50" s="249"/>
      <c r="G50" s="251"/>
      <c r="H50" s="251"/>
      <c r="I50" s="274"/>
      <c r="J50" s="251"/>
      <c r="K50" s="275"/>
      <c r="L50" s="253"/>
      <c r="M50" s="276"/>
      <c r="N50" s="277"/>
      <c r="O50" s="278"/>
      <c r="P50" s="277"/>
      <c r="Q50" s="277"/>
      <c r="R50" s="277"/>
      <c r="S50" s="278"/>
      <c r="T50" s="277"/>
      <c r="U50" s="277"/>
      <c r="V50" s="277"/>
      <c r="W50" s="278"/>
      <c r="X50" s="277"/>
      <c r="Y50" s="277"/>
      <c r="Z50" s="277"/>
      <c r="AA50" s="278"/>
      <c r="AB50" s="277"/>
      <c r="AC50" s="277"/>
      <c r="AD50" s="277"/>
      <c r="AE50" s="278"/>
      <c r="AF50" s="277"/>
      <c r="AG50" s="277"/>
      <c r="AH50" s="277"/>
      <c r="AI50" s="278"/>
      <c r="AJ50" s="277"/>
      <c r="AK50" s="277"/>
      <c r="AL50" s="277"/>
      <c r="AM50" s="278"/>
      <c r="AN50" s="277"/>
      <c r="AO50" s="277"/>
      <c r="AP50" s="277"/>
      <c r="AQ50" s="278"/>
      <c r="AR50" s="277"/>
      <c r="AS50" s="277"/>
      <c r="AT50" s="280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</row>
    <row r="51" s="196" customFormat="1" ht="14" spans="1:58">
      <c r="A51" s="249"/>
      <c r="B51" s="250"/>
      <c r="C51" s="193"/>
      <c r="D51" s="249"/>
      <c r="G51" s="251"/>
      <c r="H51" s="251"/>
      <c r="I51" s="274"/>
      <c r="J51" s="251"/>
      <c r="K51" s="275"/>
      <c r="L51" s="253"/>
      <c r="M51" s="276"/>
      <c r="N51" s="277"/>
      <c r="O51" s="278"/>
      <c r="P51" s="277"/>
      <c r="Q51" s="277"/>
      <c r="R51" s="277"/>
      <c r="S51" s="278"/>
      <c r="T51" s="277"/>
      <c r="U51" s="277"/>
      <c r="V51" s="277"/>
      <c r="W51" s="278"/>
      <c r="X51" s="277"/>
      <c r="Y51" s="277"/>
      <c r="Z51" s="277"/>
      <c r="AA51" s="278"/>
      <c r="AB51" s="277"/>
      <c r="AC51" s="277"/>
      <c r="AD51" s="277"/>
      <c r="AE51" s="278"/>
      <c r="AF51" s="277"/>
      <c r="AG51" s="277"/>
      <c r="AH51" s="277"/>
      <c r="AI51" s="278"/>
      <c r="AJ51" s="277"/>
      <c r="AK51" s="277"/>
      <c r="AL51" s="277"/>
      <c r="AM51" s="278"/>
      <c r="AN51" s="277"/>
      <c r="AO51" s="277"/>
      <c r="AP51" s="277"/>
      <c r="AQ51" s="278"/>
      <c r="AR51" s="277"/>
      <c r="AS51" s="277"/>
      <c r="AT51" s="280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</row>
    <row r="52" s="196" customFormat="1" ht="14" spans="1:58">
      <c r="A52" s="249"/>
      <c r="B52" s="250"/>
      <c r="C52" s="193"/>
      <c r="D52" s="249"/>
      <c r="G52" s="251"/>
      <c r="H52" s="251"/>
      <c r="I52" s="274"/>
      <c r="J52" s="251"/>
      <c r="K52" s="275"/>
      <c r="L52" s="253"/>
      <c r="M52" s="276"/>
      <c r="N52" s="277"/>
      <c r="O52" s="278"/>
      <c r="P52" s="277"/>
      <c r="Q52" s="277"/>
      <c r="R52" s="277"/>
      <c r="S52" s="278"/>
      <c r="T52" s="277"/>
      <c r="U52" s="277"/>
      <c r="V52" s="277"/>
      <c r="W52" s="278"/>
      <c r="X52" s="277"/>
      <c r="Y52" s="277"/>
      <c r="Z52" s="277"/>
      <c r="AA52" s="278"/>
      <c r="AB52" s="277"/>
      <c r="AC52" s="277"/>
      <c r="AD52" s="277"/>
      <c r="AE52" s="278"/>
      <c r="AF52" s="277"/>
      <c r="AG52" s="277"/>
      <c r="AH52" s="277"/>
      <c r="AI52" s="278"/>
      <c r="AJ52" s="277"/>
      <c r="AK52" s="277"/>
      <c r="AL52" s="277"/>
      <c r="AM52" s="278"/>
      <c r="AN52" s="277"/>
      <c r="AO52" s="277"/>
      <c r="AP52" s="277"/>
      <c r="AQ52" s="278"/>
      <c r="AR52" s="277"/>
      <c r="AS52" s="277"/>
      <c r="AT52" s="280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</row>
    <row r="53" s="196" customFormat="1" ht="14" spans="1:58">
      <c r="A53" s="249"/>
      <c r="B53" s="250"/>
      <c r="C53" s="193"/>
      <c r="D53" s="249"/>
      <c r="G53" s="251"/>
      <c r="H53" s="251"/>
      <c r="I53" s="274"/>
      <c r="J53" s="251"/>
      <c r="K53" s="275"/>
      <c r="L53" s="253"/>
      <c r="M53" s="276"/>
      <c r="N53" s="277"/>
      <c r="O53" s="278"/>
      <c r="P53" s="277"/>
      <c r="Q53" s="277"/>
      <c r="R53" s="277"/>
      <c r="S53" s="278"/>
      <c r="T53" s="277"/>
      <c r="U53" s="277"/>
      <c r="V53" s="277"/>
      <c r="W53" s="278"/>
      <c r="X53" s="277"/>
      <c r="Y53" s="277"/>
      <c r="Z53" s="277"/>
      <c r="AA53" s="278"/>
      <c r="AB53" s="277"/>
      <c r="AC53" s="277"/>
      <c r="AD53" s="277"/>
      <c r="AE53" s="278"/>
      <c r="AF53" s="277"/>
      <c r="AG53" s="277"/>
      <c r="AH53" s="277"/>
      <c r="AI53" s="278"/>
      <c r="AJ53" s="277"/>
      <c r="AK53" s="277"/>
      <c r="AL53" s="277"/>
      <c r="AM53" s="278"/>
      <c r="AN53" s="277"/>
      <c r="AO53" s="277"/>
      <c r="AP53" s="277"/>
      <c r="AQ53" s="278"/>
      <c r="AR53" s="277"/>
      <c r="AS53" s="277"/>
      <c r="AT53" s="280"/>
      <c r="AU53" s="276"/>
      <c r="AV53" s="276"/>
      <c r="AW53" s="276"/>
      <c r="AX53" s="276"/>
      <c r="AY53" s="276"/>
      <c r="AZ53" s="276"/>
      <c r="BA53" s="276"/>
      <c r="BB53" s="276"/>
      <c r="BC53" s="276"/>
      <c r="BD53" s="276"/>
      <c r="BE53" s="276"/>
      <c r="BF53" s="276"/>
    </row>
    <row r="54" s="196" customFormat="1" ht="14" spans="1:58">
      <c r="A54" s="249"/>
      <c r="B54" s="250"/>
      <c r="C54" s="193"/>
      <c r="D54" s="249"/>
      <c r="G54" s="251"/>
      <c r="H54" s="251"/>
      <c r="I54" s="274"/>
      <c r="J54" s="251"/>
      <c r="K54" s="275"/>
      <c r="L54" s="253"/>
      <c r="M54" s="276"/>
      <c r="N54" s="277"/>
      <c r="O54" s="278"/>
      <c r="P54" s="277"/>
      <c r="Q54" s="277"/>
      <c r="R54" s="277"/>
      <c r="S54" s="278"/>
      <c r="T54" s="277"/>
      <c r="U54" s="277"/>
      <c r="V54" s="277"/>
      <c r="W54" s="278"/>
      <c r="X54" s="277"/>
      <c r="Y54" s="277"/>
      <c r="Z54" s="277"/>
      <c r="AA54" s="278"/>
      <c r="AB54" s="277"/>
      <c r="AC54" s="277"/>
      <c r="AD54" s="277"/>
      <c r="AE54" s="278"/>
      <c r="AF54" s="277"/>
      <c r="AG54" s="277"/>
      <c r="AH54" s="277"/>
      <c r="AI54" s="278"/>
      <c r="AJ54" s="277"/>
      <c r="AK54" s="277"/>
      <c r="AL54" s="277"/>
      <c r="AM54" s="278"/>
      <c r="AN54" s="277"/>
      <c r="AO54" s="277"/>
      <c r="AP54" s="277"/>
      <c r="AQ54" s="278"/>
      <c r="AR54" s="277"/>
      <c r="AS54" s="277"/>
      <c r="AT54" s="280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</row>
    <row r="55" s="196" customFormat="1" ht="14" spans="1:58">
      <c r="A55" s="249"/>
      <c r="B55" s="250"/>
      <c r="C55" s="193"/>
      <c r="D55" s="249"/>
      <c r="G55" s="251"/>
      <c r="H55" s="251"/>
      <c r="I55" s="274"/>
      <c r="J55" s="251"/>
      <c r="K55" s="275"/>
      <c r="L55" s="253"/>
      <c r="M55" s="276"/>
      <c r="N55" s="277"/>
      <c r="O55" s="278"/>
      <c r="P55" s="277"/>
      <c r="Q55" s="277"/>
      <c r="R55" s="277"/>
      <c r="S55" s="278"/>
      <c r="T55" s="277"/>
      <c r="U55" s="277"/>
      <c r="V55" s="277"/>
      <c r="W55" s="278"/>
      <c r="X55" s="277"/>
      <c r="Y55" s="277"/>
      <c r="Z55" s="277"/>
      <c r="AA55" s="278"/>
      <c r="AB55" s="277"/>
      <c r="AC55" s="277"/>
      <c r="AD55" s="277"/>
      <c r="AE55" s="278"/>
      <c r="AF55" s="277"/>
      <c r="AG55" s="277"/>
      <c r="AH55" s="277"/>
      <c r="AI55" s="278"/>
      <c r="AJ55" s="277"/>
      <c r="AK55" s="277"/>
      <c r="AL55" s="277"/>
      <c r="AM55" s="278"/>
      <c r="AN55" s="277"/>
      <c r="AO55" s="277"/>
      <c r="AP55" s="277"/>
      <c r="AQ55" s="278"/>
      <c r="AR55" s="277"/>
      <c r="AS55" s="277"/>
      <c r="AT55" s="280"/>
      <c r="AU55" s="276"/>
      <c r="AV55" s="276"/>
      <c r="AW55" s="276"/>
      <c r="AX55" s="276"/>
      <c r="AY55" s="276"/>
      <c r="AZ55" s="276"/>
      <c r="BA55" s="276"/>
      <c r="BB55" s="276"/>
      <c r="BC55" s="276"/>
      <c r="BD55" s="276"/>
      <c r="BE55" s="276"/>
      <c r="BF55" s="276"/>
    </row>
    <row r="56" s="196" customFormat="1" ht="14" spans="1:58">
      <c r="A56" s="249"/>
      <c r="B56" s="250"/>
      <c r="C56" s="193"/>
      <c r="D56" s="249"/>
      <c r="G56" s="251"/>
      <c r="H56" s="251"/>
      <c r="I56" s="274"/>
      <c r="J56" s="251"/>
      <c r="K56" s="275"/>
      <c r="L56" s="253"/>
      <c r="M56" s="276"/>
      <c r="N56" s="277"/>
      <c r="O56" s="278"/>
      <c r="P56" s="277"/>
      <c r="Q56" s="277"/>
      <c r="R56" s="277"/>
      <c r="S56" s="278"/>
      <c r="T56" s="277"/>
      <c r="U56" s="277"/>
      <c r="V56" s="277"/>
      <c r="W56" s="278"/>
      <c r="X56" s="277"/>
      <c r="Y56" s="277"/>
      <c r="Z56" s="277"/>
      <c r="AA56" s="278"/>
      <c r="AB56" s="277"/>
      <c r="AC56" s="277"/>
      <c r="AD56" s="277"/>
      <c r="AE56" s="278"/>
      <c r="AF56" s="277"/>
      <c r="AG56" s="277"/>
      <c r="AH56" s="277"/>
      <c r="AI56" s="278"/>
      <c r="AJ56" s="277"/>
      <c r="AK56" s="277"/>
      <c r="AL56" s="277"/>
      <c r="AM56" s="278"/>
      <c r="AN56" s="277"/>
      <c r="AO56" s="277"/>
      <c r="AP56" s="277"/>
      <c r="AQ56" s="278"/>
      <c r="AR56" s="277"/>
      <c r="AS56" s="277"/>
      <c r="AT56" s="280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</row>
    <row r="57" s="196" customFormat="1" ht="14" spans="1:58">
      <c r="A57" s="249"/>
      <c r="B57" s="250"/>
      <c r="C57" s="193"/>
      <c r="D57" s="249"/>
      <c r="G57" s="251"/>
      <c r="H57" s="251"/>
      <c r="I57" s="274"/>
      <c r="J57" s="251"/>
      <c r="K57" s="275"/>
      <c r="L57" s="253"/>
      <c r="M57" s="276"/>
      <c r="N57" s="277"/>
      <c r="O57" s="278"/>
      <c r="P57" s="277"/>
      <c r="Q57" s="277"/>
      <c r="R57" s="277"/>
      <c r="S57" s="278"/>
      <c r="T57" s="277"/>
      <c r="U57" s="277"/>
      <c r="V57" s="277"/>
      <c r="W57" s="278"/>
      <c r="X57" s="277"/>
      <c r="Y57" s="277"/>
      <c r="Z57" s="277"/>
      <c r="AA57" s="278"/>
      <c r="AB57" s="277"/>
      <c r="AC57" s="277"/>
      <c r="AD57" s="277"/>
      <c r="AE57" s="278"/>
      <c r="AF57" s="277"/>
      <c r="AG57" s="277"/>
      <c r="AH57" s="277"/>
      <c r="AI57" s="278"/>
      <c r="AJ57" s="277"/>
      <c r="AK57" s="277"/>
      <c r="AL57" s="277"/>
      <c r="AM57" s="278"/>
      <c r="AN57" s="277"/>
      <c r="AO57" s="277"/>
      <c r="AP57" s="277"/>
      <c r="AQ57" s="278"/>
      <c r="AR57" s="277"/>
      <c r="AS57" s="277"/>
      <c r="AT57" s="280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</row>
    <row r="58" s="196" customFormat="1" ht="14" spans="1:58">
      <c r="A58" s="249"/>
      <c r="B58" s="250"/>
      <c r="C58" s="193"/>
      <c r="D58" s="249"/>
      <c r="G58" s="251"/>
      <c r="H58" s="251"/>
      <c r="I58" s="274"/>
      <c r="J58" s="251"/>
      <c r="K58" s="275"/>
      <c r="L58" s="253"/>
      <c r="M58" s="276"/>
      <c r="N58" s="277"/>
      <c r="O58" s="278"/>
      <c r="P58" s="277"/>
      <c r="Q58" s="277"/>
      <c r="R58" s="277"/>
      <c r="S58" s="278"/>
      <c r="T58" s="277"/>
      <c r="U58" s="277"/>
      <c r="V58" s="277"/>
      <c r="W58" s="278"/>
      <c r="X58" s="277"/>
      <c r="Y58" s="277"/>
      <c r="Z58" s="277"/>
      <c r="AA58" s="278"/>
      <c r="AB58" s="277"/>
      <c r="AC58" s="277"/>
      <c r="AD58" s="277"/>
      <c r="AE58" s="278"/>
      <c r="AF58" s="277"/>
      <c r="AG58" s="277"/>
      <c r="AH58" s="277"/>
      <c r="AI58" s="278"/>
      <c r="AJ58" s="277"/>
      <c r="AK58" s="277"/>
      <c r="AL58" s="277"/>
      <c r="AM58" s="278"/>
      <c r="AN58" s="277"/>
      <c r="AO58" s="277"/>
      <c r="AP58" s="277"/>
      <c r="AQ58" s="278"/>
      <c r="AR58" s="277"/>
      <c r="AS58" s="277"/>
      <c r="AT58" s="280"/>
      <c r="AU58" s="276"/>
      <c r="AV58" s="276"/>
      <c r="AW58" s="276"/>
      <c r="AX58" s="276"/>
      <c r="AY58" s="276"/>
      <c r="AZ58" s="276"/>
      <c r="BA58" s="276"/>
      <c r="BB58" s="276"/>
      <c r="BC58" s="276"/>
      <c r="BD58" s="276"/>
      <c r="BE58" s="276"/>
      <c r="BF58" s="276"/>
    </row>
    <row r="59" s="196" customFormat="1" ht="14" spans="1:58">
      <c r="A59" s="249"/>
      <c r="B59" s="250"/>
      <c r="C59" s="193"/>
      <c r="D59" s="249"/>
      <c r="G59" s="251"/>
      <c r="H59" s="251"/>
      <c r="I59" s="274"/>
      <c r="J59" s="251"/>
      <c r="K59" s="275"/>
      <c r="L59" s="253"/>
      <c r="M59" s="276"/>
      <c r="N59" s="277"/>
      <c r="O59" s="278"/>
      <c r="P59" s="277"/>
      <c r="Q59" s="277"/>
      <c r="R59" s="277"/>
      <c r="S59" s="278"/>
      <c r="T59" s="277"/>
      <c r="U59" s="277"/>
      <c r="V59" s="277"/>
      <c r="W59" s="278"/>
      <c r="X59" s="277"/>
      <c r="Y59" s="277"/>
      <c r="Z59" s="277"/>
      <c r="AA59" s="278"/>
      <c r="AB59" s="277"/>
      <c r="AC59" s="277"/>
      <c r="AD59" s="277"/>
      <c r="AE59" s="278"/>
      <c r="AF59" s="277"/>
      <c r="AG59" s="277"/>
      <c r="AH59" s="277"/>
      <c r="AI59" s="278"/>
      <c r="AJ59" s="277"/>
      <c r="AK59" s="277"/>
      <c r="AL59" s="277"/>
      <c r="AM59" s="278"/>
      <c r="AN59" s="277"/>
      <c r="AO59" s="277"/>
      <c r="AP59" s="277"/>
      <c r="AQ59" s="278"/>
      <c r="AR59" s="277"/>
      <c r="AS59" s="277"/>
      <c r="AT59" s="280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276"/>
    </row>
    <row r="60" s="196" customFormat="1" ht="14" spans="1:58">
      <c r="A60" s="249"/>
      <c r="B60" s="250"/>
      <c r="C60" s="193"/>
      <c r="D60" s="249"/>
      <c r="G60" s="251"/>
      <c r="H60" s="251"/>
      <c r="I60" s="274"/>
      <c r="J60" s="251"/>
      <c r="K60" s="275"/>
      <c r="L60" s="253"/>
      <c r="M60" s="276"/>
      <c r="N60" s="277"/>
      <c r="O60" s="278"/>
      <c r="P60" s="277"/>
      <c r="Q60" s="277"/>
      <c r="R60" s="277"/>
      <c r="S60" s="278"/>
      <c r="T60" s="277"/>
      <c r="U60" s="277"/>
      <c r="V60" s="277"/>
      <c r="W60" s="278"/>
      <c r="X60" s="277"/>
      <c r="Y60" s="277"/>
      <c r="Z60" s="277"/>
      <c r="AA60" s="278"/>
      <c r="AB60" s="277"/>
      <c r="AC60" s="277"/>
      <c r="AD60" s="277"/>
      <c r="AE60" s="278"/>
      <c r="AF60" s="277"/>
      <c r="AG60" s="277"/>
      <c r="AH60" s="277"/>
      <c r="AI60" s="278"/>
      <c r="AJ60" s="277"/>
      <c r="AK60" s="277"/>
      <c r="AL60" s="277"/>
      <c r="AM60" s="278"/>
      <c r="AN60" s="277"/>
      <c r="AO60" s="277"/>
      <c r="AP60" s="277"/>
      <c r="AQ60" s="278"/>
      <c r="AR60" s="277"/>
      <c r="AS60" s="277"/>
      <c r="AT60" s="280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</row>
    <row r="61" s="196" customFormat="1" ht="14" spans="1:58">
      <c r="A61" s="249"/>
      <c r="B61" s="250"/>
      <c r="C61" s="193"/>
      <c r="D61" s="249"/>
      <c r="G61" s="251"/>
      <c r="H61" s="251"/>
      <c r="I61" s="274"/>
      <c r="J61" s="251"/>
      <c r="K61" s="275"/>
      <c r="L61" s="253"/>
      <c r="M61" s="276"/>
      <c r="N61" s="277"/>
      <c r="O61" s="278"/>
      <c r="P61" s="277"/>
      <c r="Q61" s="277"/>
      <c r="R61" s="277"/>
      <c r="S61" s="278"/>
      <c r="T61" s="277"/>
      <c r="U61" s="277"/>
      <c r="V61" s="277"/>
      <c r="W61" s="278"/>
      <c r="X61" s="277"/>
      <c r="Y61" s="277"/>
      <c r="Z61" s="277"/>
      <c r="AA61" s="278"/>
      <c r="AB61" s="277"/>
      <c r="AC61" s="277"/>
      <c r="AD61" s="277"/>
      <c r="AE61" s="278"/>
      <c r="AF61" s="277"/>
      <c r="AG61" s="277"/>
      <c r="AH61" s="277"/>
      <c r="AI61" s="278"/>
      <c r="AJ61" s="277"/>
      <c r="AK61" s="277"/>
      <c r="AL61" s="277"/>
      <c r="AM61" s="278"/>
      <c r="AN61" s="277"/>
      <c r="AO61" s="277"/>
      <c r="AP61" s="277"/>
      <c r="AQ61" s="278"/>
      <c r="AR61" s="277"/>
      <c r="AS61" s="277"/>
      <c r="AT61" s="280"/>
      <c r="AU61" s="276"/>
      <c r="AV61" s="276"/>
      <c r="AW61" s="276"/>
      <c r="AX61" s="276"/>
      <c r="AY61" s="276"/>
      <c r="AZ61" s="276"/>
      <c r="BA61" s="276"/>
      <c r="BB61" s="276"/>
      <c r="BC61" s="276"/>
      <c r="BD61" s="276"/>
      <c r="BE61" s="276"/>
      <c r="BF61" s="276"/>
    </row>
    <row r="62" s="196" customFormat="1" ht="14" spans="1:58">
      <c r="A62" s="249"/>
      <c r="B62" s="250"/>
      <c r="C62" s="193"/>
      <c r="D62" s="249"/>
      <c r="G62" s="251"/>
      <c r="H62" s="251"/>
      <c r="I62" s="274"/>
      <c r="J62" s="251"/>
      <c r="K62" s="275"/>
      <c r="L62" s="253"/>
      <c r="M62" s="276"/>
      <c r="N62" s="277"/>
      <c r="O62" s="278"/>
      <c r="P62" s="277"/>
      <c r="Q62" s="277"/>
      <c r="R62" s="277"/>
      <c r="S62" s="278"/>
      <c r="T62" s="277"/>
      <c r="U62" s="277"/>
      <c r="V62" s="277"/>
      <c r="W62" s="278"/>
      <c r="X62" s="277"/>
      <c r="Y62" s="277"/>
      <c r="Z62" s="277"/>
      <c r="AA62" s="278"/>
      <c r="AB62" s="277"/>
      <c r="AC62" s="277"/>
      <c r="AD62" s="277"/>
      <c r="AE62" s="278"/>
      <c r="AF62" s="277"/>
      <c r="AG62" s="277"/>
      <c r="AH62" s="277"/>
      <c r="AI62" s="278"/>
      <c r="AJ62" s="277"/>
      <c r="AK62" s="277"/>
      <c r="AL62" s="277"/>
      <c r="AM62" s="278"/>
      <c r="AN62" s="277"/>
      <c r="AO62" s="277"/>
      <c r="AP62" s="277"/>
      <c r="AQ62" s="278"/>
      <c r="AR62" s="277"/>
      <c r="AS62" s="277"/>
      <c r="AT62" s="280"/>
      <c r="AU62" s="276"/>
      <c r="AV62" s="276"/>
      <c r="AW62" s="276"/>
      <c r="AX62" s="276"/>
      <c r="AY62" s="276"/>
      <c r="AZ62" s="276"/>
      <c r="BA62" s="276"/>
      <c r="BB62" s="276"/>
      <c r="BC62" s="276"/>
      <c r="BD62" s="276"/>
      <c r="BE62" s="276"/>
      <c r="BF62" s="276"/>
    </row>
    <row r="63" s="196" customFormat="1" ht="14" spans="1:58">
      <c r="A63" s="249"/>
      <c r="B63" s="250"/>
      <c r="C63" s="193"/>
      <c r="D63" s="249"/>
      <c r="G63" s="251"/>
      <c r="H63" s="251"/>
      <c r="I63" s="274"/>
      <c r="J63" s="251"/>
      <c r="K63" s="275"/>
      <c r="L63" s="253"/>
      <c r="M63" s="276"/>
      <c r="N63" s="277"/>
      <c r="O63" s="278"/>
      <c r="P63" s="277"/>
      <c r="Q63" s="277"/>
      <c r="R63" s="277"/>
      <c r="S63" s="278"/>
      <c r="T63" s="277"/>
      <c r="U63" s="277"/>
      <c r="V63" s="277"/>
      <c r="W63" s="278"/>
      <c r="X63" s="277"/>
      <c r="Y63" s="277"/>
      <c r="Z63" s="277"/>
      <c r="AA63" s="278"/>
      <c r="AB63" s="277"/>
      <c r="AC63" s="277"/>
      <c r="AD63" s="277"/>
      <c r="AE63" s="278"/>
      <c r="AF63" s="277"/>
      <c r="AG63" s="277"/>
      <c r="AH63" s="277"/>
      <c r="AI63" s="278"/>
      <c r="AJ63" s="277"/>
      <c r="AK63" s="277"/>
      <c r="AL63" s="277"/>
      <c r="AM63" s="278"/>
      <c r="AN63" s="277"/>
      <c r="AO63" s="277"/>
      <c r="AP63" s="277"/>
      <c r="AQ63" s="278"/>
      <c r="AR63" s="277"/>
      <c r="AS63" s="277"/>
      <c r="AT63" s="280"/>
      <c r="AU63" s="276"/>
      <c r="AV63" s="276"/>
      <c r="AW63" s="276"/>
      <c r="AX63" s="276"/>
      <c r="AY63" s="276"/>
      <c r="AZ63" s="276"/>
      <c r="BA63" s="276"/>
      <c r="BB63" s="276"/>
      <c r="BC63" s="276"/>
      <c r="BD63" s="276"/>
      <c r="BE63" s="276"/>
      <c r="BF63" s="276"/>
    </row>
    <row r="64" s="196" customFormat="1" ht="14" spans="1:58">
      <c r="A64" s="249"/>
      <c r="B64" s="250"/>
      <c r="C64" s="193"/>
      <c r="D64" s="249"/>
      <c r="G64" s="251"/>
      <c r="H64" s="251"/>
      <c r="I64" s="274"/>
      <c r="J64" s="251"/>
      <c r="K64" s="275"/>
      <c r="L64" s="253"/>
      <c r="M64" s="276"/>
      <c r="N64" s="277"/>
      <c r="O64" s="278"/>
      <c r="P64" s="277"/>
      <c r="Q64" s="277"/>
      <c r="R64" s="277"/>
      <c r="S64" s="278"/>
      <c r="T64" s="277"/>
      <c r="U64" s="277"/>
      <c r="V64" s="277"/>
      <c r="W64" s="278"/>
      <c r="X64" s="277"/>
      <c r="Y64" s="277"/>
      <c r="Z64" s="277"/>
      <c r="AA64" s="278"/>
      <c r="AB64" s="277"/>
      <c r="AC64" s="277"/>
      <c r="AD64" s="277"/>
      <c r="AE64" s="278"/>
      <c r="AF64" s="277"/>
      <c r="AG64" s="277"/>
      <c r="AH64" s="277"/>
      <c r="AI64" s="278"/>
      <c r="AJ64" s="277"/>
      <c r="AK64" s="277"/>
      <c r="AL64" s="277"/>
      <c r="AM64" s="278"/>
      <c r="AN64" s="277"/>
      <c r="AO64" s="277"/>
      <c r="AP64" s="277"/>
      <c r="AQ64" s="278"/>
      <c r="AR64" s="277"/>
      <c r="AS64" s="277"/>
      <c r="AT64" s="280"/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</row>
    <row r="65" s="196" customFormat="1" ht="14" spans="1:58">
      <c r="A65" s="249"/>
      <c r="B65" s="250"/>
      <c r="C65" s="193"/>
      <c r="D65" s="249"/>
      <c r="G65" s="251"/>
      <c r="H65" s="251"/>
      <c r="I65" s="274"/>
      <c r="J65" s="251"/>
      <c r="K65" s="275"/>
      <c r="L65" s="253"/>
      <c r="M65" s="276"/>
      <c r="N65" s="277"/>
      <c r="O65" s="278"/>
      <c r="P65" s="277"/>
      <c r="Q65" s="277"/>
      <c r="R65" s="277"/>
      <c r="S65" s="278"/>
      <c r="T65" s="277"/>
      <c r="U65" s="277"/>
      <c r="V65" s="277"/>
      <c r="W65" s="278"/>
      <c r="X65" s="277"/>
      <c r="Y65" s="277"/>
      <c r="Z65" s="277"/>
      <c r="AA65" s="278"/>
      <c r="AB65" s="277"/>
      <c r="AC65" s="277"/>
      <c r="AD65" s="277"/>
      <c r="AE65" s="278"/>
      <c r="AF65" s="277"/>
      <c r="AG65" s="277"/>
      <c r="AH65" s="277"/>
      <c r="AI65" s="278"/>
      <c r="AJ65" s="277"/>
      <c r="AK65" s="277"/>
      <c r="AL65" s="277"/>
      <c r="AM65" s="278"/>
      <c r="AN65" s="277"/>
      <c r="AO65" s="277"/>
      <c r="AP65" s="277"/>
      <c r="AQ65" s="278"/>
      <c r="AR65" s="277"/>
      <c r="AS65" s="277"/>
      <c r="AT65" s="280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</row>
    <row r="66" s="196" customFormat="1" ht="14" spans="1:58">
      <c r="A66" s="249"/>
      <c r="B66" s="250"/>
      <c r="C66" s="193"/>
      <c r="D66" s="249"/>
      <c r="G66" s="251"/>
      <c r="H66" s="251"/>
      <c r="I66" s="274"/>
      <c r="J66" s="251"/>
      <c r="K66" s="275"/>
      <c r="L66" s="253"/>
      <c r="M66" s="276"/>
      <c r="N66" s="277"/>
      <c r="O66" s="278"/>
      <c r="P66" s="277"/>
      <c r="Q66" s="277"/>
      <c r="R66" s="277"/>
      <c r="S66" s="278"/>
      <c r="T66" s="277"/>
      <c r="U66" s="277"/>
      <c r="V66" s="277"/>
      <c r="W66" s="278"/>
      <c r="X66" s="277"/>
      <c r="Y66" s="277"/>
      <c r="Z66" s="277"/>
      <c r="AA66" s="278"/>
      <c r="AB66" s="277"/>
      <c r="AC66" s="277"/>
      <c r="AD66" s="277"/>
      <c r="AE66" s="278"/>
      <c r="AF66" s="277"/>
      <c r="AG66" s="277"/>
      <c r="AH66" s="277"/>
      <c r="AI66" s="278"/>
      <c r="AJ66" s="277"/>
      <c r="AK66" s="277"/>
      <c r="AL66" s="277"/>
      <c r="AM66" s="278"/>
      <c r="AN66" s="277"/>
      <c r="AO66" s="277"/>
      <c r="AP66" s="277"/>
      <c r="AQ66" s="278"/>
      <c r="AR66" s="277"/>
      <c r="AS66" s="277"/>
      <c r="AT66" s="280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</row>
    <row r="67" s="196" customFormat="1" ht="14" spans="1:58">
      <c r="A67" s="249"/>
      <c r="B67" s="250"/>
      <c r="C67" s="193"/>
      <c r="D67" s="249"/>
      <c r="G67" s="251"/>
      <c r="H67" s="251"/>
      <c r="I67" s="274"/>
      <c r="J67" s="251"/>
      <c r="K67" s="275"/>
      <c r="L67" s="253"/>
      <c r="M67" s="276"/>
      <c r="N67" s="277"/>
      <c r="O67" s="278"/>
      <c r="P67" s="277"/>
      <c r="Q67" s="277"/>
      <c r="R67" s="277"/>
      <c r="S67" s="278"/>
      <c r="T67" s="277"/>
      <c r="U67" s="277"/>
      <c r="V67" s="277"/>
      <c r="W67" s="278"/>
      <c r="X67" s="277"/>
      <c r="Y67" s="277"/>
      <c r="Z67" s="277"/>
      <c r="AA67" s="278"/>
      <c r="AB67" s="277"/>
      <c r="AC67" s="277"/>
      <c r="AD67" s="277"/>
      <c r="AE67" s="278"/>
      <c r="AF67" s="277"/>
      <c r="AG67" s="277"/>
      <c r="AH67" s="277"/>
      <c r="AI67" s="278"/>
      <c r="AJ67" s="277"/>
      <c r="AK67" s="277"/>
      <c r="AL67" s="277"/>
      <c r="AM67" s="278"/>
      <c r="AN67" s="277"/>
      <c r="AO67" s="277"/>
      <c r="AP67" s="277"/>
      <c r="AQ67" s="278"/>
      <c r="AR67" s="277"/>
      <c r="AS67" s="277"/>
      <c r="AT67" s="280"/>
      <c r="AU67" s="276"/>
      <c r="AV67" s="276"/>
      <c r="AW67" s="276"/>
      <c r="AX67" s="276"/>
      <c r="AY67" s="276"/>
      <c r="AZ67" s="276"/>
      <c r="BA67" s="276"/>
      <c r="BB67" s="276"/>
      <c r="BC67" s="276"/>
      <c r="BD67" s="276"/>
      <c r="BE67" s="276"/>
      <c r="BF67" s="276"/>
    </row>
    <row r="68" s="196" customFormat="1" ht="14" spans="1:58">
      <c r="A68" s="249"/>
      <c r="B68" s="250"/>
      <c r="C68" s="193"/>
      <c r="D68" s="249"/>
      <c r="G68" s="251"/>
      <c r="H68" s="251"/>
      <c r="I68" s="274"/>
      <c r="J68" s="251"/>
      <c r="K68" s="275"/>
      <c r="L68" s="253"/>
      <c r="M68" s="276"/>
      <c r="N68" s="277"/>
      <c r="O68" s="278"/>
      <c r="P68" s="277"/>
      <c r="Q68" s="277"/>
      <c r="R68" s="277"/>
      <c r="S68" s="278"/>
      <c r="T68" s="277"/>
      <c r="U68" s="277"/>
      <c r="V68" s="277"/>
      <c r="W68" s="278"/>
      <c r="X68" s="277"/>
      <c r="Y68" s="277"/>
      <c r="Z68" s="277"/>
      <c r="AA68" s="278"/>
      <c r="AB68" s="277"/>
      <c r="AC68" s="277"/>
      <c r="AD68" s="277"/>
      <c r="AE68" s="278"/>
      <c r="AF68" s="277"/>
      <c r="AG68" s="277"/>
      <c r="AH68" s="277"/>
      <c r="AI68" s="278"/>
      <c r="AJ68" s="277"/>
      <c r="AK68" s="277"/>
      <c r="AL68" s="277"/>
      <c r="AM68" s="278"/>
      <c r="AN68" s="277"/>
      <c r="AO68" s="277"/>
      <c r="AP68" s="277"/>
      <c r="AQ68" s="278"/>
      <c r="AR68" s="277"/>
      <c r="AS68" s="277"/>
      <c r="AT68" s="280"/>
      <c r="AU68" s="276"/>
      <c r="AV68" s="276"/>
      <c r="AW68" s="276"/>
      <c r="AX68" s="276"/>
      <c r="AY68" s="276"/>
      <c r="AZ68" s="276"/>
      <c r="BA68" s="276"/>
      <c r="BB68" s="276"/>
      <c r="BC68" s="276"/>
      <c r="BD68" s="276"/>
      <c r="BE68" s="276"/>
      <c r="BF68" s="276"/>
    </row>
    <row r="69" s="196" customFormat="1" ht="14" spans="1:58">
      <c r="A69" s="249"/>
      <c r="B69" s="250"/>
      <c r="C69" s="193"/>
      <c r="D69" s="249"/>
      <c r="G69" s="251"/>
      <c r="H69" s="251"/>
      <c r="I69" s="274"/>
      <c r="J69" s="251"/>
      <c r="K69" s="275"/>
      <c r="L69" s="253"/>
      <c r="M69" s="276"/>
      <c r="N69" s="277"/>
      <c r="O69" s="278"/>
      <c r="P69" s="277"/>
      <c r="Q69" s="277"/>
      <c r="R69" s="277"/>
      <c r="S69" s="278"/>
      <c r="T69" s="277"/>
      <c r="U69" s="277"/>
      <c r="V69" s="277"/>
      <c r="W69" s="278"/>
      <c r="X69" s="277"/>
      <c r="Y69" s="277"/>
      <c r="Z69" s="277"/>
      <c r="AA69" s="278"/>
      <c r="AB69" s="277"/>
      <c r="AC69" s="277"/>
      <c r="AD69" s="277"/>
      <c r="AE69" s="278"/>
      <c r="AF69" s="277"/>
      <c r="AG69" s="277"/>
      <c r="AH69" s="277"/>
      <c r="AI69" s="278"/>
      <c r="AJ69" s="277"/>
      <c r="AK69" s="277"/>
      <c r="AL69" s="277"/>
      <c r="AM69" s="278"/>
      <c r="AN69" s="277"/>
      <c r="AO69" s="277"/>
      <c r="AP69" s="277"/>
      <c r="AQ69" s="278"/>
      <c r="AR69" s="277"/>
      <c r="AS69" s="277"/>
      <c r="AT69" s="280"/>
      <c r="AU69" s="276"/>
      <c r="AV69" s="276"/>
      <c r="AW69" s="276"/>
      <c r="AX69" s="276"/>
      <c r="AY69" s="276"/>
      <c r="AZ69" s="276"/>
      <c r="BA69" s="276"/>
      <c r="BB69" s="276"/>
      <c r="BC69" s="276"/>
      <c r="BD69" s="276"/>
      <c r="BE69" s="276"/>
      <c r="BF69" s="276"/>
    </row>
    <row r="70" s="196" customFormat="1" ht="14" spans="1:58">
      <c r="A70" s="249"/>
      <c r="B70" s="250"/>
      <c r="C70" s="193"/>
      <c r="D70" s="249"/>
      <c r="G70" s="251"/>
      <c r="H70" s="251"/>
      <c r="I70" s="274"/>
      <c r="J70" s="251"/>
      <c r="K70" s="275"/>
      <c r="L70" s="253"/>
      <c r="M70" s="276"/>
      <c r="N70" s="277"/>
      <c r="O70" s="278"/>
      <c r="P70" s="277"/>
      <c r="Q70" s="277"/>
      <c r="R70" s="277"/>
      <c r="S70" s="278"/>
      <c r="T70" s="277"/>
      <c r="U70" s="277"/>
      <c r="V70" s="277"/>
      <c r="W70" s="278"/>
      <c r="X70" s="277"/>
      <c r="Y70" s="277"/>
      <c r="Z70" s="277"/>
      <c r="AA70" s="278"/>
      <c r="AB70" s="277"/>
      <c r="AC70" s="277"/>
      <c r="AD70" s="277"/>
      <c r="AE70" s="278"/>
      <c r="AF70" s="277"/>
      <c r="AG70" s="277"/>
      <c r="AH70" s="277"/>
      <c r="AI70" s="278"/>
      <c r="AJ70" s="277"/>
      <c r="AK70" s="277"/>
      <c r="AL70" s="277"/>
      <c r="AM70" s="278"/>
      <c r="AN70" s="277"/>
      <c r="AO70" s="277"/>
      <c r="AP70" s="277"/>
      <c r="AQ70" s="278"/>
      <c r="AR70" s="277"/>
      <c r="AS70" s="277"/>
      <c r="AT70" s="280"/>
      <c r="AU70" s="276"/>
      <c r="AV70" s="276"/>
      <c r="AW70" s="276"/>
      <c r="AX70" s="276"/>
      <c r="AY70" s="276"/>
      <c r="AZ70" s="276"/>
      <c r="BA70" s="276"/>
      <c r="BB70" s="276"/>
      <c r="BC70" s="276"/>
      <c r="BD70" s="276"/>
      <c r="BE70" s="276"/>
      <c r="BF70" s="276"/>
    </row>
    <row r="71" s="196" customFormat="1" ht="14" spans="1:58">
      <c r="A71" s="249"/>
      <c r="B71" s="250"/>
      <c r="C71" s="193"/>
      <c r="D71" s="249"/>
      <c r="G71" s="251"/>
      <c r="H71" s="251"/>
      <c r="I71" s="274"/>
      <c r="J71" s="251"/>
      <c r="K71" s="275"/>
      <c r="L71" s="253"/>
      <c r="M71" s="276"/>
      <c r="N71" s="277"/>
      <c r="O71" s="278"/>
      <c r="P71" s="277"/>
      <c r="Q71" s="277"/>
      <c r="R71" s="277"/>
      <c r="S71" s="278"/>
      <c r="T71" s="277"/>
      <c r="U71" s="277"/>
      <c r="V71" s="277"/>
      <c r="W71" s="278"/>
      <c r="X71" s="277"/>
      <c r="Y71" s="277"/>
      <c r="Z71" s="277"/>
      <c r="AA71" s="278"/>
      <c r="AB71" s="277"/>
      <c r="AC71" s="277"/>
      <c r="AD71" s="277"/>
      <c r="AE71" s="278"/>
      <c r="AF71" s="277"/>
      <c r="AG71" s="277"/>
      <c r="AH71" s="277"/>
      <c r="AI71" s="278"/>
      <c r="AJ71" s="277"/>
      <c r="AK71" s="277"/>
      <c r="AL71" s="277"/>
      <c r="AM71" s="278"/>
      <c r="AN71" s="277"/>
      <c r="AO71" s="277"/>
      <c r="AP71" s="277"/>
      <c r="AQ71" s="278"/>
      <c r="AR71" s="277"/>
      <c r="AS71" s="277"/>
      <c r="AT71" s="280"/>
      <c r="AU71" s="276"/>
      <c r="AV71" s="276"/>
      <c r="AW71" s="276"/>
      <c r="AX71" s="276"/>
      <c r="AY71" s="276"/>
      <c r="AZ71" s="276"/>
      <c r="BA71" s="276"/>
      <c r="BB71" s="276"/>
      <c r="BC71" s="276"/>
      <c r="BD71" s="276"/>
      <c r="BE71" s="276"/>
      <c r="BF71" s="276"/>
    </row>
    <row r="72" s="196" customFormat="1" ht="14" spans="1:58">
      <c r="A72" s="249"/>
      <c r="B72" s="250"/>
      <c r="C72" s="193"/>
      <c r="D72" s="249"/>
      <c r="G72" s="251"/>
      <c r="H72" s="251"/>
      <c r="I72" s="274"/>
      <c r="J72" s="251"/>
      <c r="K72" s="275"/>
      <c r="L72" s="253"/>
      <c r="M72" s="276"/>
      <c r="N72" s="277"/>
      <c r="O72" s="278"/>
      <c r="P72" s="277"/>
      <c r="Q72" s="277"/>
      <c r="R72" s="277"/>
      <c r="S72" s="278"/>
      <c r="T72" s="277"/>
      <c r="U72" s="277"/>
      <c r="V72" s="277"/>
      <c r="W72" s="278"/>
      <c r="X72" s="277"/>
      <c r="Y72" s="277"/>
      <c r="Z72" s="277"/>
      <c r="AA72" s="278"/>
      <c r="AB72" s="277"/>
      <c r="AC72" s="277"/>
      <c r="AD72" s="277"/>
      <c r="AE72" s="278"/>
      <c r="AF72" s="277"/>
      <c r="AG72" s="277"/>
      <c r="AH72" s="277"/>
      <c r="AI72" s="278"/>
      <c r="AJ72" s="277"/>
      <c r="AK72" s="277"/>
      <c r="AL72" s="277"/>
      <c r="AM72" s="278"/>
      <c r="AN72" s="277"/>
      <c r="AO72" s="277"/>
      <c r="AP72" s="277"/>
      <c r="AQ72" s="278"/>
      <c r="AR72" s="277"/>
      <c r="AS72" s="277"/>
      <c r="AT72" s="280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6"/>
      <c r="BF72" s="276"/>
    </row>
    <row r="73" s="196" customFormat="1" ht="14" spans="1:58">
      <c r="A73" s="249"/>
      <c r="B73" s="250"/>
      <c r="C73" s="193"/>
      <c r="D73" s="249"/>
      <c r="G73" s="251"/>
      <c r="H73" s="251"/>
      <c r="I73" s="274"/>
      <c r="J73" s="251"/>
      <c r="K73" s="275"/>
      <c r="L73" s="253"/>
      <c r="M73" s="276"/>
      <c r="N73" s="277"/>
      <c r="O73" s="278"/>
      <c r="P73" s="277"/>
      <c r="Q73" s="277"/>
      <c r="R73" s="277"/>
      <c r="S73" s="278"/>
      <c r="T73" s="277"/>
      <c r="U73" s="277"/>
      <c r="V73" s="277"/>
      <c r="W73" s="278"/>
      <c r="X73" s="277"/>
      <c r="Y73" s="277"/>
      <c r="Z73" s="277"/>
      <c r="AA73" s="278"/>
      <c r="AB73" s="277"/>
      <c r="AC73" s="277"/>
      <c r="AD73" s="277"/>
      <c r="AE73" s="278"/>
      <c r="AF73" s="277"/>
      <c r="AG73" s="277"/>
      <c r="AH73" s="277"/>
      <c r="AI73" s="278"/>
      <c r="AJ73" s="277"/>
      <c r="AK73" s="277"/>
      <c r="AL73" s="277"/>
      <c r="AM73" s="278"/>
      <c r="AN73" s="277"/>
      <c r="AO73" s="277"/>
      <c r="AP73" s="277"/>
      <c r="AQ73" s="278"/>
      <c r="AR73" s="277"/>
      <c r="AS73" s="277"/>
      <c r="AT73" s="280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</row>
    <row r="74" s="196" customFormat="1" ht="14" spans="1:58">
      <c r="A74" s="249"/>
      <c r="B74" s="250"/>
      <c r="C74" s="193"/>
      <c r="D74" s="249"/>
      <c r="G74" s="251"/>
      <c r="H74" s="251"/>
      <c r="I74" s="274"/>
      <c r="J74" s="251"/>
      <c r="K74" s="275"/>
      <c r="L74" s="253"/>
      <c r="M74" s="276"/>
      <c r="N74" s="277"/>
      <c r="O74" s="278"/>
      <c r="P74" s="277"/>
      <c r="Q74" s="277"/>
      <c r="R74" s="277"/>
      <c r="S74" s="278"/>
      <c r="T74" s="277"/>
      <c r="U74" s="277"/>
      <c r="V74" s="277"/>
      <c r="W74" s="278"/>
      <c r="X74" s="277"/>
      <c r="Y74" s="277"/>
      <c r="Z74" s="277"/>
      <c r="AA74" s="278"/>
      <c r="AB74" s="277"/>
      <c r="AC74" s="277"/>
      <c r="AD74" s="277"/>
      <c r="AE74" s="278"/>
      <c r="AF74" s="277"/>
      <c r="AG74" s="277"/>
      <c r="AH74" s="277"/>
      <c r="AI74" s="278"/>
      <c r="AJ74" s="277"/>
      <c r="AK74" s="277"/>
      <c r="AL74" s="277"/>
      <c r="AM74" s="278"/>
      <c r="AN74" s="277"/>
      <c r="AO74" s="277"/>
      <c r="AP74" s="277"/>
      <c r="AQ74" s="278"/>
      <c r="AR74" s="277"/>
      <c r="AS74" s="277"/>
      <c r="AT74" s="280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6"/>
      <c r="BF74" s="276"/>
    </row>
    <row r="75" s="196" customFormat="1" ht="14" spans="1:58">
      <c r="A75" s="249"/>
      <c r="B75" s="250"/>
      <c r="C75" s="193"/>
      <c r="D75" s="249"/>
      <c r="G75" s="251"/>
      <c r="H75" s="251"/>
      <c r="I75" s="274"/>
      <c r="J75" s="251"/>
      <c r="K75" s="275"/>
      <c r="L75" s="253"/>
      <c r="M75" s="276"/>
      <c r="N75" s="277"/>
      <c r="O75" s="278"/>
      <c r="P75" s="277"/>
      <c r="Q75" s="277"/>
      <c r="R75" s="277"/>
      <c r="S75" s="278"/>
      <c r="T75" s="277"/>
      <c r="U75" s="277"/>
      <c r="V75" s="277"/>
      <c r="W75" s="278"/>
      <c r="X75" s="277"/>
      <c r="Y75" s="277"/>
      <c r="Z75" s="277"/>
      <c r="AA75" s="278"/>
      <c r="AB75" s="277"/>
      <c r="AC75" s="277"/>
      <c r="AD75" s="277"/>
      <c r="AE75" s="278"/>
      <c r="AF75" s="277"/>
      <c r="AG75" s="277"/>
      <c r="AH75" s="277"/>
      <c r="AI75" s="278"/>
      <c r="AJ75" s="277"/>
      <c r="AK75" s="277"/>
      <c r="AL75" s="277"/>
      <c r="AM75" s="278"/>
      <c r="AN75" s="277"/>
      <c r="AO75" s="277"/>
      <c r="AP75" s="277"/>
      <c r="AQ75" s="278"/>
      <c r="AR75" s="277"/>
      <c r="AS75" s="277"/>
      <c r="AT75" s="280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6"/>
      <c r="BF75" s="276"/>
    </row>
    <row r="76" s="196" customFormat="1" ht="14" spans="1:58">
      <c r="A76" s="249"/>
      <c r="B76" s="250"/>
      <c r="C76" s="193"/>
      <c r="D76" s="249"/>
      <c r="G76" s="251"/>
      <c r="H76" s="251"/>
      <c r="I76" s="274"/>
      <c r="J76" s="251"/>
      <c r="K76" s="275"/>
      <c r="L76" s="253"/>
      <c r="M76" s="276"/>
      <c r="N76" s="277"/>
      <c r="O76" s="278"/>
      <c r="P76" s="277"/>
      <c r="Q76" s="277"/>
      <c r="R76" s="277"/>
      <c r="S76" s="278"/>
      <c r="T76" s="277"/>
      <c r="U76" s="277"/>
      <c r="V76" s="277"/>
      <c r="W76" s="278"/>
      <c r="X76" s="277"/>
      <c r="Y76" s="277"/>
      <c r="Z76" s="277"/>
      <c r="AA76" s="278"/>
      <c r="AB76" s="277"/>
      <c r="AC76" s="277"/>
      <c r="AD76" s="277"/>
      <c r="AE76" s="278"/>
      <c r="AF76" s="277"/>
      <c r="AG76" s="277"/>
      <c r="AH76" s="277"/>
      <c r="AI76" s="278"/>
      <c r="AJ76" s="277"/>
      <c r="AK76" s="277"/>
      <c r="AL76" s="277"/>
      <c r="AM76" s="278"/>
      <c r="AN76" s="277"/>
      <c r="AO76" s="277"/>
      <c r="AP76" s="277"/>
      <c r="AQ76" s="278"/>
      <c r="AR76" s="277"/>
      <c r="AS76" s="277"/>
      <c r="AT76" s="280"/>
      <c r="AU76" s="276"/>
      <c r="AV76" s="276"/>
      <c r="AW76" s="276"/>
      <c r="AX76" s="276"/>
      <c r="AY76" s="276"/>
      <c r="AZ76" s="276"/>
      <c r="BA76" s="276"/>
      <c r="BB76" s="276"/>
      <c r="BC76" s="276"/>
      <c r="BD76" s="276"/>
      <c r="BE76" s="276"/>
      <c r="BF76" s="276"/>
    </row>
    <row r="77" s="196" customFormat="1" ht="14" spans="1:58">
      <c r="A77" s="249"/>
      <c r="B77" s="250"/>
      <c r="C77" s="193"/>
      <c r="D77" s="249"/>
      <c r="G77" s="251"/>
      <c r="H77" s="251"/>
      <c r="I77" s="274"/>
      <c r="J77" s="251"/>
      <c r="K77" s="275"/>
      <c r="L77" s="253"/>
      <c r="M77" s="276"/>
      <c r="N77" s="277"/>
      <c r="O77" s="278"/>
      <c r="P77" s="277"/>
      <c r="Q77" s="277"/>
      <c r="R77" s="277"/>
      <c r="S77" s="278"/>
      <c r="T77" s="277"/>
      <c r="U77" s="277"/>
      <c r="V77" s="277"/>
      <c r="W77" s="278"/>
      <c r="X77" s="277"/>
      <c r="Y77" s="277"/>
      <c r="Z77" s="277"/>
      <c r="AA77" s="278"/>
      <c r="AB77" s="277"/>
      <c r="AC77" s="277"/>
      <c r="AD77" s="277"/>
      <c r="AE77" s="278"/>
      <c r="AF77" s="277"/>
      <c r="AG77" s="277"/>
      <c r="AH77" s="277"/>
      <c r="AI77" s="278"/>
      <c r="AJ77" s="277"/>
      <c r="AK77" s="277"/>
      <c r="AL77" s="277"/>
      <c r="AM77" s="278"/>
      <c r="AN77" s="277"/>
      <c r="AO77" s="277"/>
      <c r="AP77" s="277"/>
      <c r="AQ77" s="278"/>
      <c r="AR77" s="277"/>
      <c r="AS77" s="277"/>
      <c r="AT77" s="280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</row>
    <row r="78" s="196" customFormat="1" ht="14" spans="1:58">
      <c r="A78" s="249"/>
      <c r="B78" s="250"/>
      <c r="C78" s="193"/>
      <c r="D78" s="249"/>
      <c r="G78" s="251"/>
      <c r="H78" s="251"/>
      <c r="I78" s="274"/>
      <c r="J78" s="251"/>
      <c r="K78" s="275"/>
      <c r="L78" s="253"/>
      <c r="M78" s="276"/>
      <c r="N78" s="277"/>
      <c r="O78" s="278"/>
      <c r="P78" s="277"/>
      <c r="Q78" s="277"/>
      <c r="R78" s="277"/>
      <c r="S78" s="278"/>
      <c r="T78" s="277"/>
      <c r="U78" s="277"/>
      <c r="V78" s="277"/>
      <c r="W78" s="278"/>
      <c r="X78" s="277"/>
      <c r="Y78" s="277"/>
      <c r="Z78" s="277"/>
      <c r="AA78" s="278"/>
      <c r="AB78" s="277"/>
      <c r="AC78" s="277"/>
      <c r="AD78" s="277"/>
      <c r="AE78" s="278"/>
      <c r="AF78" s="277"/>
      <c r="AG78" s="277"/>
      <c r="AH78" s="277"/>
      <c r="AI78" s="278"/>
      <c r="AJ78" s="277"/>
      <c r="AK78" s="277"/>
      <c r="AL78" s="277"/>
      <c r="AM78" s="278"/>
      <c r="AN78" s="277"/>
      <c r="AO78" s="277"/>
      <c r="AP78" s="277"/>
      <c r="AQ78" s="278"/>
      <c r="AR78" s="277"/>
      <c r="AS78" s="277"/>
      <c r="AT78" s="280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6"/>
      <c r="BF78" s="276"/>
    </row>
    <row r="79" s="196" customFormat="1" ht="14" spans="1:58">
      <c r="A79" s="249"/>
      <c r="B79" s="250"/>
      <c r="C79" s="193"/>
      <c r="D79" s="249"/>
      <c r="G79" s="251"/>
      <c r="H79" s="251"/>
      <c r="I79" s="274"/>
      <c r="J79" s="251"/>
      <c r="K79" s="275"/>
      <c r="L79" s="253"/>
      <c r="M79" s="276"/>
      <c r="N79" s="277"/>
      <c r="O79" s="278"/>
      <c r="P79" s="277"/>
      <c r="Q79" s="277"/>
      <c r="R79" s="277"/>
      <c r="S79" s="278"/>
      <c r="T79" s="277"/>
      <c r="U79" s="277"/>
      <c r="V79" s="277"/>
      <c r="W79" s="278"/>
      <c r="X79" s="277"/>
      <c r="Y79" s="277"/>
      <c r="Z79" s="277"/>
      <c r="AA79" s="278"/>
      <c r="AB79" s="277"/>
      <c r="AC79" s="277"/>
      <c r="AD79" s="277"/>
      <c r="AE79" s="278"/>
      <c r="AF79" s="277"/>
      <c r="AG79" s="277"/>
      <c r="AH79" s="277"/>
      <c r="AI79" s="278"/>
      <c r="AJ79" s="277"/>
      <c r="AK79" s="277"/>
      <c r="AL79" s="277"/>
      <c r="AM79" s="278"/>
      <c r="AN79" s="277"/>
      <c r="AO79" s="277"/>
      <c r="AP79" s="277"/>
      <c r="AQ79" s="278"/>
      <c r="AR79" s="277"/>
      <c r="AS79" s="277"/>
      <c r="AT79" s="280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6"/>
      <c r="BF79" s="276"/>
    </row>
    <row r="80" s="196" customFormat="1" ht="14" spans="1:58">
      <c r="A80" s="249"/>
      <c r="B80" s="250"/>
      <c r="C80" s="193"/>
      <c r="D80" s="249"/>
      <c r="G80" s="251"/>
      <c r="H80" s="251"/>
      <c r="I80" s="274"/>
      <c r="J80" s="251"/>
      <c r="K80" s="275"/>
      <c r="L80" s="253"/>
      <c r="M80" s="276"/>
      <c r="N80" s="277"/>
      <c r="O80" s="278"/>
      <c r="P80" s="277"/>
      <c r="Q80" s="277"/>
      <c r="R80" s="277"/>
      <c r="S80" s="278"/>
      <c r="T80" s="277"/>
      <c r="U80" s="277"/>
      <c r="V80" s="277"/>
      <c r="W80" s="278"/>
      <c r="X80" s="277"/>
      <c r="Y80" s="277"/>
      <c r="Z80" s="277"/>
      <c r="AA80" s="278"/>
      <c r="AB80" s="277"/>
      <c r="AC80" s="277"/>
      <c r="AD80" s="277"/>
      <c r="AE80" s="278"/>
      <c r="AF80" s="277"/>
      <c r="AG80" s="277"/>
      <c r="AH80" s="277"/>
      <c r="AI80" s="278"/>
      <c r="AJ80" s="277"/>
      <c r="AK80" s="277"/>
      <c r="AL80" s="277"/>
      <c r="AM80" s="278"/>
      <c r="AN80" s="277"/>
      <c r="AO80" s="277"/>
      <c r="AP80" s="277"/>
      <c r="AQ80" s="278"/>
      <c r="AR80" s="277"/>
      <c r="AS80" s="277"/>
      <c r="AT80" s="280"/>
      <c r="AU80" s="276"/>
      <c r="AV80" s="276"/>
      <c r="AW80" s="276"/>
      <c r="AX80" s="276"/>
      <c r="AY80" s="276"/>
      <c r="AZ80" s="276"/>
      <c r="BA80" s="276"/>
      <c r="BB80" s="276"/>
      <c r="BC80" s="276"/>
      <c r="BD80" s="276"/>
      <c r="BE80" s="276"/>
      <c r="BF80" s="276"/>
    </row>
    <row r="81" s="196" customFormat="1" ht="14" spans="1:58">
      <c r="A81" s="249"/>
      <c r="B81" s="250"/>
      <c r="C81" s="193"/>
      <c r="D81" s="249"/>
      <c r="G81" s="251"/>
      <c r="H81" s="251"/>
      <c r="I81" s="274"/>
      <c r="J81" s="251"/>
      <c r="K81" s="275"/>
      <c r="L81" s="253"/>
      <c r="M81" s="276"/>
      <c r="N81" s="277"/>
      <c r="O81" s="278"/>
      <c r="P81" s="277"/>
      <c r="Q81" s="277"/>
      <c r="R81" s="277"/>
      <c r="S81" s="278"/>
      <c r="T81" s="277"/>
      <c r="U81" s="277"/>
      <c r="V81" s="277"/>
      <c r="W81" s="278"/>
      <c r="X81" s="277"/>
      <c r="Y81" s="277"/>
      <c r="Z81" s="277"/>
      <c r="AA81" s="278"/>
      <c r="AB81" s="277"/>
      <c r="AC81" s="277"/>
      <c r="AD81" s="277"/>
      <c r="AE81" s="278"/>
      <c r="AF81" s="277"/>
      <c r="AG81" s="277"/>
      <c r="AH81" s="277"/>
      <c r="AI81" s="278"/>
      <c r="AJ81" s="277"/>
      <c r="AK81" s="277"/>
      <c r="AL81" s="277"/>
      <c r="AM81" s="278"/>
      <c r="AN81" s="277"/>
      <c r="AO81" s="277"/>
      <c r="AP81" s="277"/>
      <c r="AQ81" s="278"/>
      <c r="AR81" s="277"/>
      <c r="AS81" s="277"/>
      <c r="AT81" s="280"/>
      <c r="AU81" s="276"/>
      <c r="AV81" s="276"/>
      <c r="AW81" s="276"/>
      <c r="AX81" s="276"/>
      <c r="AY81" s="276"/>
      <c r="AZ81" s="276"/>
      <c r="BA81" s="276"/>
      <c r="BB81" s="276"/>
      <c r="BC81" s="276"/>
      <c r="BD81" s="276"/>
      <c r="BE81" s="276"/>
      <c r="BF81" s="276"/>
    </row>
    <row r="82" s="196" customFormat="1" ht="14" spans="1:58">
      <c r="A82" s="249"/>
      <c r="B82" s="250"/>
      <c r="C82" s="193"/>
      <c r="D82" s="249"/>
      <c r="G82" s="251"/>
      <c r="H82" s="251"/>
      <c r="I82" s="274"/>
      <c r="J82" s="251"/>
      <c r="K82" s="275"/>
      <c r="L82" s="253"/>
      <c r="M82" s="276"/>
      <c r="N82" s="277"/>
      <c r="O82" s="278"/>
      <c r="P82" s="277"/>
      <c r="Q82" s="277"/>
      <c r="R82" s="277"/>
      <c r="S82" s="278"/>
      <c r="T82" s="277"/>
      <c r="U82" s="277"/>
      <c r="V82" s="277"/>
      <c r="W82" s="278"/>
      <c r="X82" s="277"/>
      <c r="Y82" s="277"/>
      <c r="Z82" s="277"/>
      <c r="AA82" s="278"/>
      <c r="AB82" s="277"/>
      <c r="AC82" s="277"/>
      <c r="AD82" s="277"/>
      <c r="AE82" s="278"/>
      <c r="AF82" s="277"/>
      <c r="AG82" s="277"/>
      <c r="AH82" s="277"/>
      <c r="AI82" s="278"/>
      <c r="AJ82" s="277"/>
      <c r="AK82" s="277"/>
      <c r="AL82" s="277"/>
      <c r="AM82" s="278"/>
      <c r="AN82" s="277"/>
      <c r="AO82" s="277"/>
      <c r="AP82" s="277"/>
      <c r="AQ82" s="278"/>
      <c r="AR82" s="277"/>
      <c r="AS82" s="277"/>
      <c r="AT82" s="280"/>
      <c r="AU82" s="276"/>
      <c r="AV82" s="276"/>
      <c r="AW82" s="276"/>
      <c r="AX82" s="276"/>
      <c r="AY82" s="276"/>
      <c r="AZ82" s="276"/>
      <c r="BA82" s="276"/>
      <c r="BB82" s="276"/>
      <c r="BC82" s="276"/>
      <c r="BD82" s="276"/>
      <c r="BE82" s="276"/>
      <c r="BF82" s="276"/>
    </row>
    <row r="83" s="196" customFormat="1" ht="14" spans="1:58">
      <c r="A83" s="249"/>
      <c r="B83" s="250"/>
      <c r="C83" s="193"/>
      <c r="D83" s="249"/>
      <c r="G83" s="251"/>
      <c r="H83" s="251"/>
      <c r="I83" s="274"/>
      <c r="J83" s="251"/>
      <c r="K83" s="275"/>
      <c r="L83" s="253"/>
      <c r="M83" s="276"/>
      <c r="N83" s="277"/>
      <c r="O83" s="278"/>
      <c r="P83" s="277"/>
      <c r="Q83" s="277"/>
      <c r="R83" s="277"/>
      <c r="S83" s="278"/>
      <c r="T83" s="277"/>
      <c r="U83" s="277"/>
      <c r="V83" s="277"/>
      <c r="W83" s="278"/>
      <c r="X83" s="277"/>
      <c r="Y83" s="277"/>
      <c r="Z83" s="277"/>
      <c r="AA83" s="278"/>
      <c r="AB83" s="277"/>
      <c r="AC83" s="277"/>
      <c r="AD83" s="277"/>
      <c r="AE83" s="278"/>
      <c r="AF83" s="277"/>
      <c r="AG83" s="277"/>
      <c r="AH83" s="277"/>
      <c r="AI83" s="278"/>
      <c r="AJ83" s="277"/>
      <c r="AK83" s="277"/>
      <c r="AL83" s="277"/>
      <c r="AM83" s="278"/>
      <c r="AN83" s="277"/>
      <c r="AO83" s="277"/>
      <c r="AP83" s="277"/>
      <c r="AQ83" s="278"/>
      <c r="AR83" s="277"/>
      <c r="AS83" s="277"/>
      <c r="AT83" s="280"/>
      <c r="AU83" s="276"/>
      <c r="AV83" s="276"/>
      <c r="AW83" s="276"/>
      <c r="AX83" s="276"/>
      <c r="AY83" s="276"/>
      <c r="AZ83" s="276"/>
      <c r="BA83" s="276"/>
      <c r="BB83" s="276"/>
      <c r="BC83" s="276"/>
      <c r="BD83" s="276"/>
      <c r="BE83" s="276"/>
      <c r="BF83" s="276"/>
    </row>
    <row r="84" s="196" customFormat="1" ht="14" spans="1:58">
      <c r="A84" s="249"/>
      <c r="B84" s="250"/>
      <c r="C84" s="193"/>
      <c r="D84" s="249"/>
      <c r="G84" s="251"/>
      <c r="H84" s="251"/>
      <c r="I84" s="274"/>
      <c r="J84" s="251"/>
      <c r="K84" s="275"/>
      <c r="L84" s="253"/>
      <c r="M84" s="276"/>
      <c r="N84" s="277"/>
      <c r="O84" s="278"/>
      <c r="P84" s="277"/>
      <c r="Q84" s="277"/>
      <c r="R84" s="277"/>
      <c r="S84" s="278"/>
      <c r="T84" s="277"/>
      <c r="U84" s="277"/>
      <c r="V84" s="277"/>
      <c r="W84" s="278"/>
      <c r="X84" s="277"/>
      <c r="Y84" s="277"/>
      <c r="Z84" s="277"/>
      <c r="AA84" s="278"/>
      <c r="AB84" s="277"/>
      <c r="AC84" s="277"/>
      <c r="AD84" s="277"/>
      <c r="AE84" s="278"/>
      <c r="AF84" s="277"/>
      <c r="AG84" s="277"/>
      <c r="AH84" s="277"/>
      <c r="AI84" s="278"/>
      <c r="AJ84" s="277"/>
      <c r="AK84" s="277"/>
      <c r="AL84" s="277"/>
      <c r="AM84" s="278"/>
      <c r="AN84" s="277"/>
      <c r="AO84" s="277"/>
      <c r="AP84" s="277"/>
      <c r="AQ84" s="278"/>
      <c r="AR84" s="277"/>
      <c r="AS84" s="277"/>
      <c r="AT84" s="280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</row>
    <row r="85" s="196" customFormat="1" ht="14" spans="1:58">
      <c r="A85" s="249"/>
      <c r="B85" s="250"/>
      <c r="C85" s="193"/>
      <c r="D85" s="249"/>
      <c r="G85" s="251"/>
      <c r="H85" s="251"/>
      <c r="I85" s="274"/>
      <c r="J85" s="251"/>
      <c r="K85" s="275"/>
      <c r="L85" s="253"/>
      <c r="M85" s="276"/>
      <c r="N85" s="277"/>
      <c r="O85" s="278"/>
      <c r="P85" s="277"/>
      <c r="Q85" s="277"/>
      <c r="R85" s="277"/>
      <c r="S85" s="278"/>
      <c r="T85" s="277"/>
      <c r="U85" s="277"/>
      <c r="V85" s="277"/>
      <c r="W85" s="278"/>
      <c r="X85" s="277"/>
      <c r="Y85" s="277"/>
      <c r="Z85" s="277"/>
      <c r="AA85" s="278"/>
      <c r="AB85" s="277"/>
      <c r="AC85" s="277"/>
      <c r="AD85" s="277"/>
      <c r="AE85" s="278"/>
      <c r="AF85" s="277"/>
      <c r="AG85" s="277"/>
      <c r="AH85" s="277"/>
      <c r="AI85" s="278"/>
      <c r="AJ85" s="277"/>
      <c r="AK85" s="277"/>
      <c r="AL85" s="277"/>
      <c r="AM85" s="278"/>
      <c r="AN85" s="277"/>
      <c r="AO85" s="277"/>
      <c r="AP85" s="277"/>
      <c r="AQ85" s="278"/>
      <c r="AR85" s="277"/>
      <c r="AS85" s="277"/>
      <c r="AT85" s="280"/>
      <c r="AU85" s="276"/>
      <c r="AV85" s="276"/>
      <c r="AW85" s="276"/>
      <c r="AX85" s="276"/>
      <c r="AY85" s="276"/>
      <c r="AZ85" s="276"/>
      <c r="BA85" s="276"/>
      <c r="BB85" s="276"/>
      <c r="BC85" s="276"/>
      <c r="BD85" s="276"/>
      <c r="BE85" s="276"/>
      <c r="BF85" s="276"/>
    </row>
    <row r="86" s="196" customFormat="1" ht="14" spans="1:58">
      <c r="A86" s="249"/>
      <c r="B86" s="250"/>
      <c r="C86" s="193"/>
      <c r="D86" s="249"/>
      <c r="G86" s="251"/>
      <c r="H86" s="251"/>
      <c r="I86" s="274"/>
      <c r="J86" s="251"/>
      <c r="K86" s="275"/>
      <c r="L86" s="253"/>
      <c r="M86" s="276"/>
      <c r="N86" s="277"/>
      <c r="O86" s="278"/>
      <c r="P86" s="277"/>
      <c r="Q86" s="277"/>
      <c r="R86" s="277"/>
      <c r="S86" s="278"/>
      <c r="T86" s="277"/>
      <c r="U86" s="277"/>
      <c r="V86" s="277"/>
      <c r="W86" s="278"/>
      <c r="X86" s="277"/>
      <c r="Y86" s="277"/>
      <c r="Z86" s="277"/>
      <c r="AA86" s="278"/>
      <c r="AB86" s="277"/>
      <c r="AC86" s="277"/>
      <c r="AD86" s="277"/>
      <c r="AE86" s="278"/>
      <c r="AF86" s="277"/>
      <c r="AG86" s="277"/>
      <c r="AH86" s="277"/>
      <c r="AI86" s="278"/>
      <c r="AJ86" s="277"/>
      <c r="AK86" s="277"/>
      <c r="AL86" s="277"/>
      <c r="AM86" s="278"/>
      <c r="AN86" s="277"/>
      <c r="AO86" s="277"/>
      <c r="AP86" s="277"/>
      <c r="AQ86" s="278"/>
      <c r="AR86" s="277"/>
      <c r="AS86" s="277"/>
      <c r="AT86" s="280"/>
      <c r="AU86" s="276"/>
      <c r="AV86" s="276"/>
      <c r="AW86" s="276"/>
      <c r="AX86" s="276"/>
      <c r="AY86" s="276"/>
      <c r="AZ86" s="276"/>
      <c r="BA86" s="276"/>
      <c r="BB86" s="276"/>
      <c r="BC86" s="276"/>
      <c r="BD86" s="276"/>
      <c r="BE86" s="276"/>
      <c r="BF86" s="276"/>
    </row>
    <row r="87" s="196" customFormat="1" ht="14" spans="1:58">
      <c r="A87" s="249"/>
      <c r="B87" s="250"/>
      <c r="C87" s="193"/>
      <c r="D87" s="249"/>
      <c r="G87" s="251"/>
      <c r="H87" s="251"/>
      <c r="I87" s="274"/>
      <c r="J87" s="251"/>
      <c r="K87" s="275"/>
      <c r="L87" s="253"/>
      <c r="M87" s="276"/>
      <c r="N87" s="277"/>
      <c r="O87" s="278"/>
      <c r="P87" s="277"/>
      <c r="Q87" s="277"/>
      <c r="R87" s="277"/>
      <c r="S87" s="278"/>
      <c r="T87" s="277"/>
      <c r="U87" s="277"/>
      <c r="V87" s="277"/>
      <c r="W87" s="278"/>
      <c r="X87" s="277"/>
      <c r="Y87" s="277"/>
      <c r="Z87" s="277"/>
      <c r="AA87" s="278"/>
      <c r="AB87" s="277"/>
      <c r="AC87" s="277"/>
      <c r="AD87" s="277"/>
      <c r="AE87" s="278"/>
      <c r="AF87" s="277"/>
      <c r="AG87" s="277"/>
      <c r="AH87" s="277"/>
      <c r="AI87" s="278"/>
      <c r="AJ87" s="277"/>
      <c r="AK87" s="277"/>
      <c r="AL87" s="277"/>
      <c r="AM87" s="278"/>
      <c r="AN87" s="277"/>
      <c r="AO87" s="277"/>
      <c r="AP87" s="277"/>
      <c r="AQ87" s="278"/>
      <c r="AR87" s="277"/>
      <c r="AS87" s="277"/>
      <c r="AT87" s="280"/>
      <c r="AU87" s="276"/>
      <c r="AV87" s="276"/>
      <c r="AW87" s="276"/>
      <c r="AX87" s="276"/>
      <c r="AY87" s="276"/>
      <c r="AZ87" s="276"/>
      <c r="BA87" s="276"/>
      <c r="BB87" s="276"/>
      <c r="BC87" s="276"/>
      <c r="BD87" s="276"/>
      <c r="BE87" s="276"/>
      <c r="BF87" s="276"/>
    </row>
    <row r="88" s="196" customFormat="1" ht="14" spans="1:58">
      <c r="A88" s="249"/>
      <c r="B88" s="250"/>
      <c r="C88" s="193"/>
      <c r="D88" s="249"/>
      <c r="G88" s="251"/>
      <c r="H88" s="251"/>
      <c r="I88" s="274"/>
      <c r="J88" s="251"/>
      <c r="K88" s="275"/>
      <c r="L88" s="253"/>
      <c r="M88" s="276"/>
      <c r="N88" s="277"/>
      <c r="O88" s="278"/>
      <c r="P88" s="277"/>
      <c r="Q88" s="277"/>
      <c r="R88" s="277"/>
      <c r="S88" s="278"/>
      <c r="T88" s="277"/>
      <c r="U88" s="277"/>
      <c r="V88" s="277"/>
      <c r="W88" s="278"/>
      <c r="X88" s="277"/>
      <c r="Y88" s="277"/>
      <c r="Z88" s="277"/>
      <c r="AA88" s="278"/>
      <c r="AB88" s="277"/>
      <c r="AC88" s="277"/>
      <c r="AD88" s="277"/>
      <c r="AE88" s="278"/>
      <c r="AF88" s="277"/>
      <c r="AG88" s="277"/>
      <c r="AH88" s="277"/>
      <c r="AI88" s="278"/>
      <c r="AJ88" s="277"/>
      <c r="AK88" s="277"/>
      <c r="AL88" s="277"/>
      <c r="AM88" s="278"/>
      <c r="AN88" s="277"/>
      <c r="AO88" s="277"/>
      <c r="AP88" s="277"/>
      <c r="AQ88" s="278"/>
      <c r="AR88" s="277"/>
      <c r="AS88" s="277"/>
      <c r="AT88" s="280"/>
      <c r="AU88" s="276"/>
      <c r="AV88" s="276"/>
      <c r="AW88" s="276"/>
      <c r="AX88" s="276"/>
      <c r="AY88" s="276"/>
      <c r="AZ88" s="276"/>
      <c r="BA88" s="276"/>
      <c r="BB88" s="276"/>
      <c r="BC88" s="276"/>
      <c r="BD88" s="276"/>
      <c r="BE88" s="276"/>
      <c r="BF88" s="276"/>
    </row>
    <row r="89" s="196" customFormat="1" ht="14" spans="1:58">
      <c r="A89" s="249"/>
      <c r="B89" s="250"/>
      <c r="C89" s="193"/>
      <c r="D89" s="249"/>
      <c r="G89" s="251"/>
      <c r="H89" s="251"/>
      <c r="I89" s="274"/>
      <c r="J89" s="251"/>
      <c r="K89" s="275"/>
      <c r="L89" s="253"/>
      <c r="M89" s="276"/>
      <c r="N89" s="277"/>
      <c r="O89" s="278"/>
      <c r="P89" s="277"/>
      <c r="Q89" s="277"/>
      <c r="R89" s="277"/>
      <c r="S89" s="278"/>
      <c r="T89" s="277"/>
      <c r="U89" s="277"/>
      <c r="V89" s="277"/>
      <c r="W89" s="278"/>
      <c r="X89" s="277"/>
      <c r="Y89" s="277"/>
      <c r="Z89" s="277"/>
      <c r="AA89" s="278"/>
      <c r="AB89" s="277"/>
      <c r="AC89" s="277"/>
      <c r="AD89" s="277"/>
      <c r="AE89" s="278"/>
      <c r="AF89" s="277"/>
      <c r="AG89" s="277"/>
      <c r="AH89" s="277"/>
      <c r="AI89" s="278"/>
      <c r="AJ89" s="277"/>
      <c r="AK89" s="277"/>
      <c r="AL89" s="277"/>
      <c r="AM89" s="278"/>
      <c r="AN89" s="277"/>
      <c r="AO89" s="277"/>
      <c r="AP89" s="277"/>
      <c r="AQ89" s="278"/>
      <c r="AR89" s="277"/>
      <c r="AS89" s="277"/>
      <c r="AT89" s="280"/>
      <c r="AU89" s="276"/>
      <c r="AV89" s="276"/>
      <c r="AW89" s="276"/>
      <c r="AX89" s="276"/>
      <c r="AY89" s="276"/>
      <c r="AZ89" s="276"/>
      <c r="BA89" s="276"/>
      <c r="BB89" s="276"/>
      <c r="BC89" s="276"/>
      <c r="BD89" s="276"/>
      <c r="BE89" s="276"/>
      <c r="BF89" s="276"/>
    </row>
    <row r="90" s="196" customFormat="1" ht="14" spans="1:58">
      <c r="A90" s="249"/>
      <c r="B90" s="250"/>
      <c r="C90" s="193"/>
      <c r="D90" s="249"/>
      <c r="G90" s="251"/>
      <c r="H90" s="251"/>
      <c r="I90" s="274"/>
      <c r="J90" s="251"/>
      <c r="K90" s="275"/>
      <c r="L90" s="253"/>
      <c r="M90" s="276"/>
      <c r="N90" s="277"/>
      <c r="O90" s="278"/>
      <c r="P90" s="277"/>
      <c r="Q90" s="277"/>
      <c r="R90" s="277"/>
      <c r="S90" s="278"/>
      <c r="T90" s="277"/>
      <c r="U90" s="277"/>
      <c r="V90" s="277"/>
      <c r="W90" s="278"/>
      <c r="X90" s="277"/>
      <c r="Y90" s="277"/>
      <c r="Z90" s="277"/>
      <c r="AA90" s="278"/>
      <c r="AB90" s="277"/>
      <c r="AC90" s="277"/>
      <c r="AD90" s="277"/>
      <c r="AE90" s="278"/>
      <c r="AF90" s="277"/>
      <c r="AG90" s="277"/>
      <c r="AH90" s="277"/>
      <c r="AI90" s="278"/>
      <c r="AJ90" s="277"/>
      <c r="AK90" s="277"/>
      <c r="AL90" s="277"/>
      <c r="AM90" s="278"/>
      <c r="AN90" s="277"/>
      <c r="AO90" s="277"/>
      <c r="AP90" s="277"/>
      <c r="AQ90" s="278"/>
      <c r="AR90" s="277"/>
      <c r="AS90" s="277"/>
      <c r="AT90" s="280"/>
      <c r="AU90" s="276"/>
      <c r="AV90" s="276"/>
      <c r="AW90" s="276"/>
      <c r="AX90" s="276"/>
      <c r="AY90" s="276"/>
      <c r="AZ90" s="276"/>
      <c r="BA90" s="276"/>
      <c r="BB90" s="276"/>
      <c r="BC90" s="276"/>
      <c r="BD90" s="276"/>
      <c r="BE90" s="276"/>
      <c r="BF90" s="276"/>
    </row>
    <row r="91" s="196" customFormat="1" ht="14" spans="1:58">
      <c r="A91" s="249"/>
      <c r="B91" s="250"/>
      <c r="C91" s="193"/>
      <c r="D91" s="249"/>
      <c r="G91" s="251"/>
      <c r="H91" s="251"/>
      <c r="I91" s="274"/>
      <c r="J91" s="251"/>
      <c r="K91" s="275"/>
      <c r="L91" s="253"/>
      <c r="M91" s="276"/>
      <c r="N91" s="277"/>
      <c r="O91" s="278"/>
      <c r="P91" s="277"/>
      <c r="Q91" s="277"/>
      <c r="R91" s="277"/>
      <c r="S91" s="278"/>
      <c r="T91" s="277"/>
      <c r="U91" s="277"/>
      <c r="V91" s="277"/>
      <c r="W91" s="278"/>
      <c r="X91" s="277"/>
      <c r="Y91" s="277"/>
      <c r="Z91" s="277"/>
      <c r="AA91" s="278"/>
      <c r="AB91" s="277"/>
      <c r="AC91" s="277"/>
      <c r="AD91" s="277"/>
      <c r="AE91" s="278"/>
      <c r="AF91" s="277"/>
      <c r="AG91" s="277"/>
      <c r="AH91" s="277"/>
      <c r="AI91" s="278"/>
      <c r="AJ91" s="277"/>
      <c r="AK91" s="277"/>
      <c r="AL91" s="277"/>
      <c r="AM91" s="278"/>
      <c r="AN91" s="277"/>
      <c r="AO91" s="277"/>
      <c r="AP91" s="277"/>
      <c r="AQ91" s="278"/>
      <c r="AR91" s="277"/>
      <c r="AS91" s="277"/>
      <c r="AT91" s="280"/>
      <c r="AU91" s="276"/>
      <c r="AV91" s="276"/>
      <c r="AW91" s="276"/>
      <c r="AX91" s="276"/>
      <c r="AY91" s="276"/>
      <c r="AZ91" s="276"/>
      <c r="BA91" s="276"/>
      <c r="BB91" s="276"/>
      <c r="BC91" s="276"/>
      <c r="BD91" s="276"/>
      <c r="BE91" s="276"/>
      <c r="BF91" s="276"/>
    </row>
    <row r="92" s="196" customFormat="1" ht="14" spans="1:58">
      <c r="A92" s="249"/>
      <c r="B92" s="250"/>
      <c r="C92" s="193"/>
      <c r="D92" s="249"/>
      <c r="G92" s="251"/>
      <c r="H92" s="251"/>
      <c r="I92" s="274"/>
      <c r="J92" s="251"/>
      <c r="K92" s="275"/>
      <c r="L92" s="253"/>
      <c r="M92" s="276"/>
      <c r="N92" s="277"/>
      <c r="O92" s="278"/>
      <c r="P92" s="277"/>
      <c r="Q92" s="277"/>
      <c r="R92" s="277"/>
      <c r="S92" s="278"/>
      <c r="T92" s="277"/>
      <c r="U92" s="277"/>
      <c r="V92" s="277"/>
      <c r="W92" s="278"/>
      <c r="X92" s="277"/>
      <c r="Y92" s="277"/>
      <c r="Z92" s="277"/>
      <c r="AA92" s="278"/>
      <c r="AB92" s="277"/>
      <c r="AC92" s="277"/>
      <c r="AD92" s="277"/>
      <c r="AE92" s="278"/>
      <c r="AF92" s="277"/>
      <c r="AG92" s="277"/>
      <c r="AH92" s="277"/>
      <c r="AI92" s="278"/>
      <c r="AJ92" s="277"/>
      <c r="AK92" s="277"/>
      <c r="AL92" s="277"/>
      <c r="AM92" s="278"/>
      <c r="AN92" s="277"/>
      <c r="AO92" s="277"/>
      <c r="AP92" s="277"/>
      <c r="AQ92" s="278"/>
      <c r="AR92" s="277"/>
      <c r="AS92" s="277"/>
      <c r="AT92" s="280"/>
      <c r="AU92" s="276"/>
      <c r="AV92" s="276"/>
      <c r="AW92" s="276"/>
      <c r="AX92" s="276"/>
      <c r="AY92" s="276"/>
      <c r="AZ92" s="276"/>
      <c r="BA92" s="276"/>
      <c r="BB92" s="276"/>
      <c r="BC92" s="276"/>
      <c r="BD92" s="276"/>
      <c r="BE92" s="276"/>
      <c r="BF92" s="276"/>
    </row>
    <row r="93" s="196" customFormat="1" ht="14" spans="1:58">
      <c r="A93" s="249"/>
      <c r="B93" s="250"/>
      <c r="C93" s="193"/>
      <c r="D93" s="249"/>
      <c r="G93" s="251"/>
      <c r="H93" s="251"/>
      <c r="I93" s="274"/>
      <c r="J93" s="251"/>
      <c r="K93" s="275"/>
      <c r="L93" s="253"/>
      <c r="M93" s="276"/>
      <c r="N93" s="277"/>
      <c r="O93" s="278"/>
      <c r="P93" s="277"/>
      <c r="Q93" s="277"/>
      <c r="R93" s="277"/>
      <c r="S93" s="278"/>
      <c r="T93" s="277"/>
      <c r="U93" s="277"/>
      <c r="V93" s="277"/>
      <c r="W93" s="278"/>
      <c r="X93" s="277"/>
      <c r="Y93" s="277"/>
      <c r="Z93" s="277"/>
      <c r="AA93" s="278"/>
      <c r="AB93" s="277"/>
      <c r="AC93" s="277"/>
      <c r="AD93" s="277"/>
      <c r="AE93" s="278"/>
      <c r="AF93" s="277"/>
      <c r="AG93" s="277"/>
      <c r="AH93" s="277"/>
      <c r="AI93" s="278"/>
      <c r="AJ93" s="277"/>
      <c r="AK93" s="277"/>
      <c r="AL93" s="277"/>
      <c r="AM93" s="278"/>
      <c r="AN93" s="277"/>
      <c r="AO93" s="277"/>
      <c r="AP93" s="277"/>
      <c r="AQ93" s="278"/>
      <c r="AR93" s="277"/>
      <c r="AS93" s="277"/>
      <c r="AT93" s="280"/>
      <c r="AU93" s="276"/>
      <c r="AV93" s="276"/>
      <c r="AW93" s="276"/>
      <c r="AX93" s="276"/>
      <c r="AY93" s="276"/>
      <c r="AZ93" s="276"/>
      <c r="BA93" s="276"/>
      <c r="BB93" s="276"/>
      <c r="BC93" s="276"/>
      <c r="BD93" s="276"/>
      <c r="BE93" s="276"/>
      <c r="BF93" s="276"/>
    </row>
    <row r="94" s="196" customFormat="1" ht="14" spans="1:58">
      <c r="A94" s="249"/>
      <c r="B94" s="250"/>
      <c r="C94" s="193"/>
      <c r="D94" s="249"/>
      <c r="G94" s="251"/>
      <c r="H94" s="251"/>
      <c r="I94" s="274"/>
      <c r="J94" s="251"/>
      <c r="K94" s="275"/>
      <c r="L94" s="253"/>
      <c r="M94" s="276"/>
      <c r="N94" s="277"/>
      <c r="O94" s="278"/>
      <c r="P94" s="277"/>
      <c r="Q94" s="277"/>
      <c r="R94" s="277"/>
      <c r="S94" s="278"/>
      <c r="T94" s="277"/>
      <c r="U94" s="277"/>
      <c r="V94" s="277"/>
      <c r="W94" s="278"/>
      <c r="X94" s="277"/>
      <c r="Y94" s="277"/>
      <c r="Z94" s="277"/>
      <c r="AA94" s="278"/>
      <c r="AB94" s="277"/>
      <c r="AC94" s="277"/>
      <c r="AD94" s="277"/>
      <c r="AE94" s="278"/>
      <c r="AF94" s="277"/>
      <c r="AG94" s="277"/>
      <c r="AH94" s="277"/>
      <c r="AI94" s="278"/>
      <c r="AJ94" s="277"/>
      <c r="AK94" s="277"/>
      <c r="AL94" s="277"/>
      <c r="AM94" s="278"/>
      <c r="AN94" s="277"/>
      <c r="AO94" s="277"/>
      <c r="AP94" s="277"/>
      <c r="AQ94" s="278"/>
      <c r="AR94" s="277"/>
      <c r="AS94" s="277"/>
      <c r="AT94" s="280"/>
      <c r="AU94" s="276"/>
      <c r="AV94" s="276"/>
      <c r="AW94" s="276"/>
      <c r="AX94" s="276"/>
      <c r="AY94" s="276"/>
      <c r="AZ94" s="276"/>
      <c r="BA94" s="276"/>
      <c r="BB94" s="276"/>
      <c r="BC94" s="276"/>
      <c r="BD94" s="276"/>
      <c r="BE94" s="276"/>
      <c r="BF94" s="276"/>
    </row>
    <row r="95" s="196" customFormat="1" ht="14" spans="1:58">
      <c r="A95" s="249"/>
      <c r="B95" s="250"/>
      <c r="C95" s="193"/>
      <c r="D95" s="249"/>
      <c r="G95" s="251"/>
      <c r="H95" s="251"/>
      <c r="I95" s="274"/>
      <c r="J95" s="251"/>
      <c r="K95" s="275"/>
      <c r="L95" s="253"/>
      <c r="M95" s="276"/>
      <c r="N95" s="277"/>
      <c r="O95" s="278"/>
      <c r="P95" s="277"/>
      <c r="Q95" s="277"/>
      <c r="R95" s="277"/>
      <c r="S95" s="278"/>
      <c r="T95" s="277"/>
      <c r="U95" s="277"/>
      <c r="V95" s="277"/>
      <c r="W95" s="278"/>
      <c r="X95" s="277"/>
      <c r="Y95" s="277"/>
      <c r="Z95" s="277"/>
      <c r="AA95" s="278"/>
      <c r="AB95" s="277"/>
      <c r="AC95" s="277"/>
      <c r="AD95" s="277"/>
      <c r="AE95" s="278"/>
      <c r="AF95" s="277"/>
      <c r="AG95" s="277"/>
      <c r="AH95" s="277"/>
      <c r="AI95" s="278"/>
      <c r="AJ95" s="277"/>
      <c r="AK95" s="277"/>
      <c r="AL95" s="277"/>
      <c r="AM95" s="278"/>
      <c r="AN95" s="277"/>
      <c r="AO95" s="277"/>
      <c r="AP95" s="277"/>
      <c r="AQ95" s="278"/>
      <c r="AR95" s="277"/>
      <c r="AS95" s="277"/>
      <c r="AT95" s="280"/>
      <c r="AU95" s="276"/>
      <c r="AV95" s="276"/>
      <c r="AW95" s="276"/>
      <c r="AX95" s="276"/>
      <c r="AY95" s="276"/>
      <c r="AZ95" s="276"/>
      <c r="BA95" s="276"/>
      <c r="BB95" s="276"/>
      <c r="BC95" s="276"/>
      <c r="BD95" s="276"/>
      <c r="BE95" s="276"/>
      <c r="BF95" s="276"/>
    </row>
    <row r="96" s="196" customFormat="1" ht="14" spans="1:58">
      <c r="A96" s="249"/>
      <c r="B96" s="250"/>
      <c r="C96" s="193"/>
      <c r="D96" s="249"/>
      <c r="G96" s="251"/>
      <c r="H96" s="251"/>
      <c r="I96" s="274"/>
      <c r="J96" s="251"/>
      <c r="K96" s="275"/>
      <c r="L96" s="253"/>
      <c r="M96" s="276"/>
      <c r="N96" s="277"/>
      <c r="O96" s="278"/>
      <c r="P96" s="277"/>
      <c r="Q96" s="277"/>
      <c r="R96" s="277"/>
      <c r="S96" s="278"/>
      <c r="T96" s="277"/>
      <c r="U96" s="277"/>
      <c r="V96" s="277"/>
      <c r="W96" s="278"/>
      <c r="X96" s="277"/>
      <c r="Y96" s="277"/>
      <c r="Z96" s="277"/>
      <c r="AA96" s="278"/>
      <c r="AB96" s="277"/>
      <c r="AC96" s="277"/>
      <c r="AD96" s="277"/>
      <c r="AE96" s="278"/>
      <c r="AF96" s="277"/>
      <c r="AG96" s="277"/>
      <c r="AH96" s="277"/>
      <c r="AI96" s="278"/>
      <c r="AJ96" s="277"/>
      <c r="AK96" s="277"/>
      <c r="AL96" s="277"/>
      <c r="AM96" s="278"/>
      <c r="AN96" s="277"/>
      <c r="AO96" s="277"/>
      <c r="AP96" s="277"/>
      <c r="AQ96" s="278"/>
      <c r="AR96" s="277"/>
      <c r="AS96" s="277"/>
      <c r="AT96" s="280"/>
      <c r="AU96" s="276"/>
      <c r="AV96" s="276"/>
      <c r="AW96" s="276"/>
      <c r="AX96" s="276"/>
      <c r="AY96" s="276"/>
      <c r="AZ96" s="276"/>
      <c r="BA96" s="276"/>
      <c r="BB96" s="276"/>
      <c r="BC96" s="276"/>
      <c r="BD96" s="276"/>
      <c r="BE96" s="276"/>
      <c r="BF96" s="276"/>
    </row>
    <row r="97" s="196" customFormat="1" ht="14" spans="1:58">
      <c r="A97" s="249"/>
      <c r="B97" s="250"/>
      <c r="C97" s="193"/>
      <c r="D97" s="249"/>
      <c r="G97" s="251"/>
      <c r="H97" s="251"/>
      <c r="I97" s="274"/>
      <c r="J97" s="251"/>
      <c r="K97" s="275"/>
      <c r="L97" s="253"/>
      <c r="M97" s="276"/>
      <c r="N97" s="277"/>
      <c r="O97" s="278"/>
      <c r="P97" s="277"/>
      <c r="Q97" s="277"/>
      <c r="R97" s="277"/>
      <c r="S97" s="278"/>
      <c r="T97" s="277"/>
      <c r="U97" s="277"/>
      <c r="V97" s="277"/>
      <c r="W97" s="278"/>
      <c r="X97" s="277"/>
      <c r="Y97" s="277"/>
      <c r="Z97" s="277"/>
      <c r="AA97" s="278"/>
      <c r="AB97" s="277"/>
      <c r="AC97" s="277"/>
      <c r="AD97" s="277"/>
      <c r="AE97" s="278"/>
      <c r="AF97" s="277"/>
      <c r="AG97" s="277"/>
      <c r="AH97" s="277"/>
      <c r="AI97" s="278"/>
      <c r="AJ97" s="277"/>
      <c r="AK97" s="277"/>
      <c r="AL97" s="277"/>
      <c r="AM97" s="278"/>
      <c r="AN97" s="277"/>
      <c r="AO97" s="277"/>
      <c r="AP97" s="277"/>
      <c r="AQ97" s="278"/>
      <c r="AR97" s="277"/>
      <c r="AS97" s="277"/>
      <c r="AT97" s="280"/>
      <c r="AU97" s="276"/>
      <c r="AV97" s="276"/>
      <c r="AW97" s="276"/>
      <c r="AX97" s="276"/>
      <c r="AY97" s="276"/>
      <c r="AZ97" s="276"/>
      <c r="BA97" s="276"/>
      <c r="BB97" s="276"/>
      <c r="BC97" s="276"/>
      <c r="BD97" s="276"/>
      <c r="BE97" s="276"/>
      <c r="BF97" s="276"/>
    </row>
    <row r="98" s="196" customFormat="1" ht="14" spans="1:58">
      <c r="A98" s="249"/>
      <c r="B98" s="250"/>
      <c r="C98" s="193"/>
      <c r="D98" s="249"/>
      <c r="G98" s="251"/>
      <c r="H98" s="251"/>
      <c r="I98" s="274"/>
      <c r="J98" s="251"/>
      <c r="K98" s="275"/>
      <c r="L98" s="253"/>
      <c r="M98" s="276"/>
      <c r="N98" s="277"/>
      <c r="O98" s="278"/>
      <c r="P98" s="277"/>
      <c r="Q98" s="277"/>
      <c r="R98" s="277"/>
      <c r="S98" s="278"/>
      <c r="T98" s="277"/>
      <c r="U98" s="277"/>
      <c r="V98" s="277"/>
      <c r="W98" s="278"/>
      <c r="X98" s="277"/>
      <c r="Y98" s="277"/>
      <c r="Z98" s="277"/>
      <c r="AA98" s="278"/>
      <c r="AB98" s="277"/>
      <c r="AC98" s="277"/>
      <c r="AD98" s="277"/>
      <c r="AE98" s="278"/>
      <c r="AF98" s="277"/>
      <c r="AG98" s="277"/>
      <c r="AH98" s="277"/>
      <c r="AI98" s="278"/>
      <c r="AJ98" s="277"/>
      <c r="AK98" s="277"/>
      <c r="AL98" s="277"/>
      <c r="AM98" s="278"/>
      <c r="AN98" s="277"/>
      <c r="AO98" s="277"/>
      <c r="AP98" s="277"/>
      <c r="AQ98" s="278"/>
      <c r="AR98" s="277"/>
      <c r="AS98" s="277"/>
      <c r="AT98" s="280"/>
      <c r="AU98" s="276"/>
      <c r="AV98" s="276"/>
      <c r="AW98" s="276"/>
      <c r="AX98" s="276"/>
      <c r="AY98" s="276"/>
      <c r="AZ98" s="276"/>
      <c r="BA98" s="276"/>
      <c r="BB98" s="276"/>
      <c r="BC98" s="276"/>
      <c r="BD98" s="276"/>
      <c r="BE98" s="276"/>
      <c r="BF98" s="276"/>
    </row>
    <row r="99" s="196" customFormat="1" ht="14" spans="1:58">
      <c r="A99" s="249"/>
      <c r="B99" s="250"/>
      <c r="C99" s="193"/>
      <c r="D99" s="249"/>
      <c r="G99" s="251"/>
      <c r="H99" s="251"/>
      <c r="I99" s="274"/>
      <c r="J99" s="251"/>
      <c r="K99" s="275"/>
      <c r="L99" s="253"/>
      <c r="M99" s="276"/>
      <c r="N99" s="277"/>
      <c r="O99" s="278"/>
      <c r="P99" s="277"/>
      <c r="Q99" s="277"/>
      <c r="R99" s="277"/>
      <c r="S99" s="278"/>
      <c r="T99" s="277"/>
      <c r="U99" s="277"/>
      <c r="V99" s="277"/>
      <c r="W99" s="278"/>
      <c r="X99" s="277"/>
      <c r="Y99" s="277"/>
      <c r="Z99" s="277"/>
      <c r="AA99" s="278"/>
      <c r="AB99" s="277"/>
      <c r="AC99" s="277"/>
      <c r="AD99" s="277"/>
      <c r="AE99" s="278"/>
      <c r="AF99" s="277"/>
      <c r="AG99" s="277"/>
      <c r="AH99" s="277"/>
      <c r="AI99" s="278"/>
      <c r="AJ99" s="277"/>
      <c r="AK99" s="277"/>
      <c r="AL99" s="277"/>
      <c r="AM99" s="278"/>
      <c r="AN99" s="277"/>
      <c r="AO99" s="277"/>
      <c r="AP99" s="277"/>
      <c r="AQ99" s="278"/>
      <c r="AR99" s="277"/>
      <c r="AS99" s="277"/>
      <c r="AT99" s="280"/>
      <c r="AU99" s="276"/>
      <c r="AV99" s="276"/>
      <c r="AW99" s="276"/>
      <c r="AX99" s="276"/>
      <c r="AY99" s="276"/>
      <c r="AZ99" s="276"/>
      <c r="BA99" s="276"/>
      <c r="BB99" s="276"/>
      <c r="BC99" s="276"/>
      <c r="BD99" s="276"/>
      <c r="BE99" s="276"/>
      <c r="BF99" s="276"/>
    </row>
    <row r="100" s="196" customFormat="1" ht="14" spans="1:58">
      <c r="A100" s="249"/>
      <c r="B100" s="250"/>
      <c r="C100" s="193"/>
      <c r="D100" s="249"/>
      <c r="G100" s="251"/>
      <c r="H100" s="251"/>
      <c r="I100" s="274"/>
      <c r="J100" s="251"/>
      <c r="K100" s="275"/>
      <c r="L100" s="253"/>
      <c r="M100" s="276"/>
      <c r="N100" s="277"/>
      <c r="O100" s="278"/>
      <c r="P100" s="277"/>
      <c r="Q100" s="277"/>
      <c r="R100" s="277"/>
      <c r="S100" s="278"/>
      <c r="T100" s="277"/>
      <c r="U100" s="277"/>
      <c r="V100" s="277"/>
      <c r="W100" s="278"/>
      <c r="X100" s="277"/>
      <c r="Y100" s="277"/>
      <c r="Z100" s="277"/>
      <c r="AA100" s="278"/>
      <c r="AB100" s="277"/>
      <c r="AC100" s="277"/>
      <c r="AD100" s="277"/>
      <c r="AE100" s="278"/>
      <c r="AF100" s="277"/>
      <c r="AG100" s="277"/>
      <c r="AH100" s="277"/>
      <c r="AI100" s="278"/>
      <c r="AJ100" s="277"/>
      <c r="AK100" s="277"/>
      <c r="AL100" s="277"/>
      <c r="AM100" s="278"/>
      <c r="AN100" s="277"/>
      <c r="AO100" s="277"/>
      <c r="AP100" s="277"/>
      <c r="AQ100" s="278"/>
      <c r="AR100" s="277"/>
      <c r="AS100" s="277"/>
      <c r="AT100" s="280"/>
      <c r="AU100" s="276"/>
      <c r="AV100" s="276"/>
      <c r="AW100" s="276"/>
      <c r="AX100" s="276"/>
      <c r="AY100" s="276"/>
      <c r="AZ100" s="276"/>
      <c r="BA100" s="276"/>
      <c r="BB100" s="276"/>
      <c r="BC100" s="276"/>
      <c r="BD100" s="276"/>
      <c r="BE100" s="276"/>
      <c r="BF100" s="276"/>
    </row>
    <row r="101" s="196" customFormat="1" ht="14" spans="1:58">
      <c r="A101" s="249"/>
      <c r="B101" s="250"/>
      <c r="C101" s="193"/>
      <c r="D101" s="249"/>
      <c r="G101" s="251"/>
      <c r="H101" s="251"/>
      <c r="I101" s="274"/>
      <c r="J101" s="251"/>
      <c r="K101" s="275"/>
      <c r="L101" s="253"/>
      <c r="M101" s="276"/>
      <c r="N101" s="277"/>
      <c r="O101" s="278"/>
      <c r="P101" s="277"/>
      <c r="Q101" s="277"/>
      <c r="R101" s="277"/>
      <c r="S101" s="278"/>
      <c r="T101" s="277"/>
      <c r="U101" s="277"/>
      <c r="V101" s="277"/>
      <c r="W101" s="278"/>
      <c r="X101" s="277"/>
      <c r="Y101" s="277"/>
      <c r="Z101" s="277"/>
      <c r="AA101" s="278"/>
      <c r="AB101" s="277"/>
      <c r="AC101" s="277"/>
      <c r="AD101" s="277"/>
      <c r="AE101" s="278"/>
      <c r="AF101" s="277"/>
      <c r="AG101" s="277"/>
      <c r="AH101" s="277"/>
      <c r="AI101" s="278"/>
      <c r="AJ101" s="277"/>
      <c r="AK101" s="277"/>
      <c r="AL101" s="277"/>
      <c r="AM101" s="278"/>
      <c r="AN101" s="277"/>
      <c r="AO101" s="277"/>
      <c r="AP101" s="277"/>
      <c r="AQ101" s="278"/>
      <c r="AR101" s="277"/>
      <c r="AS101" s="277"/>
      <c r="AT101" s="280"/>
      <c r="AU101" s="276"/>
      <c r="AV101" s="276"/>
      <c r="AW101" s="276"/>
      <c r="AX101" s="276"/>
      <c r="AY101" s="276"/>
      <c r="AZ101" s="276"/>
      <c r="BA101" s="276"/>
      <c r="BB101" s="276"/>
      <c r="BC101" s="276"/>
      <c r="BD101" s="276"/>
      <c r="BE101" s="276"/>
      <c r="BF101" s="276"/>
    </row>
    <row r="102" s="196" customFormat="1" ht="14" spans="1:58">
      <c r="A102" s="249"/>
      <c r="B102" s="250"/>
      <c r="C102" s="193"/>
      <c r="D102" s="249"/>
      <c r="G102" s="251"/>
      <c r="H102" s="251"/>
      <c r="I102" s="274"/>
      <c r="J102" s="251"/>
      <c r="K102" s="275"/>
      <c r="L102" s="253"/>
      <c r="M102" s="276"/>
      <c r="N102" s="277"/>
      <c r="O102" s="278"/>
      <c r="P102" s="277"/>
      <c r="Q102" s="277"/>
      <c r="R102" s="277"/>
      <c r="S102" s="278"/>
      <c r="T102" s="277"/>
      <c r="U102" s="277"/>
      <c r="V102" s="277"/>
      <c r="W102" s="278"/>
      <c r="X102" s="277"/>
      <c r="Y102" s="277"/>
      <c r="Z102" s="277"/>
      <c r="AA102" s="278"/>
      <c r="AB102" s="277"/>
      <c r="AC102" s="277"/>
      <c r="AD102" s="277"/>
      <c r="AE102" s="278"/>
      <c r="AF102" s="277"/>
      <c r="AG102" s="277"/>
      <c r="AH102" s="277"/>
      <c r="AI102" s="278"/>
      <c r="AJ102" s="277"/>
      <c r="AK102" s="277"/>
      <c r="AL102" s="277"/>
      <c r="AM102" s="278"/>
      <c r="AN102" s="277"/>
      <c r="AO102" s="277"/>
      <c r="AP102" s="277"/>
      <c r="AQ102" s="278"/>
      <c r="AR102" s="277"/>
      <c r="AS102" s="277"/>
      <c r="AT102" s="280"/>
      <c r="AU102" s="276"/>
      <c r="AV102" s="276"/>
      <c r="AW102" s="276"/>
      <c r="AX102" s="276"/>
      <c r="AY102" s="276"/>
      <c r="AZ102" s="276"/>
      <c r="BA102" s="276"/>
      <c r="BB102" s="276"/>
      <c r="BC102" s="276"/>
      <c r="BD102" s="276"/>
      <c r="BE102" s="276"/>
      <c r="BF102" s="276"/>
    </row>
    <row r="103" s="196" customFormat="1" ht="14" spans="1:58">
      <c r="A103" s="249"/>
      <c r="B103" s="250"/>
      <c r="C103" s="193"/>
      <c r="D103" s="249"/>
      <c r="G103" s="251"/>
      <c r="H103" s="251"/>
      <c r="I103" s="274"/>
      <c r="J103" s="251"/>
      <c r="K103" s="275"/>
      <c r="L103" s="253"/>
      <c r="M103" s="276"/>
      <c r="N103" s="277"/>
      <c r="O103" s="278"/>
      <c r="P103" s="277"/>
      <c r="Q103" s="277"/>
      <c r="R103" s="277"/>
      <c r="S103" s="278"/>
      <c r="T103" s="277"/>
      <c r="U103" s="277"/>
      <c r="V103" s="277"/>
      <c r="W103" s="278"/>
      <c r="X103" s="277"/>
      <c r="Y103" s="277"/>
      <c r="Z103" s="277"/>
      <c r="AA103" s="278"/>
      <c r="AB103" s="277"/>
      <c r="AC103" s="277"/>
      <c r="AD103" s="277"/>
      <c r="AE103" s="278"/>
      <c r="AF103" s="277"/>
      <c r="AG103" s="277"/>
      <c r="AH103" s="277"/>
      <c r="AI103" s="278"/>
      <c r="AJ103" s="277"/>
      <c r="AK103" s="277"/>
      <c r="AL103" s="277"/>
      <c r="AM103" s="278"/>
      <c r="AN103" s="277"/>
      <c r="AO103" s="277"/>
      <c r="AP103" s="277"/>
      <c r="AQ103" s="278"/>
      <c r="AR103" s="277"/>
      <c r="AS103" s="277"/>
      <c r="AT103" s="280"/>
      <c r="AU103" s="276"/>
      <c r="AV103" s="276"/>
      <c r="AW103" s="276"/>
      <c r="AX103" s="276"/>
      <c r="AY103" s="276"/>
      <c r="AZ103" s="276"/>
      <c r="BA103" s="276"/>
      <c r="BB103" s="276"/>
      <c r="BC103" s="276"/>
      <c r="BD103" s="276"/>
      <c r="BE103" s="276"/>
      <c r="BF103" s="276"/>
    </row>
    <row r="104" s="196" customFormat="1" ht="14" spans="1:58">
      <c r="A104" s="249"/>
      <c r="B104" s="250"/>
      <c r="C104" s="193"/>
      <c r="D104" s="249"/>
      <c r="G104" s="251"/>
      <c r="H104" s="251"/>
      <c r="I104" s="274"/>
      <c r="J104" s="251"/>
      <c r="K104" s="275"/>
      <c r="L104" s="253"/>
      <c r="M104" s="276"/>
      <c r="N104" s="277"/>
      <c r="O104" s="278"/>
      <c r="P104" s="277"/>
      <c r="Q104" s="277"/>
      <c r="R104" s="277"/>
      <c r="S104" s="278"/>
      <c r="T104" s="277"/>
      <c r="U104" s="277"/>
      <c r="V104" s="277"/>
      <c r="W104" s="278"/>
      <c r="X104" s="277"/>
      <c r="Y104" s="277"/>
      <c r="Z104" s="277"/>
      <c r="AA104" s="278"/>
      <c r="AB104" s="277"/>
      <c r="AC104" s="277"/>
      <c r="AD104" s="277"/>
      <c r="AE104" s="278"/>
      <c r="AF104" s="277"/>
      <c r="AG104" s="277"/>
      <c r="AH104" s="277"/>
      <c r="AI104" s="278"/>
      <c r="AJ104" s="277"/>
      <c r="AK104" s="277"/>
      <c r="AL104" s="277"/>
      <c r="AM104" s="278"/>
      <c r="AN104" s="277"/>
      <c r="AO104" s="277"/>
      <c r="AP104" s="277"/>
      <c r="AQ104" s="278"/>
      <c r="AR104" s="277"/>
      <c r="AS104" s="277"/>
      <c r="AT104" s="280"/>
      <c r="AU104" s="276"/>
      <c r="AV104" s="276"/>
      <c r="AW104" s="276"/>
      <c r="AX104" s="276"/>
      <c r="AY104" s="276"/>
      <c r="AZ104" s="276"/>
      <c r="BA104" s="276"/>
      <c r="BB104" s="276"/>
      <c r="BC104" s="276"/>
      <c r="BD104" s="276"/>
      <c r="BE104" s="276"/>
      <c r="BF104" s="276"/>
    </row>
    <row r="105" s="196" customFormat="1" ht="14" spans="1:58">
      <c r="A105" s="249"/>
      <c r="B105" s="250"/>
      <c r="C105" s="193"/>
      <c r="D105" s="249"/>
      <c r="G105" s="251"/>
      <c r="H105" s="251"/>
      <c r="I105" s="274"/>
      <c r="J105" s="251"/>
      <c r="K105" s="275"/>
      <c r="L105" s="253"/>
      <c r="M105" s="276"/>
      <c r="N105" s="277"/>
      <c r="O105" s="278"/>
      <c r="P105" s="277"/>
      <c r="Q105" s="277"/>
      <c r="R105" s="277"/>
      <c r="S105" s="278"/>
      <c r="T105" s="277"/>
      <c r="U105" s="277"/>
      <c r="V105" s="277"/>
      <c r="W105" s="278"/>
      <c r="X105" s="277"/>
      <c r="Y105" s="277"/>
      <c r="Z105" s="277"/>
      <c r="AA105" s="278"/>
      <c r="AB105" s="277"/>
      <c r="AC105" s="277"/>
      <c r="AD105" s="277"/>
      <c r="AE105" s="278"/>
      <c r="AF105" s="277"/>
      <c r="AG105" s="277"/>
      <c r="AH105" s="277"/>
      <c r="AI105" s="278"/>
      <c r="AJ105" s="277"/>
      <c r="AK105" s="277"/>
      <c r="AL105" s="277"/>
      <c r="AM105" s="278"/>
      <c r="AN105" s="277"/>
      <c r="AO105" s="277"/>
      <c r="AP105" s="277"/>
      <c r="AQ105" s="278"/>
      <c r="AR105" s="277"/>
      <c r="AS105" s="277"/>
      <c r="AT105" s="280"/>
      <c r="AU105" s="276"/>
      <c r="AV105" s="276"/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</row>
    <row r="106" s="196" customFormat="1" ht="14" spans="1:58">
      <c r="A106" s="249"/>
      <c r="B106" s="250"/>
      <c r="C106" s="193"/>
      <c r="D106" s="249"/>
      <c r="G106" s="251"/>
      <c r="H106" s="251"/>
      <c r="I106" s="274"/>
      <c r="J106" s="251"/>
      <c r="K106" s="275"/>
      <c r="L106" s="253"/>
      <c r="M106" s="276"/>
      <c r="N106" s="277"/>
      <c r="O106" s="278"/>
      <c r="P106" s="277"/>
      <c r="Q106" s="277"/>
      <c r="R106" s="277"/>
      <c r="S106" s="278"/>
      <c r="T106" s="277"/>
      <c r="U106" s="277"/>
      <c r="V106" s="277"/>
      <c r="W106" s="278"/>
      <c r="X106" s="277"/>
      <c r="Y106" s="277"/>
      <c r="Z106" s="277"/>
      <c r="AA106" s="278"/>
      <c r="AB106" s="277"/>
      <c r="AC106" s="277"/>
      <c r="AD106" s="277"/>
      <c r="AE106" s="278"/>
      <c r="AF106" s="277"/>
      <c r="AG106" s="277"/>
      <c r="AH106" s="277"/>
      <c r="AI106" s="278"/>
      <c r="AJ106" s="277"/>
      <c r="AK106" s="277"/>
      <c r="AL106" s="277"/>
      <c r="AM106" s="278"/>
      <c r="AN106" s="277"/>
      <c r="AO106" s="277"/>
      <c r="AP106" s="277"/>
      <c r="AQ106" s="278"/>
      <c r="AR106" s="277"/>
      <c r="AS106" s="277"/>
      <c r="AT106" s="280"/>
      <c r="AU106" s="276"/>
      <c r="AV106" s="276"/>
      <c r="AW106" s="276"/>
      <c r="AX106" s="276"/>
      <c r="AY106" s="276"/>
      <c r="AZ106" s="276"/>
      <c r="BA106" s="276"/>
      <c r="BB106" s="276"/>
      <c r="BC106" s="276"/>
      <c r="BD106" s="276"/>
      <c r="BE106" s="276"/>
      <c r="BF106" s="276"/>
    </row>
    <row r="107" s="196" customFormat="1" ht="14" spans="1:58">
      <c r="A107" s="249"/>
      <c r="B107" s="250"/>
      <c r="C107" s="193"/>
      <c r="D107" s="249"/>
      <c r="G107" s="251"/>
      <c r="H107" s="251"/>
      <c r="I107" s="274"/>
      <c r="J107" s="251"/>
      <c r="K107" s="275"/>
      <c r="L107" s="253"/>
      <c r="M107" s="276"/>
      <c r="N107" s="277"/>
      <c r="O107" s="278"/>
      <c r="P107" s="277"/>
      <c r="Q107" s="277"/>
      <c r="R107" s="277"/>
      <c r="S107" s="278"/>
      <c r="T107" s="277"/>
      <c r="U107" s="277"/>
      <c r="V107" s="277"/>
      <c r="W107" s="278"/>
      <c r="X107" s="277"/>
      <c r="Y107" s="277"/>
      <c r="Z107" s="277"/>
      <c r="AA107" s="278"/>
      <c r="AB107" s="277"/>
      <c r="AC107" s="277"/>
      <c r="AD107" s="277"/>
      <c r="AE107" s="278"/>
      <c r="AF107" s="277"/>
      <c r="AG107" s="277"/>
      <c r="AH107" s="277"/>
      <c r="AI107" s="278"/>
      <c r="AJ107" s="277"/>
      <c r="AK107" s="277"/>
      <c r="AL107" s="277"/>
      <c r="AM107" s="278"/>
      <c r="AN107" s="277"/>
      <c r="AO107" s="277"/>
      <c r="AP107" s="277"/>
      <c r="AQ107" s="278"/>
      <c r="AR107" s="277"/>
      <c r="AS107" s="277"/>
      <c r="AT107" s="280"/>
      <c r="AU107" s="276"/>
      <c r="AV107" s="276"/>
      <c r="AW107" s="276"/>
      <c r="AX107" s="276"/>
      <c r="AY107" s="276"/>
      <c r="AZ107" s="276"/>
      <c r="BA107" s="276"/>
      <c r="BB107" s="276"/>
      <c r="BC107" s="276"/>
      <c r="BD107" s="276"/>
      <c r="BE107" s="276"/>
      <c r="BF107" s="276"/>
    </row>
    <row r="108" s="196" customFormat="1" ht="14" spans="1:58">
      <c r="A108" s="249"/>
      <c r="B108" s="250"/>
      <c r="C108" s="193"/>
      <c r="D108" s="249"/>
      <c r="G108" s="251"/>
      <c r="H108" s="251"/>
      <c r="I108" s="274"/>
      <c r="J108" s="251"/>
      <c r="K108" s="275"/>
      <c r="L108" s="253"/>
      <c r="M108" s="276"/>
      <c r="N108" s="277"/>
      <c r="O108" s="278"/>
      <c r="P108" s="277"/>
      <c r="Q108" s="277"/>
      <c r="R108" s="277"/>
      <c r="S108" s="278"/>
      <c r="T108" s="277"/>
      <c r="U108" s="277"/>
      <c r="V108" s="277"/>
      <c r="W108" s="278"/>
      <c r="X108" s="277"/>
      <c r="Y108" s="277"/>
      <c r="Z108" s="277"/>
      <c r="AA108" s="278"/>
      <c r="AB108" s="277"/>
      <c r="AC108" s="277"/>
      <c r="AD108" s="277"/>
      <c r="AE108" s="278"/>
      <c r="AF108" s="277"/>
      <c r="AG108" s="277"/>
      <c r="AH108" s="277"/>
      <c r="AI108" s="278"/>
      <c r="AJ108" s="277"/>
      <c r="AK108" s="277"/>
      <c r="AL108" s="277"/>
      <c r="AM108" s="278"/>
      <c r="AN108" s="277"/>
      <c r="AO108" s="277"/>
      <c r="AP108" s="277"/>
      <c r="AQ108" s="278"/>
      <c r="AR108" s="277"/>
      <c r="AS108" s="277"/>
      <c r="AT108" s="280"/>
      <c r="AU108" s="276"/>
      <c r="AV108" s="276"/>
      <c r="AW108" s="276"/>
      <c r="AX108" s="276"/>
      <c r="AY108" s="276"/>
      <c r="AZ108" s="276"/>
      <c r="BA108" s="276"/>
      <c r="BB108" s="276"/>
      <c r="BC108" s="276"/>
      <c r="BD108" s="276"/>
      <c r="BE108" s="276"/>
      <c r="BF108" s="276"/>
    </row>
    <row r="109" s="196" customFormat="1" ht="14" spans="1:58">
      <c r="A109" s="249"/>
      <c r="B109" s="250"/>
      <c r="C109" s="193"/>
      <c r="D109" s="249"/>
      <c r="G109" s="251"/>
      <c r="H109" s="251"/>
      <c r="I109" s="274"/>
      <c r="J109" s="251"/>
      <c r="K109" s="275"/>
      <c r="L109" s="253"/>
      <c r="M109" s="276"/>
      <c r="N109" s="277"/>
      <c r="O109" s="278"/>
      <c r="P109" s="277"/>
      <c r="Q109" s="277"/>
      <c r="R109" s="277"/>
      <c r="S109" s="278"/>
      <c r="T109" s="277"/>
      <c r="U109" s="277"/>
      <c r="V109" s="277"/>
      <c r="W109" s="278"/>
      <c r="X109" s="277"/>
      <c r="Y109" s="277"/>
      <c r="Z109" s="277"/>
      <c r="AA109" s="278"/>
      <c r="AB109" s="277"/>
      <c r="AC109" s="277"/>
      <c r="AD109" s="277"/>
      <c r="AE109" s="278"/>
      <c r="AF109" s="277"/>
      <c r="AG109" s="277"/>
      <c r="AH109" s="277"/>
      <c r="AI109" s="278"/>
      <c r="AJ109" s="277"/>
      <c r="AK109" s="277"/>
      <c r="AL109" s="277"/>
      <c r="AM109" s="278"/>
      <c r="AN109" s="277"/>
      <c r="AO109" s="277"/>
      <c r="AP109" s="277"/>
      <c r="AQ109" s="278"/>
      <c r="AR109" s="277"/>
      <c r="AS109" s="277"/>
      <c r="AT109" s="280"/>
      <c r="AU109" s="276"/>
      <c r="AV109" s="276"/>
      <c r="AW109" s="276"/>
      <c r="AX109" s="276"/>
      <c r="AY109" s="276"/>
      <c r="AZ109" s="276"/>
      <c r="BA109" s="276"/>
      <c r="BB109" s="276"/>
      <c r="BC109" s="276"/>
      <c r="BD109" s="276"/>
      <c r="BE109" s="276"/>
      <c r="BF109" s="276"/>
    </row>
    <row r="110" s="196" customFormat="1" ht="14" spans="1:58">
      <c r="A110" s="249"/>
      <c r="B110" s="250"/>
      <c r="C110" s="193"/>
      <c r="D110" s="249"/>
      <c r="G110" s="251"/>
      <c r="H110" s="251"/>
      <c r="I110" s="274"/>
      <c r="J110" s="251"/>
      <c r="K110" s="275"/>
      <c r="L110" s="253"/>
      <c r="M110" s="276"/>
      <c r="N110" s="277"/>
      <c r="O110" s="278"/>
      <c r="P110" s="277"/>
      <c r="Q110" s="277"/>
      <c r="R110" s="277"/>
      <c r="S110" s="278"/>
      <c r="T110" s="277"/>
      <c r="U110" s="277"/>
      <c r="V110" s="277"/>
      <c r="W110" s="278"/>
      <c r="X110" s="277"/>
      <c r="Y110" s="277"/>
      <c r="Z110" s="277"/>
      <c r="AA110" s="278"/>
      <c r="AB110" s="277"/>
      <c r="AC110" s="277"/>
      <c r="AD110" s="277"/>
      <c r="AE110" s="278"/>
      <c r="AF110" s="277"/>
      <c r="AG110" s="277"/>
      <c r="AH110" s="277"/>
      <c r="AI110" s="278"/>
      <c r="AJ110" s="277"/>
      <c r="AK110" s="277"/>
      <c r="AL110" s="277"/>
      <c r="AM110" s="278"/>
      <c r="AN110" s="277"/>
      <c r="AO110" s="277"/>
      <c r="AP110" s="277"/>
      <c r="AQ110" s="278"/>
      <c r="AR110" s="277"/>
      <c r="AS110" s="277"/>
      <c r="AT110" s="280"/>
      <c r="AU110" s="276"/>
      <c r="AV110" s="276"/>
      <c r="AW110" s="276"/>
      <c r="AX110" s="276"/>
      <c r="AY110" s="276"/>
      <c r="AZ110" s="276"/>
      <c r="BA110" s="276"/>
      <c r="BB110" s="276"/>
      <c r="BC110" s="276"/>
      <c r="BD110" s="276"/>
      <c r="BE110" s="276"/>
      <c r="BF110" s="276"/>
    </row>
    <row r="111" s="196" customFormat="1" ht="14" spans="1:58">
      <c r="A111" s="249"/>
      <c r="B111" s="250"/>
      <c r="C111" s="193"/>
      <c r="D111" s="249"/>
      <c r="G111" s="251"/>
      <c r="H111" s="251"/>
      <c r="I111" s="274"/>
      <c r="J111" s="251"/>
      <c r="K111" s="275"/>
      <c r="L111" s="253"/>
      <c r="M111" s="276"/>
      <c r="N111" s="277"/>
      <c r="O111" s="278"/>
      <c r="P111" s="277"/>
      <c r="Q111" s="277"/>
      <c r="R111" s="277"/>
      <c r="S111" s="278"/>
      <c r="T111" s="277"/>
      <c r="U111" s="277"/>
      <c r="V111" s="277"/>
      <c r="W111" s="278"/>
      <c r="X111" s="277"/>
      <c r="Y111" s="277"/>
      <c r="Z111" s="277"/>
      <c r="AA111" s="278"/>
      <c r="AB111" s="277"/>
      <c r="AC111" s="277"/>
      <c r="AD111" s="277"/>
      <c r="AE111" s="278"/>
      <c r="AF111" s="277"/>
      <c r="AG111" s="277"/>
      <c r="AH111" s="277"/>
      <c r="AI111" s="278"/>
      <c r="AJ111" s="277"/>
      <c r="AK111" s="277"/>
      <c r="AL111" s="277"/>
      <c r="AM111" s="278"/>
      <c r="AN111" s="277"/>
      <c r="AO111" s="277"/>
      <c r="AP111" s="277"/>
      <c r="AQ111" s="278"/>
      <c r="AR111" s="277"/>
      <c r="AS111" s="277"/>
      <c r="AT111" s="280"/>
      <c r="AU111" s="276"/>
      <c r="AV111" s="276"/>
      <c r="AW111" s="276"/>
      <c r="AX111" s="276"/>
      <c r="AY111" s="276"/>
      <c r="AZ111" s="276"/>
      <c r="BA111" s="276"/>
      <c r="BB111" s="276"/>
      <c r="BC111" s="276"/>
      <c r="BD111" s="276"/>
      <c r="BE111" s="276"/>
      <c r="BF111" s="276"/>
    </row>
    <row r="112" s="196" customFormat="1" ht="14" spans="1:58">
      <c r="A112" s="249"/>
      <c r="B112" s="250"/>
      <c r="C112" s="193"/>
      <c r="D112" s="249"/>
      <c r="G112" s="251"/>
      <c r="H112" s="251"/>
      <c r="I112" s="274"/>
      <c r="J112" s="251"/>
      <c r="K112" s="275"/>
      <c r="L112" s="253"/>
      <c r="M112" s="276"/>
      <c r="N112" s="277"/>
      <c r="O112" s="278"/>
      <c r="P112" s="277"/>
      <c r="Q112" s="277"/>
      <c r="R112" s="277"/>
      <c r="S112" s="278"/>
      <c r="T112" s="277"/>
      <c r="U112" s="277"/>
      <c r="V112" s="277"/>
      <c r="W112" s="278"/>
      <c r="X112" s="277"/>
      <c r="Y112" s="277"/>
      <c r="Z112" s="277"/>
      <c r="AA112" s="278"/>
      <c r="AB112" s="277"/>
      <c r="AC112" s="277"/>
      <c r="AD112" s="277"/>
      <c r="AE112" s="278"/>
      <c r="AF112" s="277"/>
      <c r="AG112" s="277"/>
      <c r="AH112" s="277"/>
      <c r="AI112" s="278"/>
      <c r="AJ112" s="277"/>
      <c r="AK112" s="277"/>
      <c r="AL112" s="277"/>
      <c r="AM112" s="278"/>
      <c r="AN112" s="277"/>
      <c r="AO112" s="277"/>
      <c r="AP112" s="277"/>
      <c r="AQ112" s="278"/>
      <c r="AR112" s="277"/>
      <c r="AS112" s="277"/>
      <c r="AT112" s="280"/>
      <c r="AU112" s="276"/>
      <c r="AV112" s="276"/>
      <c r="AW112" s="276"/>
      <c r="AX112" s="276"/>
      <c r="AY112" s="276"/>
      <c r="AZ112" s="276"/>
      <c r="BA112" s="276"/>
      <c r="BB112" s="276"/>
      <c r="BC112" s="276"/>
      <c r="BD112" s="276"/>
      <c r="BE112" s="276"/>
      <c r="BF112" s="276"/>
    </row>
    <row r="113" s="196" customFormat="1" ht="14" spans="1:58">
      <c r="A113" s="249"/>
      <c r="B113" s="250"/>
      <c r="C113" s="193"/>
      <c r="D113" s="249"/>
      <c r="G113" s="251"/>
      <c r="H113" s="251"/>
      <c r="I113" s="274"/>
      <c r="J113" s="251"/>
      <c r="K113" s="275"/>
      <c r="L113" s="253"/>
      <c r="M113" s="276"/>
      <c r="N113" s="277"/>
      <c r="O113" s="278"/>
      <c r="P113" s="277"/>
      <c r="Q113" s="277"/>
      <c r="R113" s="277"/>
      <c r="S113" s="278"/>
      <c r="T113" s="277"/>
      <c r="U113" s="277"/>
      <c r="V113" s="277"/>
      <c r="W113" s="278"/>
      <c r="X113" s="277"/>
      <c r="Y113" s="277"/>
      <c r="Z113" s="277"/>
      <c r="AA113" s="278"/>
      <c r="AB113" s="277"/>
      <c r="AC113" s="277"/>
      <c r="AD113" s="277"/>
      <c r="AE113" s="278"/>
      <c r="AF113" s="277"/>
      <c r="AG113" s="277"/>
      <c r="AH113" s="277"/>
      <c r="AI113" s="278"/>
      <c r="AJ113" s="277"/>
      <c r="AK113" s="277"/>
      <c r="AL113" s="277"/>
      <c r="AM113" s="278"/>
      <c r="AN113" s="277"/>
      <c r="AO113" s="277"/>
      <c r="AP113" s="277"/>
      <c r="AQ113" s="278"/>
      <c r="AR113" s="277"/>
      <c r="AS113" s="277"/>
      <c r="AT113" s="280"/>
      <c r="AU113" s="276"/>
      <c r="AV113" s="276"/>
      <c r="AW113" s="276"/>
      <c r="AX113" s="276"/>
      <c r="AY113" s="276"/>
      <c r="AZ113" s="276"/>
      <c r="BA113" s="276"/>
      <c r="BB113" s="276"/>
      <c r="BC113" s="276"/>
      <c r="BD113" s="276"/>
      <c r="BE113" s="276"/>
      <c r="BF113" s="276"/>
    </row>
    <row r="114" s="196" customFormat="1" ht="14" spans="1:58">
      <c r="A114" s="249"/>
      <c r="B114" s="250"/>
      <c r="C114" s="193"/>
      <c r="D114" s="249"/>
      <c r="G114" s="251"/>
      <c r="H114" s="251"/>
      <c r="I114" s="274"/>
      <c r="J114" s="251"/>
      <c r="K114" s="275"/>
      <c r="L114" s="253"/>
      <c r="M114" s="276"/>
      <c r="N114" s="277"/>
      <c r="O114" s="278"/>
      <c r="P114" s="277"/>
      <c r="Q114" s="277"/>
      <c r="R114" s="277"/>
      <c r="S114" s="278"/>
      <c r="T114" s="277"/>
      <c r="U114" s="277"/>
      <c r="V114" s="277"/>
      <c r="W114" s="278"/>
      <c r="X114" s="277"/>
      <c r="Y114" s="277"/>
      <c r="Z114" s="277"/>
      <c r="AA114" s="278"/>
      <c r="AB114" s="277"/>
      <c r="AC114" s="277"/>
      <c r="AD114" s="277"/>
      <c r="AE114" s="278"/>
      <c r="AF114" s="277"/>
      <c r="AG114" s="277"/>
      <c r="AH114" s="277"/>
      <c r="AI114" s="278"/>
      <c r="AJ114" s="277"/>
      <c r="AK114" s="277"/>
      <c r="AL114" s="277"/>
      <c r="AM114" s="278"/>
      <c r="AN114" s="277"/>
      <c r="AO114" s="277"/>
      <c r="AP114" s="277"/>
      <c r="AQ114" s="278"/>
      <c r="AR114" s="277"/>
      <c r="AS114" s="277"/>
      <c r="AT114" s="280"/>
      <c r="AU114" s="276"/>
      <c r="AV114" s="276"/>
      <c r="AW114" s="276"/>
      <c r="AX114" s="276"/>
      <c r="AY114" s="276"/>
      <c r="AZ114" s="276"/>
      <c r="BA114" s="276"/>
      <c r="BB114" s="276"/>
      <c r="BC114" s="276"/>
      <c r="BD114" s="276"/>
      <c r="BE114" s="276"/>
      <c r="BF114" s="276"/>
    </row>
    <row r="115" s="196" customFormat="1" ht="14" spans="1:58">
      <c r="A115" s="249"/>
      <c r="B115" s="250"/>
      <c r="C115" s="193"/>
      <c r="D115" s="249"/>
      <c r="G115" s="251"/>
      <c r="H115" s="251"/>
      <c r="I115" s="274"/>
      <c r="J115" s="251"/>
      <c r="K115" s="275"/>
      <c r="L115" s="253"/>
      <c r="M115" s="276"/>
      <c r="N115" s="277"/>
      <c r="O115" s="278"/>
      <c r="P115" s="277"/>
      <c r="Q115" s="277"/>
      <c r="R115" s="277"/>
      <c r="S115" s="278"/>
      <c r="T115" s="277"/>
      <c r="U115" s="277"/>
      <c r="V115" s="277"/>
      <c r="W115" s="278"/>
      <c r="X115" s="277"/>
      <c r="Y115" s="277"/>
      <c r="Z115" s="277"/>
      <c r="AA115" s="278"/>
      <c r="AB115" s="277"/>
      <c r="AC115" s="277"/>
      <c r="AD115" s="277"/>
      <c r="AE115" s="278"/>
      <c r="AF115" s="277"/>
      <c r="AG115" s="277"/>
      <c r="AH115" s="277"/>
      <c r="AI115" s="278"/>
      <c r="AJ115" s="277"/>
      <c r="AK115" s="277"/>
      <c r="AL115" s="277"/>
      <c r="AM115" s="278"/>
      <c r="AN115" s="277"/>
      <c r="AO115" s="277"/>
      <c r="AP115" s="277"/>
      <c r="AQ115" s="278"/>
      <c r="AR115" s="277"/>
      <c r="AS115" s="277"/>
      <c r="AT115" s="280"/>
      <c r="AU115" s="276"/>
      <c r="AV115" s="276"/>
      <c r="AW115" s="276"/>
      <c r="AX115" s="276"/>
      <c r="AY115" s="276"/>
      <c r="AZ115" s="276"/>
      <c r="BA115" s="276"/>
      <c r="BB115" s="276"/>
      <c r="BC115" s="276"/>
      <c r="BD115" s="276"/>
      <c r="BE115" s="276"/>
      <c r="BF115" s="276"/>
    </row>
    <row r="116" s="196" customFormat="1" ht="14" spans="1:58">
      <c r="A116" s="249"/>
      <c r="B116" s="250"/>
      <c r="C116" s="193"/>
      <c r="D116" s="249"/>
      <c r="G116" s="251"/>
      <c r="H116" s="251"/>
      <c r="I116" s="274"/>
      <c r="J116" s="251"/>
      <c r="K116" s="275"/>
      <c r="L116" s="253"/>
      <c r="M116" s="276"/>
      <c r="N116" s="277"/>
      <c r="O116" s="278"/>
      <c r="P116" s="277"/>
      <c r="Q116" s="277"/>
      <c r="R116" s="277"/>
      <c r="S116" s="278"/>
      <c r="T116" s="277"/>
      <c r="U116" s="277"/>
      <c r="V116" s="277"/>
      <c r="W116" s="278"/>
      <c r="X116" s="277"/>
      <c r="Y116" s="277"/>
      <c r="Z116" s="277"/>
      <c r="AA116" s="278"/>
      <c r="AB116" s="277"/>
      <c r="AC116" s="277"/>
      <c r="AD116" s="277"/>
      <c r="AE116" s="278"/>
      <c r="AF116" s="277"/>
      <c r="AG116" s="277"/>
      <c r="AH116" s="277"/>
      <c r="AI116" s="278"/>
      <c r="AJ116" s="277"/>
      <c r="AK116" s="277"/>
      <c r="AL116" s="277"/>
      <c r="AM116" s="278"/>
      <c r="AN116" s="277"/>
      <c r="AO116" s="277"/>
      <c r="AP116" s="277"/>
      <c r="AQ116" s="278"/>
      <c r="AR116" s="277"/>
      <c r="AS116" s="277"/>
      <c r="AT116" s="280"/>
      <c r="AU116" s="276"/>
      <c r="AV116" s="276"/>
      <c r="AW116" s="276"/>
      <c r="AX116" s="276"/>
      <c r="AY116" s="276"/>
      <c r="AZ116" s="276"/>
      <c r="BA116" s="276"/>
      <c r="BB116" s="276"/>
      <c r="BC116" s="276"/>
      <c r="BD116" s="276"/>
      <c r="BE116" s="276"/>
      <c r="BF116" s="276"/>
    </row>
    <row r="117" s="196" customFormat="1" ht="14" spans="1:58">
      <c r="A117" s="249"/>
      <c r="B117" s="250"/>
      <c r="C117" s="193"/>
      <c r="D117" s="249"/>
      <c r="G117" s="251"/>
      <c r="H117" s="251"/>
      <c r="I117" s="274"/>
      <c r="J117" s="251"/>
      <c r="K117" s="275"/>
      <c r="L117" s="253"/>
      <c r="M117" s="276"/>
      <c r="N117" s="277"/>
      <c r="O117" s="278"/>
      <c r="P117" s="277"/>
      <c r="Q117" s="277"/>
      <c r="R117" s="277"/>
      <c r="S117" s="278"/>
      <c r="T117" s="277"/>
      <c r="U117" s="277"/>
      <c r="V117" s="277"/>
      <c r="W117" s="278"/>
      <c r="X117" s="277"/>
      <c r="Y117" s="277"/>
      <c r="Z117" s="277"/>
      <c r="AA117" s="278"/>
      <c r="AB117" s="277"/>
      <c r="AC117" s="277"/>
      <c r="AD117" s="277"/>
      <c r="AE117" s="278"/>
      <c r="AF117" s="277"/>
      <c r="AG117" s="277"/>
      <c r="AH117" s="277"/>
      <c r="AI117" s="278"/>
      <c r="AJ117" s="277"/>
      <c r="AK117" s="277"/>
      <c r="AL117" s="277"/>
      <c r="AM117" s="278"/>
      <c r="AN117" s="277"/>
      <c r="AO117" s="277"/>
      <c r="AP117" s="277"/>
      <c r="AQ117" s="278"/>
      <c r="AR117" s="277"/>
      <c r="AS117" s="277"/>
      <c r="AT117" s="280"/>
      <c r="AU117" s="276"/>
      <c r="AV117" s="276"/>
      <c r="AW117" s="276"/>
      <c r="AX117" s="276"/>
      <c r="AY117" s="276"/>
      <c r="AZ117" s="276"/>
      <c r="BA117" s="276"/>
      <c r="BB117" s="276"/>
      <c r="BC117" s="276"/>
      <c r="BD117" s="276"/>
      <c r="BE117" s="276"/>
      <c r="BF117" s="276"/>
    </row>
    <row r="118" s="196" customFormat="1" ht="14" spans="1:58">
      <c r="A118" s="249"/>
      <c r="B118" s="250"/>
      <c r="C118" s="193"/>
      <c r="D118" s="249"/>
      <c r="G118" s="251"/>
      <c r="H118" s="251"/>
      <c r="I118" s="274"/>
      <c r="J118" s="251"/>
      <c r="K118" s="275"/>
      <c r="L118" s="253"/>
      <c r="M118" s="276"/>
      <c r="N118" s="277"/>
      <c r="O118" s="278"/>
      <c r="P118" s="277"/>
      <c r="Q118" s="277"/>
      <c r="R118" s="277"/>
      <c r="S118" s="278"/>
      <c r="T118" s="277"/>
      <c r="U118" s="277"/>
      <c r="V118" s="277"/>
      <c r="W118" s="278"/>
      <c r="X118" s="277"/>
      <c r="Y118" s="277"/>
      <c r="Z118" s="277"/>
      <c r="AA118" s="278"/>
      <c r="AB118" s="277"/>
      <c r="AC118" s="277"/>
      <c r="AD118" s="277"/>
      <c r="AE118" s="278"/>
      <c r="AF118" s="277"/>
      <c r="AG118" s="277"/>
      <c r="AH118" s="277"/>
      <c r="AI118" s="278"/>
      <c r="AJ118" s="277"/>
      <c r="AK118" s="277"/>
      <c r="AL118" s="277"/>
      <c r="AM118" s="278"/>
      <c r="AN118" s="277"/>
      <c r="AO118" s="277"/>
      <c r="AP118" s="277"/>
      <c r="AQ118" s="278"/>
      <c r="AR118" s="277"/>
      <c r="AS118" s="277"/>
      <c r="AT118" s="280"/>
      <c r="AU118" s="276"/>
      <c r="AV118" s="276"/>
      <c r="AW118" s="276"/>
      <c r="AX118" s="276"/>
      <c r="AY118" s="276"/>
      <c r="AZ118" s="276"/>
      <c r="BA118" s="276"/>
      <c r="BB118" s="276"/>
      <c r="BC118" s="276"/>
      <c r="BD118" s="276"/>
      <c r="BE118" s="276"/>
      <c r="BF118" s="276"/>
    </row>
    <row r="119" s="196" customFormat="1" ht="14" spans="1:58">
      <c r="A119" s="249"/>
      <c r="B119" s="250"/>
      <c r="C119" s="193"/>
      <c r="D119" s="249"/>
      <c r="G119" s="251"/>
      <c r="H119" s="251"/>
      <c r="I119" s="274"/>
      <c r="J119" s="251"/>
      <c r="K119" s="275"/>
      <c r="L119" s="253"/>
      <c r="M119" s="276"/>
      <c r="N119" s="277"/>
      <c r="O119" s="278"/>
      <c r="P119" s="277"/>
      <c r="Q119" s="277"/>
      <c r="R119" s="277"/>
      <c r="S119" s="278"/>
      <c r="T119" s="277"/>
      <c r="U119" s="277"/>
      <c r="V119" s="277"/>
      <c r="W119" s="278"/>
      <c r="X119" s="277"/>
      <c r="Y119" s="277"/>
      <c r="Z119" s="277"/>
      <c r="AA119" s="278"/>
      <c r="AB119" s="277"/>
      <c r="AC119" s="277"/>
      <c r="AD119" s="277"/>
      <c r="AE119" s="278"/>
      <c r="AF119" s="277"/>
      <c r="AG119" s="277"/>
      <c r="AH119" s="277"/>
      <c r="AI119" s="278"/>
      <c r="AJ119" s="277"/>
      <c r="AK119" s="277"/>
      <c r="AL119" s="277"/>
      <c r="AM119" s="278"/>
      <c r="AN119" s="277"/>
      <c r="AO119" s="277"/>
      <c r="AP119" s="277"/>
      <c r="AQ119" s="278"/>
      <c r="AR119" s="277"/>
      <c r="AS119" s="277"/>
      <c r="AT119" s="280"/>
      <c r="AU119" s="276"/>
      <c r="AV119" s="276"/>
      <c r="AW119" s="276"/>
      <c r="AX119" s="276"/>
      <c r="AY119" s="276"/>
      <c r="AZ119" s="276"/>
      <c r="BA119" s="276"/>
      <c r="BB119" s="276"/>
      <c r="BC119" s="276"/>
      <c r="BD119" s="276"/>
      <c r="BE119" s="276"/>
      <c r="BF119" s="276"/>
    </row>
    <row r="120" s="196" customFormat="1" ht="14" spans="1:58">
      <c r="A120" s="249"/>
      <c r="B120" s="250"/>
      <c r="C120" s="193"/>
      <c r="D120" s="249"/>
      <c r="G120" s="251"/>
      <c r="H120" s="251"/>
      <c r="I120" s="274"/>
      <c r="J120" s="251"/>
      <c r="K120" s="275"/>
      <c r="L120" s="253"/>
      <c r="M120" s="276"/>
      <c r="N120" s="277"/>
      <c r="O120" s="278"/>
      <c r="P120" s="277"/>
      <c r="Q120" s="277"/>
      <c r="R120" s="277"/>
      <c r="S120" s="278"/>
      <c r="T120" s="277"/>
      <c r="U120" s="277"/>
      <c r="V120" s="277"/>
      <c r="W120" s="278"/>
      <c r="X120" s="277"/>
      <c r="Y120" s="277"/>
      <c r="Z120" s="277"/>
      <c r="AA120" s="278"/>
      <c r="AB120" s="277"/>
      <c r="AC120" s="277"/>
      <c r="AD120" s="277"/>
      <c r="AE120" s="278"/>
      <c r="AF120" s="277"/>
      <c r="AG120" s="277"/>
      <c r="AH120" s="277"/>
      <c r="AI120" s="278"/>
      <c r="AJ120" s="277"/>
      <c r="AK120" s="277"/>
      <c r="AL120" s="277"/>
      <c r="AM120" s="278"/>
      <c r="AN120" s="277"/>
      <c r="AO120" s="277"/>
      <c r="AP120" s="277"/>
      <c r="AQ120" s="278"/>
      <c r="AR120" s="277"/>
      <c r="AS120" s="277"/>
      <c r="AT120" s="280"/>
      <c r="AU120" s="276"/>
      <c r="AV120" s="276"/>
      <c r="AW120" s="276"/>
      <c r="AX120" s="276"/>
      <c r="AY120" s="276"/>
      <c r="AZ120" s="276"/>
      <c r="BA120" s="276"/>
      <c r="BB120" s="276"/>
      <c r="BC120" s="276"/>
      <c r="BD120" s="276"/>
      <c r="BE120" s="276"/>
      <c r="BF120" s="276"/>
    </row>
    <row r="121" s="196" customFormat="1" ht="14" spans="1:58">
      <c r="A121" s="249"/>
      <c r="B121" s="250"/>
      <c r="C121" s="193"/>
      <c r="D121" s="249"/>
      <c r="G121" s="251"/>
      <c r="H121" s="251"/>
      <c r="I121" s="274"/>
      <c r="J121" s="251"/>
      <c r="K121" s="275"/>
      <c r="L121" s="253"/>
      <c r="M121" s="276"/>
      <c r="N121" s="277"/>
      <c r="O121" s="278"/>
      <c r="P121" s="277"/>
      <c r="Q121" s="277"/>
      <c r="R121" s="277"/>
      <c r="S121" s="278"/>
      <c r="T121" s="277"/>
      <c r="U121" s="277"/>
      <c r="V121" s="277"/>
      <c r="W121" s="278"/>
      <c r="X121" s="277"/>
      <c r="Y121" s="277"/>
      <c r="Z121" s="277"/>
      <c r="AA121" s="278"/>
      <c r="AB121" s="277"/>
      <c r="AC121" s="277"/>
      <c r="AD121" s="277"/>
      <c r="AE121" s="278"/>
      <c r="AF121" s="277"/>
      <c r="AG121" s="277"/>
      <c r="AH121" s="277"/>
      <c r="AI121" s="278"/>
      <c r="AJ121" s="277"/>
      <c r="AK121" s="277"/>
      <c r="AL121" s="277"/>
      <c r="AM121" s="278"/>
      <c r="AN121" s="277"/>
      <c r="AO121" s="277"/>
      <c r="AP121" s="277"/>
      <c r="AQ121" s="278"/>
      <c r="AR121" s="277"/>
      <c r="AS121" s="277"/>
      <c r="AT121" s="280"/>
      <c r="AU121" s="276"/>
      <c r="AV121" s="276"/>
      <c r="AW121" s="276"/>
      <c r="AX121" s="276"/>
      <c r="AY121" s="276"/>
      <c r="AZ121" s="276"/>
      <c r="BA121" s="276"/>
      <c r="BB121" s="276"/>
      <c r="BC121" s="276"/>
      <c r="BD121" s="276"/>
      <c r="BE121" s="276"/>
      <c r="BF121" s="276"/>
    </row>
    <row r="122" s="196" customFormat="1" ht="14" spans="1:58">
      <c r="A122" s="249"/>
      <c r="B122" s="250"/>
      <c r="C122" s="193"/>
      <c r="D122" s="249"/>
      <c r="G122" s="251"/>
      <c r="H122" s="251"/>
      <c r="I122" s="274"/>
      <c r="J122" s="251"/>
      <c r="K122" s="275"/>
      <c r="L122" s="253"/>
      <c r="M122" s="276"/>
      <c r="N122" s="277"/>
      <c r="O122" s="278"/>
      <c r="P122" s="277"/>
      <c r="Q122" s="277"/>
      <c r="R122" s="277"/>
      <c r="S122" s="278"/>
      <c r="T122" s="277"/>
      <c r="U122" s="277"/>
      <c r="V122" s="277"/>
      <c r="W122" s="278"/>
      <c r="X122" s="277"/>
      <c r="Y122" s="277"/>
      <c r="Z122" s="277"/>
      <c r="AA122" s="278"/>
      <c r="AB122" s="277"/>
      <c r="AC122" s="277"/>
      <c r="AD122" s="277"/>
      <c r="AE122" s="278"/>
      <c r="AF122" s="277"/>
      <c r="AG122" s="277"/>
      <c r="AH122" s="277"/>
      <c r="AI122" s="278"/>
      <c r="AJ122" s="277"/>
      <c r="AK122" s="277"/>
      <c r="AL122" s="277"/>
      <c r="AM122" s="278"/>
      <c r="AN122" s="277"/>
      <c r="AO122" s="277"/>
      <c r="AP122" s="277"/>
      <c r="AQ122" s="278"/>
      <c r="AR122" s="277"/>
      <c r="AS122" s="277"/>
      <c r="AT122" s="280"/>
      <c r="AU122" s="276"/>
      <c r="AV122" s="276"/>
      <c r="AW122" s="276"/>
      <c r="AX122" s="276"/>
      <c r="AY122" s="276"/>
      <c r="AZ122" s="276"/>
      <c r="BA122" s="276"/>
      <c r="BB122" s="276"/>
      <c r="BC122" s="276"/>
      <c r="BD122" s="276"/>
      <c r="BE122" s="276"/>
      <c r="BF122" s="276"/>
    </row>
    <row r="123" s="196" customFormat="1" ht="14" spans="1:58">
      <c r="A123" s="249"/>
      <c r="B123" s="250"/>
      <c r="C123" s="193"/>
      <c r="D123" s="249"/>
      <c r="G123" s="251"/>
      <c r="H123" s="251"/>
      <c r="I123" s="274"/>
      <c r="J123" s="251"/>
      <c r="K123" s="275"/>
      <c r="L123" s="253"/>
      <c r="M123" s="276"/>
      <c r="N123" s="277"/>
      <c r="O123" s="278"/>
      <c r="P123" s="277"/>
      <c r="Q123" s="277"/>
      <c r="R123" s="277"/>
      <c r="S123" s="278"/>
      <c r="T123" s="277"/>
      <c r="U123" s="277"/>
      <c r="V123" s="277"/>
      <c r="W123" s="278"/>
      <c r="X123" s="277"/>
      <c r="Y123" s="277"/>
      <c r="Z123" s="277"/>
      <c r="AA123" s="278"/>
      <c r="AB123" s="277"/>
      <c r="AC123" s="277"/>
      <c r="AD123" s="277"/>
      <c r="AE123" s="278"/>
      <c r="AF123" s="277"/>
      <c r="AG123" s="277"/>
      <c r="AH123" s="277"/>
      <c r="AI123" s="278"/>
      <c r="AJ123" s="277"/>
      <c r="AK123" s="277"/>
      <c r="AL123" s="277"/>
      <c r="AM123" s="278"/>
      <c r="AN123" s="277"/>
      <c r="AO123" s="277"/>
      <c r="AP123" s="277"/>
      <c r="AQ123" s="278"/>
      <c r="AR123" s="277"/>
      <c r="AS123" s="277"/>
      <c r="AT123" s="280"/>
      <c r="AU123" s="276"/>
      <c r="AV123" s="276"/>
      <c r="AW123" s="276"/>
      <c r="AX123" s="276"/>
      <c r="AY123" s="276"/>
      <c r="AZ123" s="276"/>
      <c r="BA123" s="276"/>
      <c r="BB123" s="276"/>
      <c r="BC123" s="276"/>
      <c r="BD123" s="276"/>
      <c r="BE123" s="276"/>
      <c r="BF123" s="276"/>
    </row>
    <row r="124" s="196" customFormat="1" ht="14" spans="1:58">
      <c r="A124" s="249"/>
      <c r="B124" s="250"/>
      <c r="C124" s="193"/>
      <c r="D124" s="249"/>
      <c r="G124" s="251"/>
      <c r="H124" s="251"/>
      <c r="I124" s="274"/>
      <c r="J124" s="251"/>
      <c r="K124" s="275"/>
      <c r="L124" s="253"/>
      <c r="M124" s="276"/>
      <c r="N124" s="277"/>
      <c r="O124" s="278"/>
      <c r="P124" s="277"/>
      <c r="Q124" s="277"/>
      <c r="R124" s="277"/>
      <c r="S124" s="278"/>
      <c r="T124" s="277"/>
      <c r="U124" s="277"/>
      <c r="V124" s="277"/>
      <c r="W124" s="278"/>
      <c r="X124" s="277"/>
      <c r="Y124" s="277"/>
      <c r="Z124" s="277"/>
      <c r="AA124" s="278"/>
      <c r="AB124" s="277"/>
      <c r="AC124" s="277"/>
      <c r="AD124" s="277"/>
      <c r="AE124" s="278"/>
      <c r="AF124" s="277"/>
      <c r="AG124" s="277"/>
      <c r="AH124" s="277"/>
      <c r="AI124" s="278"/>
      <c r="AJ124" s="277"/>
      <c r="AK124" s="277"/>
      <c r="AL124" s="277"/>
      <c r="AM124" s="278"/>
      <c r="AN124" s="277"/>
      <c r="AO124" s="277"/>
      <c r="AP124" s="277"/>
      <c r="AQ124" s="278"/>
      <c r="AR124" s="277"/>
      <c r="AS124" s="277"/>
      <c r="AT124" s="280"/>
      <c r="AU124" s="276"/>
      <c r="AV124" s="276"/>
      <c r="AW124" s="276"/>
      <c r="AX124" s="276"/>
      <c r="AY124" s="276"/>
      <c r="AZ124" s="276"/>
      <c r="BA124" s="276"/>
      <c r="BB124" s="276"/>
      <c r="BC124" s="276"/>
      <c r="BD124" s="276"/>
      <c r="BE124" s="276"/>
      <c r="BF124" s="276"/>
    </row>
    <row r="125" s="196" customFormat="1" ht="14" spans="1:58">
      <c r="A125" s="249"/>
      <c r="B125" s="250"/>
      <c r="C125" s="193"/>
      <c r="D125" s="249"/>
      <c r="G125" s="251"/>
      <c r="H125" s="251"/>
      <c r="I125" s="274"/>
      <c r="J125" s="251"/>
      <c r="K125" s="275"/>
      <c r="L125" s="253"/>
      <c r="M125" s="276"/>
      <c r="N125" s="277"/>
      <c r="O125" s="278"/>
      <c r="P125" s="277"/>
      <c r="Q125" s="277"/>
      <c r="R125" s="277"/>
      <c r="S125" s="278"/>
      <c r="T125" s="277"/>
      <c r="U125" s="277"/>
      <c r="V125" s="277"/>
      <c r="W125" s="278"/>
      <c r="X125" s="277"/>
      <c r="Y125" s="277"/>
      <c r="Z125" s="277"/>
      <c r="AA125" s="278"/>
      <c r="AB125" s="277"/>
      <c r="AC125" s="277"/>
      <c r="AD125" s="277"/>
      <c r="AE125" s="278"/>
      <c r="AF125" s="277"/>
      <c r="AG125" s="277"/>
      <c r="AH125" s="277"/>
      <c r="AI125" s="278"/>
      <c r="AJ125" s="277"/>
      <c r="AK125" s="277"/>
      <c r="AL125" s="277"/>
      <c r="AM125" s="278"/>
      <c r="AN125" s="277"/>
      <c r="AO125" s="277"/>
      <c r="AP125" s="277"/>
      <c r="AQ125" s="278"/>
      <c r="AR125" s="277"/>
      <c r="AS125" s="277"/>
      <c r="AT125" s="280"/>
      <c r="AU125" s="276"/>
      <c r="AV125" s="276"/>
      <c r="AW125" s="276"/>
      <c r="AX125" s="276"/>
      <c r="AY125" s="276"/>
      <c r="AZ125" s="276"/>
      <c r="BA125" s="276"/>
      <c r="BB125" s="276"/>
      <c r="BC125" s="276"/>
      <c r="BD125" s="276"/>
      <c r="BE125" s="276"/>
      <c r="BF125" s="276"/>
    </row>
    <row r="126" s="196" customFormat="1" ht="14" spans="1:58">
      <c r="A126" s="249"/>
      <c r="B126" s="250"/>
      <c r="C126" s="193"/>
      <c r="D126" s="249"/>
      <c r="G126" s="251"/>
      <c r="H126" s="251"/>
      <c r="I126" s="274"/>
      <c r="J126" s="251"/>
      <c r="K126" s="275"/>
      <c r="L126" s="253"/>
      <c r="M126" s="276"/>
      <c r="N126" s="277"/>
      <c r="O126" s="278"/>
      <c r="P126" s="277"/>
      <c r="Q126" s="277"/>
      <c r="R126" s="277"/>
      <c r="S126" s="278"/>
      <c r="T126" s="277"/>
      <c r="U126" s="277"/>
      <c r="V126" s="277"/>
      <c r="W126" s="278"/>
      <c r="X126" s="277"/>
      <c r="Y126" s="277"/>
      <c r="Z126" s="277"/>
      <c r="AA126" s="278"/>
      <c r="AB126" s="277"/>
      <c r="AC126" s="277"/>
      <c r="AD126" s="277"/>
      <c r="AE126" s="278"/>
      <c r="AF126" s="277"/>
      <c r="AG126" s="277"/>
      <c r="AH126" s="277"/>
      <c r="AI126" s="278"/>
      <c r="AJ126" s="277"/>
      <c r="AK126" s="277"/>
      <c r="AL126" s="277"/>
      <c r="AM126" s="278"/>
      <c r="AN126" s="277"/>
      <c r="AO126" s="277"/>
      <c r="AP126" s="277"/>
      <c r="AQ126" s="278"/>
      <c r="AR126" s="277"/>
      <c r="AS126" s="277"/>
      <c r="AT126" s="280"/>
      <c r="AU126" s="276"/>
      <c r="AV126" s="276"/>
      <c r="AW126" s="276"/>
      <c r="AX126" s="276"/>
      <c r="AY126" s="276"/>
      <c r="AZ126" s="276"/>
      <c r="BA126" s="276"/>
      <c r="BB126" s="276"/>
      <c r="BC126" s="276"/>
      <c r="BD126" s="276"/>
      <c r="BE126" s="276"/>
      <c r="BF126" s="276"/>
    </row>
    <row r="127" s="196" customFormat="1" ht="14" spans="1:58">
      <c r="A127" s="249"/>
      <c r="B127" s="250"/>
      <c r="C127" s="193"/>
      <c r="D127" s="249"/>
      <c r="G127" s="251"/>
      <c r="H127" s="251"/>
      <c r="I127" s="274"/>
      <c r="J127" s="251"/>
      <c r="K127" s="275"/>
      <c r="L127" s="253"/>
      <c r="M127" s="276"/>
      <c r="N127" s="277"/>
      <c r="O127" s="278"/>
      <c r="P127" s="277"/>
      <c r="Q127" s="277"/>
      <c r="R127" s="277"/>
      <c r="S127" s="278"/>
      <c r="T127" s="277"/>
      <c r="U127" s="277"/>
      <c r="V127" s="277"/>
      <c r="W127" s="278"/>
      <c r="X127" s="277"/>
      <c r="Y127" s="277"/>
      <c r="Z127" s="277"/>
      <c r="AA127" s="278"/>
      <c r="AB127" s="277"/>
      <c r="AC127" s="277"/>
      <c r="AD127" s="277"/>
      <c r="AE127" s="278"/>
      <c r="AF127" s="277"/>
      <c r="AG127" s="277"/>
      <c r="AH127" s="277"/>
      <c r="AI127" s="278"/>
      <c r="AJ127" s="277"/>
      <c r="AK127" s="277"/>
      <c r="AL127" s="277"/>
      <c r="AM127" s="278"/>
      <c r="AN127" s="277"/>
      <c r="AO127" s="277"/>
      <c r="AP127" s="277"/>
      <c r="AQ127" s="278"/>
      <c r="AR127" s="277"/>
      <c r="AS127" s="277"/>
      <c r="AT127" s="280"/>
      <c r="AU127" s="276"/>
      <c r="AV127" s="276"/>
      <c r="AW127" s="276"/>
      <c r="AX127" s="276"/>
      <c r="AY127" s="276"/>
      <c r="AZ127" s="276"/>
      <c r="BA127" s="276"/>
      <c r="BB127" s="276"/>
      <c r="BC127" s="276"/>
      <c r="BD127" s="276"/>
      <c r="BE127" s="276"/>
      <c r="BF127" s="276"/>
    </row>
    <row r="128" s="196" customFormat="1" ht="14" spans="1:58">
      <c r="A128" s="249"/>
      <c r="B128" s="250"/>
      <c r="C128" s="193"/>
      <c r="D128" s="249"/>
      <c r="G128" s="251"/>
      <c r="H128" s="251"/>
      <c r="I128" s="274"/>
      <c r="J128" s="251"/>
      <c r="K128" s="275"/>
      <c r="L128" s="253"/>
      <c r="M128" s="276"/>
      <c r="N128" s="277"/>
      <c r="O128" s="278"/>
      <c r="P128" s="277"/>
      <c r="Q128" s="277"/>
      <c r="R128" s="277"/>
      <c r="S128" s="278"/>
      <c r="T128" s="277"/>
      <c r="U128" s="277"/>
      <c r="V128" s="277"/>
      <c r="W128" s="278"/>
      <c r="X128" s="277"/>
      <c r="Y128" s="277"/>
      <c r="Z128" s="277"/>
      <c r="AA128" s="278"/>
      <c r="AB128" s="277"/>
      <c r="AC128" s="277"/>
      <c r="AD128" s="277"/>
      <c r="AE128" s="278"/>
      <c r="AF128" s="277"/>
      <c r="AG128" s="277"/>
      <c r="AH128" s="277"/>
      <c r="AI128" s="278"/>
      <c r="AJ128" s="277"/>
      <c r="AK128" s="277"/>
      <c r="AL128" s="277"/>
      <c r="AM128" s="278"/>
      <c r="AN128" s="277"/>
      <c r="AO128" s="277"/>
      <c r="AP128" s="277"/>
      <c r="AQ128" s="278"/>
      <c r="AR128" s="277"/>
      <c r="AS128" s="277"/>
      <c r="AT128" s="280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  <c r="BE128" s="276"/>
      <c r="BF128" s="276"/>
    </row>
    <row r="129" s="196" customFormat="1" ht="14" spans="1:58">
      <c r="A129" s="249"/>
      <c r="B129" s="250"/>
      <c r="C129" s="193"/>
      <c r="D129" s="249"/>
      <c r="G129" s="251"/>
      <c r="H129" s="251"/>
      <c r="I129" s="274"/>
      <c r="J129" s="251"/>
      <c r="K129" s="275"/>
      <c r="L129" s="253"/>
      <c r="M129" s="276"/>
      <c r="N129" s="277"/>
      <c r="O129" s="278"/>
      <c r="P129" s="277"/>
      <c r="Q129" s="277"/>
      <c r="R129" s="277"/>
      <c r="S129" s="278"/>
      <c r="T129" s="277"/>
      <c r="U129" s="277"/>
      <c r="V129" s="277"/>
      <c r="W129" s="278"/>
      <c r="X129" s="277"/>
      <c r="Y129" s="277"/>
      <c r="Z129" s="277"/>
      <c r="AA129" s="278"/>
      <c r="AB129" s="277"/>
      <c r="AC129" s="277"/>
      <c r="AD129" s="277"/>
      <c r="AE129" s="278"/>
      <c r="AF129" s="277"/>
      <c r="AG129" s="277"/>
      <c r="AH129" s="277"/>
      <c r="AI129" s="278"/>
      <c r="AJ129" s="277"/>
      <c r="AK129" s="277"/>
      <c r="AL129" s="277"/>
      <c r="AM129" s="278"/>
      <c r="AN129" s="277"/>
      <c r="AO129" s="277"/>
      <c r="AP129" s="277"/>
      <c r="AQ129" s="278"/>
      <c r="AR129" s="277"/>
      <c r="AS129" s="277"/>
      <c r="AT129" s="280"/>
      <c r="AU129" s="276"/>
      <c r="AV129" s="276"/>
      <c r="AW129" s="276"/>
      <c r="AX129" s="276"/>
      <c r="AY129" s="276"/>
      <c r="AZ129" s="276"/>
      <c r="BA129" s="276"/>
      <c r="BB129" s="276"/>
      <c r="BC129" s="276"/>
      <c r="BD129" s="276"/>
      <c r="BE129" s="276"/>
      <c r="BF129" s="276"/>
    </row>
    <row r="130" s="196" customFormat="1" ht="14" spans="1:58">
      <c r="A130" s="249"/>
      <c r="B130" s="250"/>
      <c r="C130" s="193"/>
      <c r="D130" s="249"/>
      <c r="G130" s="251"/>
      <c r="H130" s="251"/>
      <c r="I130" s="274"/>
      <c r="J130" s="251"/>
      <c r="K130" s="275"/>
      <c r="L130" s="253"/>
      <c r="M130" s="276"/>
      <c r="N130" s="277"/>
      <c r="O130" s="278"/>
      <c r="P130" s="277"/>
      <c r="Q130" s="277"/>
      <c r="R130" s="277"/>
      <c r="S130" s="278"/>
      <c r="T130" s="277"/>
      <c r="U130" s="277"/>
      <c r="V130" s="277"/>
      <c r="W130" s="278"/>
      <c r="X130" s="277"/>
      <c r="Y130" s="277"/>
      <c r="Z130" s="277"/>
      <c r="AA130" s="278"/>
      <c r="AB130" s="277"/>
      <c r="AC130" s="277"/>
      <c r="AD130" s="277"/>
      <c r="AE130" s="278"/>
      <c r="AF130" s="277"/>
      <c r="AG130" s="277"/>
      <c r="AH130" s="277"/>
      <c r="AI130" s="278"/>
      <c r="AJ130" s="277"/>
      <c r="AK130" s="277"/>
      <c r="AL130" s="277"/>
      <c r="AM130" s="278"/>
      <c r="AN130" s="277"/>
      <c r="AO130" s="277"/>
      <c r="AP130" s="277"/>
      <c r="AQ130" s="278"/>
      <c r="AR130" s="277"/>
      <c r="AS130" s="277"/>
      <c r="AT130" s="280"/>
      <c r="AU130" s="276"/>
      <c r="AV130" s="276"/>
      <c r="AW130" s="276"/>
      <c r="AX130" s="276"/>
      <c r="AY130" s="276"/>
      <c r="AZ130" s="276"/>
      <c r="BA130" s="276"/>
      <c r="BB130" s="276"/>
      <c r="BC130" s="276"/>
      <c r="BD130" s="276"/>
      <c r="BE130" s="276"/>
      <c r="BF130" s="276"/>
    </row>
    <row r="131" s="196" customFormat="1" ht="14" spans="1:58">
      <c r="A131" s="249"/>
      <c r="B131" s="250"/>
      <c r="C131" s="193"/>
      <c r="D131" s="249"/>
      <c r="G131" s="251"/>
      <c r="H131" s="251"/>
      <c r="I131" s="274"/>
      <c r="J131" s="251"/>
      <c r="K131" s="275"/>
      <c r="L131" s="253"/>
      <c r="M131" s="276"/>
      <c r="N131" s="277"/>
      <c r="O131" s="278"/>
      <c r="P131" s="277"/>
      <c r="Q131" s="277"/>
      <c r="R131" s="277"/>
      <c r="S131" s="278"/>
      <c r="T131" s="277"/>
      <c r="U131" s="277"/>
      <c r="V131" s="277"/>
      <c r="W131" s="278"/>
      <c r="X131" s="277"/>
      <c r="Y131" s="277"/>
      <c r="Z131" s="277"/>
      <c r="AA131" s="278"/>
      <c r="AB131" s="277"/>
      <c r="AC131" s="277"/>
      <c r="AD131" s="277"/>
      <c r="AE131" s="278"/>
      <c r="AF131" s="277"/>
      <c r="AG131" s="277"/>
      <c r="AH131" s="277"/>
      <c r="AI131" s="278"/>
      <c r="AJ131" s="277"/>
      <c r="AK131" s="277"/>
      <c r="AL131" s="277"/>
      <c r="AM131" s="278"/>
      <c r="AN131" s="277"/>
      <c r="AO131" s="277"/>
      <c r="AP131" s="277"/>
      <c r="AQ131" s="278"/>
      <c r="AR131" s="277"/>
      <c r="AS131" s="277"/>
      <c r="AT131" s="280"/>
      <c r="AU131" s="276"/>
      <c r="AV131" s="276"/>
      <c r="AW131" s="276"/>
      <c r="AX131" s="276"/>
      <c r="AY131" s="276"/>
      <c r="AZ131" s="276"/>
      <c r="BA131" s="276"/>
      <c r="BB131" s="276"/>
      <c r="BC131" s="276"/>
      <c r="BD131" s="276"/>
      <c r="BE131" s="276"/>
      <c r="BF131" s="276"/>
    </row>
    <row r="132" s="196" customFormat="1" ht="14" spans="1:58">
      <c r="A132" s="249"/>
      <c r="B132" s="250"/>
      <c r="C132" s="193"/>
      <c r="D132" s="249"/>
      <c r="G132" s="251"/>
      <c r="H132" s="251"/>
      <c r="I132" s="274"/>
      <c r="J132" s="251"/>
      <c r="K132" s="275"/>
      <c r="L132" s="253"/>
      <c r="M132" s="276"/>
      <c r="N132" s="277"/>
      <c r="O132" s="278"/>
      <c r="P132" s="277"/>
      <c r="Q132" s="277"/>
      <c r="R132" s="277"/>
      <c r="S132" s="278"/>
      <c r="T132" s="277"/>
      <c r="U132" s="277"/>
      <c r="V132" s="277"/>
      <c r="W132" s="278"/>
      <c r="X132" s="277"/>
      <c r="Y132" s="277"/>
      <c r="Z132" s="277"/>
      <c r="AA132" s="278"/>
      <c r="AB132" s="277"/>
      <c r="AC132" s="277"/>
      <c r="AD132" s="277"/>
      <c r="AE132" s="278"/>
      <c r="AF132" s="277"/>
      <c r="AG132" s="277"/>
      <c r="AH132" s="277"/>
      <c r="AI132" s="278"/>
      <c r="AJ132" s="277"/>
      <c r="AK132" s="277"/>
      <c r="AL132" s="277"/>
      <c r="AM132" s="278"/>
      <c r="AN132" s="277"/>
      <c r="AO132" s="277"/>
      <c r="AP132" s="277"/>
      <c r="AQ132" s="278"/>
      <c r="AR132" s="277"/>
      <c r="AS132" s="277"/>
      <c r="AT132" s="280"/>
      <c r="AU132" s="276"/>
      <c r="AV132" s="276"/>
      <c r="AW132" s="276"/>
      <c r="AX132" s="276"/>
      <c r="AY132" s="276"/>
      <c r="AZ132" s="276"/>
      <c r="BA132" s="276"/>
      <c r="BB132" s="276"/>
      <c r="BC132" s="276"/>
      <c r="BD132" s="276"/>
      <c r="BE132" s="276"/>
      <c r="BF132" s="276"/>
    </row>
    <row r="133" s="196" customFormat="1" ht="14" spans="1:58">
      <c r="A133" s="249"/>
      <c r="B133" s="250"/>
      <c r="C133" s="193"/>
      <c r="D133" s="249"/>
      <c r="G133" s="251"/>
      <c r="H133" s="251"/>
      <c r="I133" s="274"/>
      <c r="J133" s="251"/>
      <c r="K133" s="275"/>
      <c r="L133" s="253"/>
      <c r="M133" s="276"/>
      <c r="N133" s="277"/>
      <c r="O133" s="278"/>
      <c r="P133" s="277"/>
      <c r="Q133" s="277"/>
      <c r="R133" s="277"/>
      <c r="S133" s="278"/>
      <c r="T133" s="277"/>
      <c r="U133" s="277"/>
      <c r="V133" s="277"/>
      <c r="W133" s="278"/>
      <c r="X133" s="277"/>
      <c r="Y133" s="277"/>
      <c r="Z133" s="277"/>
      <c r="AA133" s="278"/>
      <c r="AB133" s="277"/>
      <c r="AC133" s="277"/>
      <c r="AD133" s="277"/>
      <c r="AE133" s="278"/>
      <c r="AF133" s="277"/>
      <c r="AG133" s="277"/>
      <c r="AH133" s="277"/>
      <c r="AI133" s="278"/>
      <c r="AJ133" s="277"/>
      <c r="AK133" s="277"/>
      <c r="AL133" s="277"/>
      <c r="AM133" s="278"/>
      <c r="AN133" s="277"/>
      <c r="AO133" s="277"/>
      <c r="AP133" s="277"/>
      <c r="AQ133" s="278"/>
      <c r="AR133" s="277"/>
      <c r="AS133" s="277"/>
      <c r="AT133" s="280"/>
      <c r="AU133" s="276"/>
      <c r="AV133" s="276"/>
      <c r="AW133" s="276"/>
      <c r="AX133" s="276"/>
      <c r="AY133" s="276"/>
      <c r="AZ133" s="276"/>
      <c r="BA133" s="276"/>
      <c r="BB133" s="276"/>
      <c r="BC133" s="276"/>
      <c r="BD133" s="276"/>
      <c r="BE133" s="276"/>
      <c r="BF133" s="276"/>
    </row>
    <row r="134" s="196" customFormat="1" ht="14" spans="1:58">
      <c r="A134" s="249"/>
      <c r="B134" s="250"/>
      <c r="C134" s="193"/>
      <c r="D134" s="249"/>
      <c r="G134" s="251"/>
      <c r="H134" s="251"/>
      <c r="I134" s="274"/>
      <c r="J134" s="251"/>
      <c r="K134" s="275"/>
      <c r="L134" s="253"/>
      <c r="M134" s="276"/>
      <c r="N134" s="277"/>
      <c r="O134" s="278"/>
      <c r="P134" s="277"/>
      <c r="Q134" s="277"/>
      <c r="R134" s="277"/>
      <c r="S134" s="278"/>
      <c r="T134" s="277"/>
      <c r="U134" s="277"/>
      <c r="V134" s="277"/>
      <c r="W134" s="278"/>
      <c r="X134" s="277"/>
      <c r="Y134" s="277"/>
      <c r="Z134" s="277"/>
      <c r="AA134" s="278"/>
      <c r="AB134" s="277"/>
      <c r="AC134" s="277"/>
      <c r="AD134" s="277"/>
      <c r="AE134" s="278"/>
      <c r="AF134" s="277"/>
      <c r="AG134" s="277"/>
      <c r="AH134" s="277"/>
      <c r="AI134" s="278"/>
      <c r="AJ134" s="277"/>
      <c r="AK134" s="277"/>
      <c r="AL134" s="277"/>
      <c r="AM134" s="278"/>
      <c r="AN134" s="277"/>
      <c r="AO134" s="277"/>
      <c r="AP134" s="277"/>
      <c r="AQ134" s="278"/>
      <c r="AR134" s="277"/>
      <c r="AS134" s="277"/>
      <c r="AT134" s="280"/>
      <c r="AU134" s="276"/>
      <c r="AV134" s="276"/>
      <c r="AW134" s="276"/>
      <c r="AX134" s="276"/>
      <c r="AY134" s="276"/>
      <c r="AZ134" s="276"/>
      <c r="BA134" s="276"/>
      <c r="BB134" s="276"/>
      <c r="BC134" s="276"/>
      <c r="BD134" s="276"/>
      <c r="BE134" s="276"/>
      <c r="BF134" s="276"/>
    </row>
    <row r="135" s="196" customFormat="1" ht="14" spans="1:58">
      <c r="A135" s="249"/>
      <c r="B135" s="250"/>
      <c r="C135" s="193"/>
      <c r="D135" s="249"/>
      <c r="G135" s="251"/>
      <c r="H135" s="251"/>
      <c r="I135" s="274"/>
      <c r="J135" s="251"/>
      <c r="K135" s="275"/>
      <c r="L135" s="253"/>
      <c r="M135" s="276"/>
      <c r="N135" s="277"/>
      <c r="O135" s="278"/>
      <c r="P135" s="277"/>
      <c r="Q135" s="277"/>
      <c r="R135" s="277"/>
      <c r="S135" s="278"/>
      <c r="T135" s="277"/>
      <c r="U135" s="277"/>
      <c r="V135" s="277"/>
      <c r="W135" s="278"/>
      <c r="X135" s="277"/>
      <c r="Y135" s="277"/>
      <c r="Z135" s="277"/>
      <c r="AA135" s="278"/>
      <c r="AB135" s="277"/>
      <c r="AC135" s="277"/>
      <c r="AD135" s="277"/>
      <c r="AE135" s="278"/>
      <c r="AF135" s="277"/>
      <c r="AG135" s="277"/>
      <c r="AH135" s="277"/>
      <c r="AI135" s="278"/>
      <c r="AJ135" s="277"/>
      <c r="AK135" s="277"/>
      <c r="AL135" s="277"/>
      <c r="AM135" s="278"/>
      <c r="AN135" s="277"/>
      <c r="AO135" s="277"/>
      <c r="AP135" s="277"/>
      <c r="AQ135" s="278"/>
      <c r="AR135" s="277"/>
      <c r="AS135" s="277"/>
      <c r="AT135" s="280"/>
      <c r="AU135" s="276"/>
      <c r="AV135" s="276"/>
      <c r="AW135" s="276"/>
      <c r="AX135" s="276"/>
      <c r="AY135" s="276"/>
      <c r="AZ135" s="276"/>
      <c r="BA135" s="276"/>
      <c r="BB135" s="276"/>
      <c r="BC135" s="276"/>
      <c r="BD135" s="276"/>
      <c r="BE135" s="276"/>
      <c r="BF135" s="276"/>
    </row>
    <row r="136" s="196" customFormat="1" ht="14" spans="1:58">
      <c r="A136" s="249"/>
      <c r="B136" s="250"/>
      <c r="C136" s="193"/>
      <c r="D136" s="249"/>
      <c r="G136" s="251"/>
      <c r="H136" s="251"/>
      <c r="I136" s="274"/>
      <c r="J136" s="251"/>
      <c r="K136" s="275"/>
      <c r="L136" s="253"/>
      <c r="M136" s="276"/>
      <c r="N136" s="277"/>
      <c r="O136" s="278"/>
      <c r="P136" s="277"/>
      <c r="Q136" s="277"/>
      <c r="R136" s="277"/>
      <c r="S136" s="278"/>
      <c r="T136" s="277"/>
      <c r="U136" s="277"/>
      <c r="V136" s="277"/>
      <c r="W136" s="278"/>
      <c r="X136" s="277"/>
      <c r="Y136" s="277"/>
      <c r="Z136" s="277"/>
      <c r="AA136" s="278"/>
      <c r="AB136" s="277"/>
      <c r="AC136" s="277"/>
      <c r="AD136" s="277"/>
      <c r="AE136" s="278"/>
      <c r="AF136" s="277"/>
      <c r="AG136" s="277"/>
      <c r="AH136" s="277"/>
      <c r="AI136" s="278"/>
      <c r="AJ136" s="277"/>
      <c r="AK136" s="277"/>
      <c r="AL136" s="277"/>
      <c r="AM136" s="278"/>
      <c r="AN136" s="277"/>
      <c r="AO136" s="277"/>
      <c r="AP136" s="277"/>
      <c r="AQ136" s="278"/>
      <c r="AR136" s="277"/>
      <c r="AS136" s="277"/>
      <c r="AT136" s="280"/>
      <c r="AU136" s="276"/>
      <c r="AV136" s="276"/>
      <c r="AW136" s="276"/>
      <c r="AX136" s="276"/>
      <c r="AY136" s="276"/>
      <c r="AZ136" s="276"/>
      <c r="BA136" s="276"/>
      <c r="BB136" s="276"/>
      <c r="BC136" s="276"/>
      <c r="BD136" s="276"/>
      <c r="BE136" s="276"/>
      <c r="BF136" s="276"/>
    </row>
    <row r="137" s="196" customFormat="1" ht="14" spans="1:58">
      <c r="A137" s="249"/>
      <c r="B137" s="250"/>
      <c r="C137" s="193"/>
      <c r="D137" s="249"/>
      <c r="G137" s="251"/>
      <c r="H137" s="251"/>
      <c r="I137" s="274"/>
      <c r="J137" s="251"/>
      <c r="K137" s="275"/>
      <c r="L137" s="253"/>
      <c r="M137" s="276"/>
      <c r="N137" s="277"/>
      <c r="O137" s="278"/>
      <c r="P137" s="277"/>
      <c r="Q137" s="277"/>
      <c r="R137" s="277"/>
      <c r="S137" s="278"/>
      <c r="T137" s="277"/>
      <c r="U137" s="277"/>
      <c r="V137" s="277"/>
      <c r="W137" s="278"/>
      <c r="X137" s="277"/>
      <c r="Y137" s="277"/>
      <c r="Z137" s="277"/>
      <c r="AA137" s="278"/>
      <c r="AB137" s="277"/>
      <c r="AC137" s="277"/>
      <c r="AD137" s="277"/>
      <c r="AE137" s="278"/>
      <c r="AF137" s="277"/>
      <c r="AG137" s="277"/>
      <c r="AH137" s="277"/>
      <c r="AI137" s="278"/>
      <c r="AJ137" s="277"/>
      <c r="AK137" s="277"/>
      <c r="AL137" s="277"/>
      <c r="AM137" s="278"/>
      <c r="AN137" s="277"/>
      <c r="AO137" s="277"/>
      <c r="AP137" s="277"/>
      <c r="AQ137" s="278"/>
      <c r="AR137" s="277"/>
      <c r="AS137" s="277"/>
      <c r="AT137" s="280"/>
      <c r="AU137" s="276"/>
      <c r="AV137" s="276"/>
      <c r="AW137" s="276"/>
      <c r="AX137" s="276"/>
      <c r="AY137" s="276"/>
      <c r="AZ137" s="276"/>
      <c r="BA137" s="276"/>
      <c r="BB137" s="276"/>
      <c r="BC137" s="276"/>
      <c r="BD137" s="276"/>
      <c r="BE137" s="276"/>
      <c r="BF137" s="276"/>
    </row>
    <row r="138" s="196" customFormat="1" ht="14" spans="1:58">
      <c r="A138" s="249"/>
      <c r="B138" s="250"/>
      <c r="C138" s="193"/>
      <c r="D138" s="249"/>
      <c r="G138" s="251"/>
      <c r="H138" s="251"/>
      <c r="I138" s="274"/>
      <c r="J138" s="251"/>
      <c r="K138" s="275"/>
      <c r="L138" s="253"/>
      <c r="M138" s="276"/>
      <c r="N138" s="277"/>
      <c r="O138" s="278"/>
      <c r="P138" s="277"/>
      <c r="Q138" s="277"/>
      <c r="R138" s="277"/>
      <c r="S138" s="278"/>
      <c r="T138" s="277"/>
      <c r="U138" s="277"/>
      <c r="V138" s="277"/>
      <c r="W138" s="278"/>
      <c r="X138" s="277"/>
      <c r="Y138" s="277"/>
      <c r="Z138" s="277"/>
      <c r="AA138" s="278"/>
      <c r="AB138" s="277"/>
      <c r="AC138" s="277"/>
      <c r="AD138" s="277"/>
      <c r="AE138" s="278"/>
      <c r="AF138" s="277"/>
      <c r="AG138" s="277"/>
      <c r="AH138" s="277"/>
      <c r="AI138" s="278"/>
      <c r="AJ138" s="277"/>
      <c r="AK138" s="277"/>
      <c r="AL138" s="277"/>
      <c r="AM138" s="278"/>
      <c r="AN138" s="277"/>
      <c r="AO138" s="277"/>
      <c r="AP138" s="277"/>
      <c r="AQ138" s="278"/>
      <c r="AR138" s="277"/>
      <c r="AS138" s="277"/>
      <c r="AT138" s="280"/>
      <c r="AU138" s="276"/>
      <c r="AV138" s="276"/>
      <c r="AW138" s="276"/>
      <c r="AX138" s="276"/>
      <c r="AY138" s="276"/>
      <c r="AZ138" s="276"/>
      <c r="BA138" s="276"/>
      <c r="BB138" s="276"/>
      <c r="BC138" s="276"/>
      <c r="BD138" s="276"/>
      <c r="BE138" s="276"/>
      <c r="BF138" s="276"/>
    </row>
    <row r="139" s="196" customFormat="1" ht="14" spans="1:58">
      <c r="A139" s="249"/>
      <c r="B139" s="250"/>
      <c r="C139" s="193"/>
      <c r="D139" s="249"/>
      <c r="G139" s="251"/>
      <c r="H139" s="251"/>
      <c r="I139" s="274"/>
      <c r="J139" s="251"/>
      <c r="K139" s="275"/>
      <c r="L139" s="253"/>
      <c r="M139" s="276"/>
      <c r="N139" s="277"/>
      <c r="O139" s="278"/>
      <c r="P139" s="277"/>
      <c r="Q139" s="277"/>
      <c r="R139" s="277"/>
      <c r="S139" s="278"/>
      <c r="T139" s="277"/>
      <c r="U139" s="277"/>
      <c r="V139" s="277"/>
      <c r="W139" s="278"/>
      <c r="X139" s="277"/>
      <c r="Y139" s="277"/>
      <c r="Z139" s="277"/>
      <c r="AA139" s="278"/>
      <c r="AB139" s="277"/>
      <c r="AC139" s="277"/>
      <c r="AD139" s="277"/>
      <c r="AE139" s="278"/>
      <c r="AF139" s="277"/>
      <c r="AG139" s="277"/>
      <c r="AH139" s="277"/>
      <c r="AI139" s="278"/>
      <c r="AJ139" s="277"/>
      <c r="AK139" s="277"/>
      <c r="AL139" s="277"/>
      <c r="AM139" s="278"/>
      <c r="AN139" s="277"/>
      <c r="AO139" s="277"/>
      <c r="AP139" s="277"/>
      <c r="AQ139" s="278"/>
      <c r="AR139" s="277"/>
      <c r="AS139" s="277"/>
      <c r="AT139" s="280"/>
      <c r="AU139" s="276"/>
      <c r="AV139" s="276"/>
      <c r="AW139" s="276"/>
      <c r="AX139" s="276"/>
      <c r="AY139" s="276"/>
      <c r="AZ139" s="276"/>
      <c r="BA139" s="276"/>
      <c r="BB139" s="276"/>
      <c r="BC139" s="276"/>
      <c r="BD139" s="276"/>
      <c r="BE139" s="276"/>
      <c r="BF139" s="276"/>
    </row>
    <row r="140" s="196" customFormat="1" ht="14" spans="1:58">
      <c r="A140" s="249"/>
      <c r="B140" s="250"/>
      <c r="C140" s="193"/>
      <c r="D140" s="249"/>
      <c r="G140" s="251"/>
      <c r="H140" s="251"/>
      <c r="I140" s="274"/>
      <c r="J140" s="251"/>
      <c r="K140" s="275"/>
      <c r="L140" s="253"/>
      <c r="M140" s="276"/>
      <c r="N140" s="277"/>
      <c r="O140" s="278"/>
      <c r="P140" s="277"/>
      <c r="Q140" s="277"/>
      <c r="R140" s="277"/>
      <c r="S140" s="278"/>
      <c r="T140" s="277"/>
      <c r="U140" s="277"/>
      <c r="V140" s="277"/>
      <c r="W140" s="278"/>
      <c r="X140" s="277"/>
      <c r="Y140" s="277"/>
      <c r="Z140" s="277"/>
      <c r="AA140" s="278"/>
      <c r="AB140" s="277"/>
      <c r="AC140" s="277"/>
      <c r="AD140" s="277"/>
      <c r="AE140" s="278"/>
      <c r="AF140" s="277"/>
      <c r="AG140" s="277"/>
      <c r="AH140" s="277"/>
      <c r="AI140" s="278"/>
      <c r="AJ140" s="277"/>
      <c r="AK140" s="277"/>
      <c r="AL140" s="277"/>
      <c r="AM140" s="278"/>
      <c r="AN140" s="277"/>
      <c r="AO140" s="277"/>
      <c r="AP140" s="277"/>
      <c r="AQ140" s="278"/>
      <c r="AR140" s="277"/>
      <c r="AS140" s="277"/>
      <c r="AT140" s="280"/>
      <c r="AU140" s="276"/>
      <c r="AV140" s="276"/>
      <c r="AW140" s="276"/>
      <c r="AX140" s="276"/>
      <c r="AY140" s="276"/>
      <c r="AZ140" s="276"/>
      <c r="BA140" s="276"/>
      <c r="BB140" s="276"/>
      <c r="BC140" s="276"/>
      <c r="BD140" s="276"/>
      <c r="BE140" s="276"/>
      <c r="BF140" s="276"/>
    </row>
    <row r="141" s="196" customFormat="1" ht="14" spans="1:58">
      <c r="A141" s="249"/>
      <c r="B141" s="250"/>
      <c r="C141" s="193"/>
      <c r="D141" s="249"/>
      <c r="G141" s="251"/>
      <c r="H141" s="251"/>
      <c r="I141" s="274"/>
      <c r="J141" s="251"/>
      <c r="K141" s="275"/>
      <c r="L141" s="253"/>
      <c r="M141" s="276"/>
      <c r="N141" s="277"/>
      <c r="O141" s="278"/>
      <c r="P141" s="277"/>
      <c r="Q141" s="277"/>
      <c r="R141" s="277"/>
      <c r="S141" s="278"/>
      <c r="T141" s="277"/>
      <c r="U141" s="277"/>
      <c r="V141" s="277"/>
      <c r="W141" s="278"/>
      <c r="X141" s="277"/>
      <c r="Y141" s="277"/>
      <c r="Z141" s="277"/>
      <c r="AA141" s="278"/>
      <c r="AB141" s="277"/>
      <c r="AC141" s="277"/>
      <c r="AD141" s="277"/>
      <c r="AE141" s="278"/>
      <c r="AF141" s="277"/>
      <c r="AG141" s="277"/>
      <c r="AH141" s="277"/>
      <c r="AI141" s="278"/>
      <c r="AJ141" s="277"/>
      <c r="AK141" s="277"/>
      <c r="AL141" s="277"/>
      <c r="AM141" s="278"/>
      <c r="AN141" s="277"/>
      <c r="AO141" s="277"/>
      <c r="AP141" s="277"/>
      <c r="AQ141" s="278"/>
      <c r="AR141" s="277"/>
      <c r="AS141" s="277"/>
      <c r="AT141" s="280"/>
      <c r="AU141" s="276"/>
      <c r="AV141" s="276"/>
      <c r="AW141" s="276"/>
      <c r="AX141" s="276"/>
      <c r="AY141" s="276"/>
      <c r="AZ141" s="276"/>
      <c r="BA141" s="276"/>
      <c r="BB141" s="276"/>
      <c r="BC141" s="276"/>
      <c r="BD141" s="276"/>
      <c r="BE141" s="276"/>
      <c r="BF141" s="276"/>
    </row>
    <row r="142" s="196" customFormat="1" ht="14" spans="1:58">
      <c r="A142" s="249"/>
      <c r="B142" s="250"/>
      <c r="C142" s="193"/>
      <c r="D142" s="249"/>
      <c r="G142" s="251"/>
      <c r="H142" s="251"/>
      <c r="I142" s="274"/>
      <c r="J142" s="251"/>
      <c r="K142" s="275"/>
      <c r="L142" s="253"/>
      <c r="M142" s="276"/>
      <c r="N142" s="277"/>
      <c r="O142" s="278"/>
      <c r="P142" s="277"/>
      <c r="Q142" s="277"/>
      <c r="R142" s="277"/>
      <c r="S142" s="278"/>
      <c r="T142" s="277"/>
      <c r="U142" s="277"/>
      <c r="V142" s="277"/>
      <c r="W142" s="278"/>
      <c r="X142" s="277"/>
      <c r="Y142" s="277"/>
      <c r="Z142" s="277"/>
      <c r="AA142" s="278"/>
      <c r="AB142" s="277"/>
      <c r="AC142" s="277"/>
      <c r="AD142" s="277"/>
      <c r="AE142" s="278"/>
      <c r="AF142" s="277"/>
      <c r="AG142" s="277"/>
      <c r="AH142" s="277"/>
      <c r="AI142" s="278"/>
      <c r="AJ142" s="277"/>
      <c r="AK142" s="277"/>
      <c r="AL142" s="277"/>
      <c r="AM142" s="278"/>
      <c r="AN142" s="277"/>
      <c r="AO142" s="277"/>
      <c r="AP142" s="277"/>
      <c r="AQ142" s="278"/>
      <c r="AR142" s="277"/>
      <c r="AS142" s="277"/>
      <c r="AT142" s="280"/>
      <c r="AU142" s="276"/>
      <c r="AV142" s="276"/>
      <c r="AW142" s="276"/>
      <c r="AX142" s="276"/>
      <c r="AY142" s="276"/>
      <c r="AZ142" s="276"/>
      <c r="BA142" s="276"/>
      <c r="BB142" s="276"/>
      <c r="BC142" s="276"/>
      <c r="BD142" s="276"/>
      <c r="BE142" s="276"/>
      <c r="BF142" s="276"/>
    </row>
    <row r="143" s="196" customFormat="1" ht="14" spans="1:58">
      <c r="A143" s="249"/>
      <c r="B143" s="250"/>
      <c r="C143" s="193"/>
      <c r="D143" s="249"/>
      <c r="G143" s="251"/>
      <c r="H143" s="251"/>
      <c r="I143" s="274"/>
      <c r="J143" s="251"/>
      <c r="K143" s="275"/>
      <c r="L143" s="253"/>
      <c r="M143" s="276"/>
      <c r="N143" s="277"/>
      <c r="O143" s="278"/>
      <c r="P143" s="277"/>
      <c r="Q143" s="277"/>
      <c r="R143" s="277"/>
      <c r="S143" s="278"/>
      <c r="T143" s="277"/>
      <c r="U143" s="277"/>
      <c r="V143" s="277"/>
      <c r="W143" s="278"/>
      <c r="X143" s="277"/>
      <c r="Y143" s="277"/>
      <c r="Z143" s="277"/>
      <c r="AA143" s="278"/>
      <c r="AB143" s="277"/>
      <c r="AC143" s="277"/>
      <c r="AD143" s="277"/>
      <c r="AE143" s="278"/>
      <c r="AF143" s="277"/>
      <c r="AG143" s="277"/>
      <c r="AH143" s="277"/>
      <c r="AI143" s="278"/>
      <c r="AJ143" s="277"/>
      <c r="AK143" s="277"/>
      <c r="AL143" s="277"/>
      <c r="AM143" s="278"/>
      <c r="AN143" s="277"/>
      <c r="AO143" s="277"/>
      <c r="AP143" s="277"/>
      <c r="AQ143" s="278"/>
      <c r="AR143" s="277"/>
      <c r="AS143" s="277"/>
      <c r="AT143" s="280"/>
      <c r="AU143" s="276"/>
      <c r="AV143" s="276"/>
      <c r="AW143" s="276"/>
      <c r="AX143" s="276"/>
      <c r="AY143" s="276"/>
      <c r="AZ143" s="276"/>
      <c r="BA143" s="276"/>
      <c r="BB143" s="276"/>
      <c r="BC143" s="276"/>
      <c r="BD143" s="276"/>
      <c r="BE143" s="276"/>
      <c r="BF143" s="276"/>
    </row>
    <row r="144" s="196" customFormat="1" ht="14" spans="1:58">
      <c r="A144" s="249"/>
      <c r="B144" s="250"/>
      <c r="C144" s="193"/>
      <c r="D144" s="249"/>
      <c r="G144" s="251"/>
      <c r="H144" s="251"/>
      <c r="I144" s="274"/>
      <c r="J144" s="251"/>
      <c r="K144" s="275"/>
      <c r="L144" s="253"/>
      <c r="M144" s="276"/>
      <c r="N144" s="277"/>
      <c r="O144" s="278"/>
      <c r="P144" s="277"/>
      <c r="Q144" s="277"/>
      <c r="R144" s="277"/>
      <c r="S144" s="278"/>
      <c r="T144" s="277"/>
      <c r="U144" s="277"/>
      <c r="V144" s="277"/>
      <c r="W144" s="278"/>
      <c r="X144" s="277"/>
      <c r="Y144" s="277"/>
      <c r="Z144" s="277"/>
      <c r="AA144" s="278"/>
      <c r="AB144" s="277"/>
      <c r="AC144" s="277"/>
      <c r="AD144" s="277"/>
      <c r="AE144" s="278"/>
      <c r="AF144" s="277"/>
      <c r="AG144" s="277"/>
      <c r="AH144" s="277"/>
      <c r="AI144" s="278"/>
      <c r="AJ144" s="277"/>
      <c r="AK144" s="277"/>
      <c r="AL144" s="277"/>
      <c r="AM144" s="278"/>
      <c r="AN144" s="277"/>
      <c r="AO144" s="277"/>
      <c r="AP144" s="277"/>
      <c r="AQ144" s="278"/>
      <c r="AR144" s="277"/>
      <c r="AS144" s="277"/>
      <c r="AT144" s="280"/>
      <c r="AU144" s="276"/>
      <c r="AV144" s="276"/>
      <c r="AW144" s="276"/>
      <c r="AX144" s="276"/>
      <c r="AY144" s="276"/>
      <c r="AZ144" s="276"/>
      <c r="BA144" s="276"/>
      <c r="BB144" s="276"/>
      <c r="BC144" s="276"/>
      <c r="BD144" s="276"/>
      <c r="BE144" s="276"/>
      <c r="BF144" s="276"/>
    </row>
    <row r="145" s="196" customFormat="1" ht="14" spans="1:58">
      <c r="A145" s="249"/>
      <c r="B145" s="250"/>
      <c r="C145" s="193"/>
      <c r="D145" s="249"/>
      <c r="G145" s="251"/>
      <c r="H145" s="251"/>
      <c r="I145" s="274"/>
      <c r="J145" s="251"/>
      <c r="K145" s="275"/>
      <c r="L145" s="253"/>
      <c r="M145" s="276"/>
      <c r="N145" s="277"/>
      <c r="O145" s="278"/>
      <c r="P145" s="277"/>
      <c r="Q145" s="277"/>
      <c r="R145" s="277"/>
      <c r="S145" s="278"/>
      <c r="T145" s="277"/>
      <c r="U145" s="277"/>
      <c r="V145" s="277"/>
      <c r="W145" s="278"/>
      <c r="X145" s="277"/>
      <c r="Y145" s="277"/>
      <c r="Z145" s="277"/>
      <c r="AA145" s="278"/>
      <c r="AB145" s="277"/>
      <c r="AC145" s="277"/>
      <c r="AD145" s="277"/>
      <c r="AE145" s="278"/>
      <c r="AF145" s="277"/>
      <c r="AG145" s="277"/>
      <c r="AH145" s="277"/>
      <c r="AI145" s="278"/>
      <c r="AJ145" s="277"/>
      <c r="AK145" s="277"/>
      <c r="AL145" s="277"/>
      <c r="AM145" s="278"/>
      <c r="AN145" s="277"/>
      <c r="AO145" s="277"/>
      <c r="AP145" s="277"/>
      <c r="AQ145" s="278"/>
      <c r="AR145" s="277"/>
      <c r="AS145" s="277"/>
      <c r="AT145" s="280"/>
      <c r="AU145" s="276"/>
      <c r="AV145" s="276"/>
      <c r="AW145" s="276"/>
      <c r="AX145" s="276"/>
      <c r="AY145" s="276"/>
      <c r="AZ145" s="276"/>
      <c r="BA145" s="276"/>
      <c r="BB145" s="276"/>
      <c r="BC145" s="276"/>
      <c r="BD145" s="276"/>
      <c r="BE145" s="276"/>
      <c r="BF145" s="276"/>
    </row>
    <row r="146" s="196" customFormat="1" ht="14" spans="1:58">
      <c r="A146" s="249"/>
      <c r="B146" s="250"/>
      <c r="C146" s="193"/>
      <c r="D146" s="249"/>
      <c r="G146" s="251"/>
      <c r="H146" s="251"/>
      <c r="I146" s="274"/>
      <c r="J146" s="251"/>
      <c r="K146" s="275"/>
      <c r="L146" s="253"/>
      <c r="M146" s="276"/>
      <c r="N146" s="277"/>
      <c r="O146" s="278"/>
      <c r="P146" s="277"/>
      <c r="Q146" s="277"/>
      <c r="R146" s="277"/>
      <c r="S146" s="278"/>
      <c r="T146" s="277"/>
      <c r="U146" s="277"/>
      <c r="V146" s="277"/>
      <c r="W146" s="278"/>
      <c r="X146" s="277"/>
      <c r="Y146" s="277"/>
      <c r="Z146" s="277"/>
      <c r="AA146" s="278"/>
      <c r="AB146" s="277"/>
      <c r="AC146" s="277"/>
      <c r="AD146" s="277"/>
      <c r="AE146" s="278"/>
      <c r="AF146" s="277"/>
      <c r="AG146" s="277"/>
      <c r="AH146" s="277"/>
      <c r="AI146" s="278"/>
      <c r="AJ146" s="277"/>
      <c r="AK146" s="277"/>
      <c r="AL146" s="277"/>
      <c r="AM146" s="278"/>
      <c r="AN146" s="277"/>
      <c r="AO146" s="277"/>
      <c r="AP146" s="277"/>
      <c r="AQ146" s="278"/>
      <c r="AR146" s="277"/>
      <c r="AS146" s="277"/>
      <c r="AT146" s="280"/>
      <c r="AU146" s="276"/>
      <c r="AV146" s="276"/>
      <c r="AW146" s="276"/>
      <c r="AX146" s="276"/>
      <c r="AY146" s="276"/>
      <c r="AZ146" s="276"/>
      <c r="BA146" s="276"/>
      <c r="BB146" s="276"/>
      <c r="BC146" s="276"/>
      <c r="BD146" s="276"/>
      <c r="BE146" s="276"/>
      <c r="BF146" s="276"/>
    </row>
    <row r="147" s="196" customFormat="1" ht="14" spans="1:58">
      <c r="A147" s="249"/>
      <c r="B147" s="250"/>
      <c r="C147" s="193"/>
      <c r="D147" s="249"/>
      <c r="G147" s="251"/>
      <c r="H147" s="251"/>
      <c r="I147" s="274"/>
      <c r="J147" s="251"/>
      <c r="K147" s="275"/>
      <c r="L147" s="253"/>
      <c r="M147" s="276"/>
      <c r="N147" s="277"/>
      <c r="O147" s="278"/>
      <c r="P147" s="277"/>
      <c r="Q147" s="277"/>
      <c r="R147" s="277"/>
      <c r="S147" s="278"/>
      <c r="T147" s="277"/>
      <c r="U147" s="277"/>
      <c r="V147" s="277"/>
      <c r="W147" s="278"/>
      <c r="X147" s="277"/>
      <c r="Y147" s="277"/>
      <c r="Z147" s="277"/>
      <c r="AA147" s="278"/>
      <c r="AB147" s="277"/>
      <c r="AC147" s="277"/>
      <c r="AD147" s="277"/>
      <c r="AE147" s="278"/>
      <c r="AF147" s="277"/>
      <c r="AG147" s="277"/>
      <c r="AH147" s="277"/>
      <c r="AI147" s="278"/>
      <c r="AJ147" s="277"/>
      <c r="AK147" s="277"/>
      <c r="AL147" s="277"/>
      <c r="AM147" s="278"/>
      <c r="AN147" s="277"/>
      <c r="AO147" s="277"/>
      <c r="AP147" s="277"/>
      <c r="AQ147" s="278"/>
      <c r="AR147" s="277"/>
      <c r="AS147" s="277"/>
      <c r="AT147" s="280"/>
      <c r="AU147" s="276"/>
      <c r="AV147" s="276"/>
      <c r="AW147" s="276"/>
      <c r="AX147" s="276"/>
      <c r="AY147" s="276"/>
      <c r="AZ147" s="276"/>
      <c r="BA147" s="276"/>
      <c r="BB147" s="276"/>
      <c r="BC147" s="276"/>
      <c r="BD147" s="276"/>
      <c r="BE147" s="276"/>
      <c r="BF147" s="276"/>
    </row>
    <row r="148" s="196" customFormat="1" ht="14" spans="1:58">
      <c r="A148" s="249"/>
      <c r="B148" s="250"/>
      <c r="C148" s="193"/>
      <c r="D148" s="249"/>
      <c r="G148" s="251"/>
      <c r="H148" s="251"/>
      <c r="I148" s="274"/>
      <c r="J148" s="251"/>
      <c r="K148" s="275"/>
      <c r="L148" s="253"/>
      <c r="M148" s="276"/>
      <c r="N148" s="277"/>
      <c r="O148" s="278"/>
      <c r="P148" s="277"/>
      <c r="Q148" s="277"/>
      <c r="R148" s="277"/>
      <c r="S148" s="278"/>
      <c r="T148" s="277"/>
      <c r="U148" s="277"/>
      <c r="V148" s="277"/>
      <c r="W148" s="278"/>
      <c r="X148" s="277"/>
      <c r="Y148" s="277"/>
      <c r="Z148" s="277"/>
      <c r="AA148" s="278"/>
      <c r="AB148" s="277"/>
      <c r="AC148" s="277"/>
      <c r="AD148" s="277"/>
      <c r="AE148" s="278"/>
      <c r="AF148" s="277"/>
      <c r="AG148" s="277"/>
      <c r="AH148" s="277"/>
      <c r="AI148" s="278"/>
      <c r="AJ148" s="277"/>
      <c r="AK148" s="277"/>
      <c r="AL148" s="277"/>
      <c r="AM148" s="278"/>
      <c r="AN148" s="277"/>
      <c r="AO148" s="277"/>
      <c r="AP148" s="277"/>
      <c r="AQ148" s="278"/>
      <c r="AR148" s="277"/>
      <c r="AS148" s="277"/>
      <c r="AT148" s="280"/>
      <c r="AU148" s="276"/>
      <c r="AV148" s="276"/>
      <c r="AW148" s="276"/>
      <c r="AX148" s="276"/>
      <c r="AY148" s="276"/>
      <c r="AZ148" s="276"/>
      <c r="BA148" s="276"/>
      <c r="BB148" s="276"/>
      <c r="BC148" s="276"/>
      <c r="BD148" s="276"/>
      <c r="BE148" s="276"/>
      <c r="BF148" s="276"/>
    </row>
    <row r="149" s="196" customFormat="1" ht="14" spans="1:58">
      <c r="A149" s="249"/>
      <c r="B149" s="250"/>
      <c r="C149" s="193"/>
      <c r="D149" s="249"/>
      <c r="G149" s="251"/>
      <c r="H149" s="251"/>
      <c r="I149" s="274"/>
      <c r="J149" s="251"/>
      <c r="K149" s="275"/>
      <c r="L149" s="253"/>
      <c r="M149" s="276"/>
      <c r="N149" s="277"/>
      <c r="O149" s="278"/>
      <c r="P149" s="277"/>
      <c r="Q149" s="277"/>
      <c r="R149" s="277"/>
      <c r="S149" s="278"/>
      <c r="T149" s="277"/>
      <c r="U149" s="277"/>
      <c r="V149" s="277"/>
      <c r="W149" s="278"/>
      <c r="X149" s="277"/>
      <c r="Y149" s="277"/>
      <c r="Z149" s="277"/>
      <c r="AA149" s="278"/>
      <c r="AB149" s="277"/>
      <c r="AC149" s="277"/>
      <c r="AD149" s="277"/>
      <c r="AE149" s="278"/>
      <c r="AF149" s="277"/>
      <c r="AG149" s="277"/>
      <c r="AH149" s="277"/>
      <c r="AI149" s="278"/>
      <c r="AJ149" s="277"/>
      <c r="AK149" s="277"/>
      <c r="AL149" s="277"/>
      <c r="AM149" s="278"/>
      <c r="AN149" s="277"/>
      <c r="AO149" s="277"/>
      <c r="AP149" s="277"/>
      <c r="AQ149" s="278"/>
      <c r="AR149" s="277"/>
      <c r="AS149" s="277"/>
      <c r="AT149" s="280"/>
      <c r="AU149" s="276"/>
      <c r="AV149" s="276"/>
      <c r="AW149" s="276"/>
      <c r="AX149" s="276"/>
      <c r="AY149" s="276"/>
      <c r="AZ149" s="276"/>
      <c r="BA149" s="276"/>
      <c r="BB149" s="276"/>
      <c r="BC149" s="276"/>
      <c r="BD149" s="276"/>
      <c r="BE149" s="276"/>
      <c r="BF149" s="276"/>
    </row>
    <row r="150" s="196" customFormat="1" ht="14" spans="1:58">
      <c r="A150" s="249"/>
      <c r="B150" s="250"/>
      <c r="C150" s="193"/>
      <c r="D150" s="249"/>
      <c r="G150" s="251"/>
      <c r="H150" s="251"/>
      <c r="I150" s="274"/>
      <c r="J150" s="251"/>
      <c r="K150" s="275"/>
      <c r="L150" s="253"/>
      <c r="M150" s="276"/>
      <c r="N150" s="277"/>
      <c r="O150" s="278"/>
      <c r="P150" s="277"/>
      <c r="Q150" s="277"/>
      <c r="R150" s="277"/>
      <c r="S150" s="278"/>
      <c r="T150" s="277"/>
      <c r="U150" s="277"/>
      <c r="V150" s="277"/>
      <c r="W150" s="278"/>
      <c r="X150" s="277"/>
      <c r="Y150" s="277"/>
      <c r="Z150" s="277"/>
      <c r="AA150" s="278"/>
      <c r="AB150" s="277"/>
      <c r="AC150" s="277"/>
      <c r="AD150" s="277"/>
      <c r="AE150" s="278"/>
      <c r="AF150" s="277"/>
      <c r="AG150" s="277"/>
      <c r="AH150" s="277"/>
      <c r="AI150" s="278"/>
      <c r="AJ150" s="277"/>
      <c r="AK150" s="277"/>
      <c r="AL150" s="277"/>
      <c r="AM150" s="278"/>
      <c r="AN150" s="277"/>
      <c r="AO150" s="277"/>
      <c r="AP150" s="277"/>
      <c r="AQ150" s="278"/>
      <c r="AR150" s="277"/>
      <c r="AS150" s="277"/>
      <c r="AT150" s="280"/>
      <c r="AU150" s="276"/>
      <c r="AV150" s="276"/>
      <c r="AW150" s="276"/>
      <c r="AX150" s="276"/>
      <c r="AY150" s="276"/>
      <c r="AZ150" s="276"/>
      <c r="BA150" s="276"/>
      <c r="BB150" s="276"/>
      <c r="BC150" s="276"/>
      <c r="BD150" s="276"/>
      <c r="BE150" s="276"/>
      <c r="BF150" s="276"/>
    </row>
    <row r="151" s="196" customFormat="1" ht="14" spans="1:58">
      <c r="A151" s="249"/>
      <c r="B151" s="250"/>
      <c r="C151" s="193"/>
      <c r="D151" s="249"/>
      <c r="G151" s="251"/>
      <c r="H151" s="251"/>
      <c r="I151" s="274"/>
      <c r="J151" s="251"/>
      <c r="K151" s="275"/>
      <c r="L151" s="253"/>
      <c r="M151" s="276"/>
      <c r="N151" s="277"/>
      <c r="O151" s="278"/>
      <c r="P151" s="277"/>
      <c r="Q151" s="277"/>
      <c r="R151" s="277"/>
      <c r="S151" s="278"/>
      <c r="T151" s="277"/>
      <c r="U151" s="277"/>
      <c r="V151" s="277"/>
      <c r="W151" s="278"/>
      <c r="X151" s="277"/>
      <c r="Y151" s="277"/>
      <c r="Z151" s="277"/>
      <c r="AA151" s="278"/>
      <c r="AB151" s="277"/>
      <c r="AC151" s="277"/>
      <c r="AD151" s="277"/>
      <c r="AE151" s="278"/>
      <c r="AF151" s="277"/>
      <c r="AG151" s="277"/>
      <c r="AH151" s="277"/>
      <c r="AI151" s="278"/>
      <c r="AJ151" s="277"/>
      <c r="AK151" s="277"/>
      <c r="AL151" s="277"/>
      <c r="AM151" s="278"/>
      <c r="AN151" s="277"/>
      <c r="AO151" s="277"/>
      <c r="AP151" s="277"/>
      <c r="AQ151" s="278"/>
      <c r="AR151" s="277"/>
      <c r="AS151" s="277"/>
      <c r="AT151" s="280"/>
      <c r="AU151" s="276"/>
      <c r="AV151" s="276"/>
      <c r="AW151" s="276"/>
      <c r="AX151" s="276"/>
      <c r="AY151" s="276"/>
      <c r="AZ151" s="276"/>
      <c r="BA151" s="276"/>
      <c r="BB151" s="276"/>
      <c r="BC151" s="276"/>
      <c r="BD151" s="276"/>
      <c r="BE151" s="276"/>
      <c r="BF151" s="276"/>
    </row>
    <row r="152" s="196" customFormat="1" ht="14" spans="1:58">
      <c r="A152" s="249"/>
      <c r="B152" s="250"/>
      <c r="C152" s="193"/>
      <c r="D152" s="249"/>
      <c r="G152" s="251"/>
      <c r="H152" s="251"/>
      <c r="I152" s="274"/>
      <c r="J152" s="251"/>
      <c r="K152" s="275"/>
      <c r="L152" s="253"/>
      <c r="M152" s="276"/>
      <c r="N152" s="277"/>
      <c r="O152" s="278"/>
      <c r="P152" s="277"/>
      <c r="Q152" s="277"/>
      <c r="R152" s="277"/>
      <c r="S152" s="278"/>
      <c r="T152" s="277"/>
      <c r="U152" s="277"/>
      <c r="V152" s="277"/>
      <c r="W152" s="278"/>
      <c r="X152" s="277"/>
      <c r="Y152" s="277"/>
      <c r="Z152" s="277"/>
      <c r="AA152" s="278"/>
      <c r="AB152" s="277"/>
      <c r="AC152" s="277"/>
      <c r="AD152" s="277"/>
      <c r="AE152" s="278"/>
      <c r="AF152" s="277"/>
      <c r="AG152" s="277"/>
      <c r="AH152" s="277"/>
      <c r="AI152" s="278"/>
      <c r="AJ152" s="277"/>
      <c r="AK152" s="277"/>
      <c r="AL152" s="277"/>
      <c r="AM152" s="278"/>
      <c r="AN152" s="277"/>
      <c r="AO152" s="277"/>
      <c r="AP152" s="277"/>
      <c r="AQ152" s="278"/>
      <c r="AR152" s="277"/>
      <c r="AS152" s="277"/>
      <c r="AT152" s="280"/>
      <c r="AU152" s="276"/>
      <c r="AV152" s="276"/>
      <c r="AW152" s="276"/>
      <c r="AX152" s="276"/>
      <c r="AY152" s="276"/>
      <c r="AZ152" s="276"/>
      <c r="BA152" s="276"/>
      <c r="BB152" s="276"/>
      <c r="BC152" s="276"/>
      <c r="BD152" s="276"/>
      <c r="BE152" s="276"/>
      <c r="BF152" s="276"/>
    </row>
    <row r="153" s="196" customFormat="1" ht="14" spans="1:58">
      <c r="A153" s="249"/>
      <c r="B153" s="250"/>
      <c r="C153" s="193"/>
      <c r="D153" s="249"/>
      <c r="G153" s="251"/>
      <c r="H153" s="251"/>
      <c r="I153" s="274"/>
      <c r="J153" s="251"/>
      <c r="K153" s="275"/>
      <c r="L153" s="253"/>
      <c r="M153" s="276"/>
      <c r="N153" s="277"/>
      <c r="O153" s="278"/>
      <c r="P153" s="277"/>
      <c r="Q153" s="277"/>
      <c r="R153" s="277"/>
      <c r="S153" s="278"/>
      <c r="T153" s="277"/>
      <c r="U153" s="277"/>
      <c r="V153" s="277"/>
      <c r="W153" s="278"/>
      <c r="X153" s="277"/>
      <c r="Y153" s="277"/>
      <c r="Z153" s="277"/>
      <c r="AA153" s="278"/>
      <c r="AB153" s="277"/>
      <c r="AC153" s="277"/>
      <c r="AD153" s="277"/>
      <c r="AE153" s="278"/>
      <c r="AF153" s="277"/>
      <c r="AG153" s="277"/>
      <c r="AH153" s="277"/>
      <c r="AI153" s="278"/>
      <c r="AJ153" s="277"/>
      <c r="AK153" s="277"/>
      <c r="AL153" s="277"/>
      <c r="AM153" s="278"/>
      <c r="AN153" s="277"/>
      <c r="AO153" s="277"/>
      <c r="AP153" s="277"/>
      <c r="AQ153" s="278"/>
      <c r="AR153" s="277"/>
      <c r="AS153" s="277"/>
      <c r="AT153" s="280"/>
      <c r="AU153" s="276"/>
      <c r="AV153" s="276"/>
      <c r="AW153" s="276"/>
      <c r="AX153" s="276"/>
      <c r="AY153" s="276"/>
      <c r="AZ153" s="276"/>
      <c r="BA153" s="276"/>
      <c r="BB153" s="276"/>
      <c r="BC153" s="276"/>
      <c r="BD153" s="276"/>
      <c r="BE153" s="276"/>
      <c r="BF153" s="276"/>
    </row>
    <row r="154" s="196" customFormat="1" ht="14" spans="1:58">
      <c r="A154" s="249"/>
      <c r="B154" s="250"/>
      <c r="C154" s="193"/>
      <c r="D154" s="249"/>
      <c r="G154" s="251"/>
      <c r="H154" s="251"/>
      <c r="I154" s="274"/>
      <c r="J154" s="251"/>
      <c r="K154" s="275"/>
      <c r="L154" s="253"/>
      <c r="M154" s="276"/>
      <c r="N154" s="277"/>
      <c r="O154" s="278"/>
      <c r="P154" s="277"/>
      <c r="Q154" s="277"/>
      <c r="R154" s="277"/>
      <c r="S154" s="278"/>
      <c r="T154" s="277"/>
      <c r="U154" s="277"/>
      <c r="V154" s="277"/>
      <c r="W154" s="278"/>
      <c r="X154" s="277"/>
      <c r="Y154" s="277"/>
      <c r="Z154" s="277"/>
      <c r="AA154" s="278"/>
      <c r="AB154" s="277"/>
      <c r="AC154" s="277"/>
      <c r="AD154" s="277"/>
      <c r="AE154" s="278"/>
      <c r="AF154" s="277"/>
      <c r="AG154" s="277"/>
      <c r="AH154" s="277"/>
      <c r="AI154" s="278"/>
      <c r="AJ154" s="277"/>
      <c r="AK154" s="277"/>
      <c r="AL154" s="277"/>
      <c r="AM154" s="278"/>
      <c r="AN154" s="277"/>
      <c r="AO154" s="277"/>
      <c r="AP154" s="277"/>
      <c r="AQ154" s="278"/>
      <c r="AR154" s="277"/>
      <c r="AS154" s="277"/>
      <c r="AT154" s="280"/>
      <c r="AU154" s="276"/>
      <c r="AV154" s="276"/>
      <c r="AW154" s="276"/>
      <c r="AX154" s="276"/>
      <c r="AY154" s="276"/>
      <c r="AZ154" s="276"/>
      <c r="BA154" s="276"/>
      <c r="BB154" s="276"/>
      <c r="BC154" s="276"/>
      <c r="BD154" s="276"/>
      <c r="BE154" s="276"/>
      <c r="BF154" s="276"/>
    </row>
    <row r="155" s="196" customFormat="1" ht="14" spans="1:58">
      <c r="A155" s="249"/>
      <c r="B155" s="250"/>
      <c r="C155" s="193"/>
      <c r="D155" s="249"/>
      <c r="G155" s="251"/>
      <c r="H155" s="251"/>
      <c r="I155" s="274"/>
      <c r="J155" s="251"/>
      <c r="K155" s="275"/>
      <c r="L155" s="253"/>
      <c r="M155" s="276"/>
      <c r="N155" s="277"/>
      <c r="O155" s="278"/>
      <c r="P155" s="277"/>
      <c r="Q155" s="277"/>
      <c r="R155" s="277"/>
      <c r="S155" s="278"/>
      <c r="T155" s="277"/>
      <c r="U155" s="277"/>
      <c r="V155" s="277"/>
      <c r="W155" s="278"/>
      <c r="X155" s="277"/>
      <c r="Y155" s="277"/>
      <c r="Z155" s="277"/>
      <c r="AA155" s="278"/>
      <c r="AB155" s="277"/>
      <c r="AC155" s="277"/>
      <c r="AD155" s="277"/>
      <c r="AE155" s="278"/>
      <c r="AF155" s="277"/>
      <c r="AG155" s="277"/>
      <c r="AH155" s="277"/>
      <c r="AI155" s="278"/>
      <c r="AJ155" s="277"/>
      <c r="AK155" s="277"/>
      <c r="AL155" s="277"/>
      <c r="AM155" s="278"/>
      <c r="AN155" s="277"/>
      <c r="AO155" s="277"/>
      <c r="AP155" s="277"/>
      <c r="AQ155" s="278"/>
      <c r="AR155" s="277"/>
      <c r="AS155" s="277"/>
      <c r="AT155" s="280"/>
      <c r="AU155" s="276"/>
      <c r="AV155" s="276"/>
      <c r="AW155" s="276"/>
      <c r="AX155" s="276"/>
      <c r="AY155" s="276"/>
      <c r="AZ155" s="276"/>
      <c r="BA155" s="276"/>
      <c r="BB155" s="276"/>
      <c r="BC155" s="276"/>
      <c r="BD155" s="276"/>
      <c r="BE155" s="276"/>
      <c r="BF155" s="276"/>
    </row>
    <row r="156" s="196" customFormat="1" ht="14" spans="1:58">
      <c r="A156" s="249"/>
      <c r="B156" s="250"/>
      <c r="C156" s="193"/>
      <c r="D156" s="249"/>
      <c r="G156" s="251"/>
      <c r="H156" s="251"/>
      <c r="I156" s="274"/>
      <c r="J156" s="251"/>
      <c r="K156" s="275"/>
      <c r="L156" s="253"/>
      <c r="M156" s="276"/>
      <c r="N156" s="277"/>
      <c r="O156" s="278"/>
      <c r="P156" s="277"/>
      <c r="Q156" s="277"/>
      <c r="R156" s="277"/>
      <c r="S156" s="278"/>
      <c r="T156" s="277"/>
      <c r="U156" s="277"/>
      <c r="V156" s="277"/>
      <c r="W156" s="278"/>
      <c r="X156" s="277"/>
      <c r="Y156" s="277"/>
      <c r="Z156" s="277"/>
      <c r="AA156" s="278"/>
      <c r="AB156" s="277"/>
      <c r="AC156" s="277"/>
      <c r="AD156" s="277"/>
      <c r="AE156" s="278"/>
      <c r="AF156" s="277"/>
      <c r="AG156" s="277"/>
      <c r="AH156" s="277"/>
      <c r="AI156" s="278"/>
      <c r="AJ156" s="277"/>
      <c r="AK156" s="277"/>
      <c r="AL156" s="277"/>
      <c r="AM156" s="278"/>
      <c r="AN156" s="277"/>
      <c r="AO156" s="277"/>
      <c r="AP156" s="277"/>
      <c r="AQ156" s="278"/>
      <c r="AR156" s="277"/>
      <c r="AS156" s="277"/>
      <c r="AT156" s="280"/>
      <c r="AU156" s="276"/>
      <c r="AV156" s="276"/>
      <c r="AW156" s="276"/>
      <c r="AX156" s="276"/>
      <c r="AY156" s="276"/>
      <c r="AZ156" s="276"/>
      <c r="BA156" s="276"/>
      <c r="BB156" s="276"/>
      <c r="BC156" s="276"/>
      <c r="BD156" s="276"/>
      <c r="BE156" s="276"/>
      <c r="BF156" s="276"/>
    </row>
    <row r="157" s="196" customFormat="1" ht="14" spans="1:58">
      <c r="A157" s="249"/>
      <c r="B157" s="250"/>
      <c r="C157" s="193"/>
      <c r="D157" s="249"/>
      <c r="G157" s="251"/>
      <c r="H157" s="251"/>
      <c r="I157" s="274"/>
      <c r="J157" s="251"/>
      <c r="K157" s="275"/>
      <c r="L157" s="253"/>
      <c r="M157" s="276"/>
      <c r="N157" s="277"/>
      <c r="O157" s="278"/>
      <c r="P157" s="277"/>
      <c r="Q157" s="277"/>
      <c r="R157" s="277"/>
      <c r="S157" s="278"/>
      <c r="T157" s="277"/>
      <c r="U157" s="277"/>
      <c r="V157" s="277"/>
      <c r="W157" s="278"/>
      <c r="X157" s="277"/>
      <c r="Y157" s="277"/>
      <c r="Z157" s="277"/>
      <c r="AA157" s="278"/>
      <c r="AB157" s="277"/>
      <c r="AC157" s="277"/>
      <c r="AD157" s="277"/>
      <c r="AE157" s="278"/>
      <c r="AF157" s="277"/>
      <c r="AG157" s="277"/>
      <c r="AH157" s="277"/>
      <c r="AI157" s="278"/>
      <c r="AJ157" s="277"/>
      <c r="AK157" s="277"/>
      <c r="AL157" s="277"/>
      <c r="AM157" s="278"/>
      <c r="AN157" s="277"/>
      <c r="AO157" s="277"/>
      <c r="AP157" s="277"/>
      <c r="AQ157" s="278"/>
      <c r="AR157" s="277"/>
      <c r="AS157" s="277"/>
      <c r="AT157" s="280"/>
      <c r="AU157" s="276"/>
      <c r="AV157" s="276"/>
      <c r="AW157" s="276"/>
      <c r="AX157" s="276"/>
      <c r="AY157" s="276"/>
      <c r="AZ157" s="276"/>
      <c r="BA157" s="276"/>
      <c r="BB157" s="276"/>
      <c r="BC157" s="276"/>
      <c r="BD157" s="276"/>
      <c r="BE157" s="276"/>
      <c r="BF157" s="276"/>
    </row>
    <row r="158" s="196" customFormat="1" ht="14" spans="1:58">
      <c r="A158" s="249"/>
      <c r="B158" s="250"/>
      <c r="C158" s="193"/>
      <c r="D158" s="249"/>
      <c r="G158" s="251"/>
      <c r="H158" s="251"/>
      <c r="I158" s="274"/>
      <c r="J158" s="251"/>
      <c r="K158" s="275"/>
      <c r="L158" s="253"/>
      <c r="M158" s="276"/>
      <c r="N158" s="277"/>
      <c r="O158" s="278"/>
      <c r="P158" s="277"/>
      <c r="Q158" s="277"/>
      <c r="R158" s="277"/>
      <c r="S158" s="278"/>
      <c r="T158" s="277"/>
      <c r="U158" s="277"/>
      <c r="V158" s="277"/>
      <c r="W158" s="278"/>
      <c r="X158" s="277"/>
      <c r="Y158" s="277"/>
      <c r="Z158" s="277"/>
      <c r="AA158" s="278"/>
      <c r="AB158" s="277"/>
      <c r="AC158" s="277"/>
      <c r="AD158" s="277"/>
      <c r="AE158" s="278"/>
      <c r="AF158" s="277"/>
      <c r="AG158" s="277"/>
      <c r="AH158" s="277"/>
      <c r="AI158" s="278"/>
      <c r="AJ158" s="277"/>
      <c r="AK158" s="277"/>
      <c r="AL158" s="277"/>
      <c r="AM158" s="278"/>
      <c r="AN158" s="277"/>
      <c r="AO158" s="277"/>
      <c r="AP158" s="277"/>
      <c r="AQ158" s="278"/>
      <c r="AR158" s="277"/>
      <c r="AS158" s="277"/>
      <c r="AT158" s="280"/>
      <c r="AU158" s="276"/>
      <c r="AV158" s="276"/>
      <c r="AW158" s="276"/>
      <c r="AX158" s="276"/>
      <c r="AY158" s="276"/>
      <c r="AZ158" s="276"/>
      <c r="BA158" s="276"/>
      <c r="BB158" s="276"/>
      <c r="BC158" s="276"/>
      <c r="BD158" s="276"/>
      <c r="BE158" s="276"/>
      <c r="BF158" s="276"/>
    </row>
    <row r="159" s="196" customFormat="1" ht="14" spans="1:58">
      <c r="A159" s="249"/>
      <c r="B159" s="250"/>
      <c r="C159" s="193"/>
      <c r="D159" s="249"/>
      <c r="G159" s="251"/>
      <c r="H159" s="251"/>
      <c r="I159" s="274"/>
      <c r="J159" s="251"/>
      <c r="K159" s="275"/>
      <c r="L159" s="253"/>
      <c r="M159" s="276"/>
      <c r="N159" s="277"/>
      <c r="O159" s="278"/>
      <c r="P159" s="277"/>
      <c r="Q159" s="277"/>
      <c r="R159" s="277"/>
      <c r="S159" s="278"/>
      <c r="T159" s="277"/>
      <c r="U159" s="277"/>
      <c r="V159" s="277"/>
      <c r="W159" s="278"/>
      <c r="X159" s="277"/>
      <c r="Y159" s="277"/>
      <c r="Z159" s="277"/>
      <c r="AA159" s="278"/>
      <c r="AB159" s="277"/>
      <c r="AC159" s="277"/>
      <c r="AD159" s="277"/>
      <c r="AE159" s="278"/>
      <c r="AF159" s="277"/>
      <c r="AG159" s="277"/>
      <c r="AH159" s="277"/>
      <c r="AI159" s="278"/>
      <c r="AJ159" s="277"/>
      <c r="AK159" s="277"/>
      <c r="AL159" s="277"/>
      <c r="AM159" s="278"/>
      <c r="AN159" s="277"/>
      <c r="AO159" s="277"/>
      <c r="AP159" s="277"/>
      <c r="AQ159" s="278"/>
      <c r="AR159" s="277"/>
      <c r="AS159" s="277"/>
      <c r="AT159" s="280"/>
      <c r="AU159" s="276"/>
      <c r="AV159" s="276"/>
      <c r="AW159" s="276"/>
      <c r="AX159" s="276"/>
      <c r="AY159" s="276"/>
      <c r="AZ159" s="276"/>
      <c r="BA159" s="276"/>
      <c r="BB159" s="276"/>
      <c r="BC159" s="276"/>
      <c r="BD159" s="276"/>
      <c r="BE159" s="276"/>
      <c r="BF159" s="276"/>
    </row>
    <row r="160" s="196" customFormat="1" ht="14" spans="1:58">
      <c r="A160" s="249"/>
      <c r="B160" s="250"/>
      <c r="C160" s="193"/>
      <c r="D160" s="249"/>
      <c r="G160" s="251"/>
      <c r="H160" s="251"/>
      <c r="I160" s="274"/>
      <c r="J160" s="251"/>
      <c r="K160" s="275"/>
      <c r="L160" s="253"/>
      <c r="M160" s="276"/>
      <c r="N160" s="277"/>
      <c r="O160" s="278"/>
      <c r="P160" s="277"/>
      <c r="Q160" s="277"/>
      <c r="R160" s="277"/>
      <c r="S160" s="278"/>
      <c r="T160" s="277"/>
      <c r="U160" s="277"/>
      <c r="V160" s="277"/>
      <c r="W160" s="278"/>
      <c r="X160" s="277"/>
      <c r="Y160" s="277"/>
      <c r="Z160" s="277"/>
      <c r="AA160" s="278"/>
      <c r="AB160" s="277"/>
      <c r="AC160" s="277"/>
      <c r="AD160" s="277"/>
      <c r="AE160" s="278"/>
      <c r="AF160" s="277"/>
      <c r="AG160" s="277"/>
      <c r="AH160" s="277"/>
      <c r="AI160" s="278"/>
      <c r="AJ160" s="277"/>
      <c r="AK160" s="277"/>
      <c r="AL160" s="277"/>
      <c r="AM160" s="278"/>
      <c r="AN160" s="277"/>
      <c r="AO160" s="277"/>
      <c r="AP160" s="277"/>
      <c r="AQ160" s="278"/>
      <c r="AR160" s="277"/>
      <c r="AS160" s="277"/>
      <c r="AT160" s="280"/>
      <c r="AU160" s="276"/>
      <c r="AV160" s="276"/>
      <c r="AW160" s="276"/>
      <c r="AX160" s="276"/>
      <c r="AY160" s="276"/>
      <c r="AZ160" s="276"/>
      <c r="BA160" s="276"/>
      <c r="BB160" s="276"/>
      <c r="BC160" s="276"/>
      <c r="BD160" s="276"/>
      <c r="BE160" s="276"/>
      <c r="BF160" s="276"/>
    </row>
    <row r="161" s="196" customFormat="1" ht="14" spans="1:58">
      <c r="A161" s="249"/>
      <c r="B161" s="250"/>
      <c r="C161" s="193"/>
      <c r="D161" s="249"/>
      <c r="G161" s="251"/>
      <c r="H161" s="251"/>
      <c r="I161" s="274"/>
      <c r="J161" s="251"/>
      <c r="K161" s="275"/>
      <c r="L161" s="253"/>
      <c r="M161" s="276"/>
      <c r="N161" s="277"/>
      <c r="O161" s="278"/>
      <c r="P161" s="277"/>
      <c r="Q161" s="277"/>
      <c r="R161" s="277"/>
      <c r="S161" s="278"/>
      <c r="T161" s="277"/>
      <c r="U161" s="277"/>
      <c r="V161" s="277"/>
      <c r="W161" s="278"/>
      <c r="X161" s="277"/>
      <c r="Y161" s="277"/>
      <c r="Z161" s="277"/>
      <c r="AA161" s="278"/>
      <c r="AB161" s="277"/>
      <c r="AC161" s="277"/>
      <c r="AD161" s="277"/>
      <c r="AE161" s="278"/>
      <c r="AF161" s="277"/>
      <c r="AG161" s="277"/>
      <c r="AH161" s="277"/>
      <c r="AI161" s="278"/>
      <c r="AJ161" s="277"/>
      <c r="AK161" s="277"/>
      <c r="AL161" s="277"/>
      <c r="AM161" s="278"/>
      <c r="AN161" s="277"/>
      <c r="AO161" s="277"/>
      <c r="AP161" s="277"/>
      <c r="AQ161" s="278"/>
      <c r="AR161" s="277"/>
      <c r="AS161" s="277"/>
      <c r="AT161" s="280"/>
      <c r="AU161" s="276"/>
      <c r="AV161" s="276"/>
      <c r="AW161" s="276"/>
      <c r="AX161" s="276"/>
      <c r="AY161" s="276"/>
      <c r="AZ161" s="276"/>
      <c r="BA161" s="276"/>
      <c r="BB161" s="276"/>
      <c r="BC161" s="276"/>
      <c r="BD161" s="276"/>
      <c r="BE161" s="276"/>
      <c r="BF161" s="276"/>
    </row>
    <row r="162" s="196" customFormat="1" ht="14" spans="1:58">
      <c r="A162" s="249"/>
      <c r="B162" s="250"/>
      <c r="C162" s="193"/>
      <c r="D162" s="249"/>
      <c r="G162" s="251"/>
      <c r="H162" s="251"/>
      <c r="I162" s="274"/>
      <c r="J162" s="251"/>
      <c r="K162" s="275"/>
      <c r="L162" s="253"/>
      <c r="M162" s="276"/>
      <c r="N162" s="277"/>
      <c r="O162" s="278"/>
      <c r="P162" s="277"/>
      <c r="Q162" s="277"/>
      <c r="R162" s="277"/>
      <c r="S162" s="278"/>
      <c r="T162" s="277"/>
      <c r="U162" s="277"/>
      <c r="V162" s="277"/>
      <c r="W162" s="278"/>
      <c r="X162" s="277"/>
      <c r="Y162" s="277"/>
      <c r="Z162" s="277"/>
      <c r="AA162" s="278"/>
      <c r="AB162" s="277"/>
      <c r="AC162" s="277"/>
      <c r="AD162" s="277"/>
      <c r="AE162" s="278"/>
      <c r="AF162" s="277"/>
      <c r="AG162" s="277"/>
      <c r="AH162" s="277"/>
      <c r="AI162" s="278"/>
      <c r="AJ162" s="277"/>
      <c r="AK162" s="277"/>
      <c r="AL162" s="277"/>
      <c r="AM162" s="278"/>
      <c r="AN162" s="277"/>
      <c r="AO162" s="277"/>
      <c r="AP162" s="277"/>
      <c r="AQ162" s="278"/>
      <c r="AR162" s="277"/>
      <c r="AS162" s="277"/>
      <c r="AT162" s="280"/>
      <c r="AU162" s="276"/>
      <c r="AV162" s="276"/>
      <c r="AW162" s="276"/>
      <c r="AX162" s="276"/>
      <c r="AY162" s="276"/>
      <c r="AZ162" s="276"/>
      <c r="BA162" s="276"/>
      <c r="BB162" s="276"/>
      <c r="BC162" s="276"/>
      <c r="BD162" s="276"/>
      <c r="BE162" s="276"/>
      <c r="BF162" s="276"/>
    </row>
    <row r="163" s="196" customFormat="1" ht="14" spans="1:58">
      <c r="A163" s="249"/>
      <c r="B163" s="250"/>
      <c r="C163" s="193"/>
      <c r="D163" s="249"/>
      <c r="G163" s="251"/>
      <c r="H163" s="251"/>
      <c r="I163" s="274"/>
      <c r="J163" s="251"/>
      <c r="K163" s="275"/>
      <c r="L163" s="253"/>
      <c r="M163" s="276"/>
      <c r="N163" s="277"/>
      <c r="O163" s="278"/>
      <c r="P163" s="277"/>
      <c r="Q163" s="277"/>
      <c r="R163" s="277"/>
      <c r="S163" s="278"/>
      <c r="T163" s="277"/>
      <c r="U163" s="277"/>
      <c r="V163" s="277"/>
      <c r="W163" s="278"/>
      <c r="X163" s="277"/>
      <c r="Y163" s="277"/>
      <c r="Z163" s="277"/>
      <c r="AA163" s="278"/>
      <c r="AB163" s="277"/>
      <c r="AC163" s="277"/>
      <c r="AD163" s="277"/>
      <c r="AE163" s="278"/>
      <c r="AF163" s="277"/>
      <c r="AG163" s="277"/>
      <c r="AH163" s="277"/>
      <c r="AI163" s="278"/>
      <c r="AJ163" s="277"/>
      <c r="AK163" s="277"/>
      <c r="AL163" s="277"/>
      <c r="AM163" s="278"/>
      <c r="AN163" s="277"/>
      <c r="AO163" s="277"/>
      <c r="AP163" s="277"/>
      <c r="AQ163" s="278"/>
      <c r="AR163" s="277"/>
      <c r="AS163" s="277"/>
      <c r="AT163" s="280"/>
      <c r="AU163" s="276"/>
      <c r="AV163" s="276"/>
      <c r="AW163" s="276"/>
      <c r="AX163" s="276"/>
      <c r="AY163" s="276"/>
      <c r="AZ163" s="276"/>
      <c r="BA163" s="276"/>
      <c r="BB163" s="276"/>
      <c r="BC163" s="276"/>
      <c r="BD163" s="276"/>
      <c r="BE163" s="276"/>
      <c r="BF163" s="276"/>
    </row>
    <row r="164" s="196" customFormat="1" ht="14" spans="1:58">
      <c r="A164" s="249"/>
      <c r="B164" s="250"/>
      <c r="C164" s="193"/>
      <c r="D164" s="249"/>
      <c r="G164" s="251"/>
      <c r="H164" s="251"/>
      <c r="I164" s="274"/>
      <c r="J164" s="251"/>
      <c r="K164" s="275"/>
      <c r="L164" s="253"/>
      <c r="M164" s="276"/>
      <c r="N164" s="277"/>
      <c r="O164" s="278"/>
      <c r="P164" s="277"/>
      <c r="Q164" s="277"/>
      <c r="R164" s="277"/>
      <c r="S164" s="278"/>
      <c r="T164" s="277"/>
      <c r="U164" s="277"/>
      <c r="V164" s="277"/>
      <c r="W164" s="278"/>
      <c r="X164" s="277"/>
      <c r="Y164" s="277"/>
      <c r="Z164" s="277"/>
      <c r="AA164" s="278"/>
      <c r="AB164" s="277"/>
      <c r="AC164" s="277"/>
      <c r="AD164" s="277"/>
      <c r="AE164" s="278"/>
      <c r="AF164" s="277"/>
      <c r="AG164" s="277"/>
      <c r="AH164" s="277"/>
      <c r="AI164" s="278"/>
      <c r="AJ164" s="277"/>
      <c r="AK164" s="277"/>
      <c r="AL164" s="277"/>
      <c r="AM164" s="278"/>
      <c r="AN164" s="277"/>
      <c r="AO164" s="277"/>
      <c r="AP164" s="277"/>
      <c r="AQ164" s="278"/>
      <c r="AR164" s="277"/>
      <c r="AS164" s="277"/>
      <c r="AT164" s="280"/>
      <c r="AU164" s="276"/>
      <c r="AV164" s="276"/>
      <c r="AW164" s="276"/>
      <c r="AX164" s="276"/>
      <c r="AY164" s="276"/>
      <c r="AZ164" s="276"/>
      <c r="BA164" s="276"/>
      <c r="BB164" s="276"/>
      <c r="BC164" s="276"/>
      <c r="BD164" s="276"/>
      <c r="BE164" s="276"/>
      <c r="BF164" s="276"/>
    </row>
    <row r="165" s="196" customFormat="1" ht="14" spans="1:58">
      <c r="A165" s="249"/>
      <c r="B165" s="250"/>
      <c r="C165" s="193"/>
      <c r="D165" s="249"/>
      <c r="G165" s="251"/>
      <c r="H165" s="251"/>
      <c r="I165" s="274"/>
      <c r="J165" s="251"/>
      <c r="K165" s="275"/>
      <c r="L165" s="253"/>
      <c r="M165" s="276"/>
      <c r="N165" s="277"/>
      <c r="O165" s="278"/>
      <c r="P165" s="277"/>
      <c r="Q165" s="277"/>
      <c r="R165" s="277"/>
      <c r="S165" s="278"/>
      <c r="T165" s="277"/>
      <c r="U165" s="277"/>
      <c r="V165" s="277"/>
      <c r="W165" s="278"/>
      <c r="X165" s="277"/>
      <c r="Y165" s="277"/>
      <c r="Z165" s="277"/>
      <c r="AA165" s="278"/>
      <c r="AB165" s="277"/>
      <c r="AC165" s="277"/>
      <c r="AD165" s="277"/>
      <c r="AE165" s="278"/>
      <c r="AF165" s="277"/>
      <c r="AG165" s="277"/>
      <c r="AH165" s="277"/>
      <c r="AI165" s="278"/>
      <c r="AJ165" s="277"/>
      <c r="AK165" s="277"/>
      <c r="AL165" s="277"/>
      <c r="AM165" s="278"/>
      <c r="AN165" s="277"/>
      <c r="AO165" s="277"/>
      <c r="AP165" s="277"/>
      <c r="AQ165" s="278"/>
      <c r="AR165" s="277"/>
      <c r="AS165" s="277"/>
      <c r="AT165" s="280"/>
      <c r="AU165" s="276"/>
      <c r="AV165" s="276"/>
      <c r="AW165" s="276"/>
      <c r="AX165" s="276"/>
      <c r="AY165" s="276"/>
      <c r="AZ165" s="276"/>
      <c r="BA165" s="276"/>
      <c r="BB165" s="276"/>
      <c r="BC165" s="276"/>
      <c r="BD165" s="276"/>
      <c r="BE165" s="276"/>
      <c r="BF165" s="276"/>
    </row>
    <row r="166" s="196" customFormat="1" ht="14" spans="1:58">
      <c r="A166" s="249"/>
      <c r="B166" s="250"/>
      <c r="C166" s="193"/>
      <c r="D166" s="249"/>
      <c r="G166" s="251"/>
      <c r="H166" s="251"/>
      <c r="I166" s="274"/>
      <c r="J166" s="251"/>
      <c r="K166" s="275"/>
      <c r="L166" s="253"/>
      <c r="M166" s="276"/>
      <c r="N166" s="277"/>
      <c r="O166" s="278"/>
      <c r="P166" s="277"/>
      <c r="Q166" s="277"/>
      <c r="R166" s="277"/>
      <c r="S166" s="278"/>
      <c r="T166" s="277"/>
      <c r="U166" s="277"/>
      <c r="V166" s="277"/>
      <c r="W166" s="278"/>
      <c r="X166" s="277"/>
      <c r="Y166" s="277"/>
      <c r="Z166" s="277"/>
      <c r="AA166" s="278"/>
      <c r="AB166" s="277"/>
      <c r="AC166" s="277"/>
      <c r="AD166" s="277"/>
      <c r="AE166" s="278"/>
      <c r="AF166" s="277"/>
      <c r="AG166" s="277"/>
      <c r="AH166" s="277"/>
      <c r="AI166" s="278"/>
      <c r="AJ166" s="277"/>
      <c r="AK166" s="277"/>
      <c r="AL166" s="277"/>
      <c r="AM166" s="278"/>
      <c r="AN166" s="277"/>
      <c r="AO166" s="277"/>
      <c r="AP166" s="277"/>
      <c r="AQ166" s="278"/>
      <c r="AR166" s="277"/>
      <c r="AS166" s="277"/>
      <c r="AT166" s="280"/>
      <c r="AU166" s="276"/>
      <c r="AV166" s="276"/>
      <c r="AW166" s="276"/>
      <c r="AX166" s="276"/>
      <c r="AY166" s="276"/>
      <c r="AZ166" s="276"/>
      <c r="BA166" s="276"/>
      <c r="BB166" s="276"/>
      <c r="BC166" s="276"/>
      <c r="BD166" s="276"/>
      <c r="BE166" s="276"/>
      <c r="BF166" s="276"/>
    </row>
    <row r="167" s="196" customFormat="1" ht="14" spans="1:58">
      <c r="A167" s="249"/>
      <c r="B167" s="250"/>
      <c r="C167" s="193"/>
      <c r="D167" s="249"/>
      <c r="G167" s="251"/>
      <c r="H167" s="251"/>
      <c r="I167" s="274"/>
      <c r="J167" s="251"/>
      <c r="K167" s="275"/>
      <c r="L167" s="253"/>
      <c r="M167" s="276"/>
      <c r="N167" s="277"/>
      <c r="O167" s="278"/>
      <c r="P167" s="277"/>
      <c r="Q167" s="277"/>
      <c r="R167" s="277"/>
      <c r="S167" s="278"/>
      <c r="T167" s="277"/>
      <c r="U167" s="277"/>
      <c r="V167" s="277"/>
      <c r="W167" s="278"/>
      <c r="X167" s="277"/>
      <c r="Y167" s="277"/>
      <c r="Z167" s="277"/>
      <c r="AA167" s="278"/>
      <c r="AB167" s="277"/>
      <c r="AC167" s="277"/>
      <c r="AD167" s="277"/>
      <c r="AE167" s="278"/>
      <c r="AF167" s="277"/>
      <c r="AG167" s="277"/>
      <c r="AH167" s="277"/>
      <c r="AI167" s="278"/>
      <c r="AJ167" s="277"/>
      <c r="AK167" s="277"/>
      <c r="AL167" s="277"/>
      <c r="AM167" s="278"/>
      <c r="AN167" s="277"/>
      <c r="AO167" s="277"/>
      <c r="AP167" s="277"/>
      <c r="AQ167" s="278"/>
      <c r="AR167" s="277"/>
      <c r="AS167" s="277"/>
      <c r="AT167" s="280"/>
      <c r="AU167" s="276"/>
      <c r="AV167" s="276"/>
      <c r="AW167" s="276"/>
      <c r="AX167" s="276"/>
      <c r="AY167" s="276"/>
      <c r="AZ167" s="276"/>
      <c r="BA167" s="276"/>
      <c r="BB167" s="276"/>
      <c r="BC167" s="276"/>
      <c r="BD167" s="276"/>
      <c r="BE167" s="276"/>
      <c r="BF167" s="276"/>
    </row>
    <row r="168" s="196" customFormat="1" ht="14" spans="1:58">
      <c r="A168" s="249"/>
      <c r="B168" s="250"/>
      <c r="C168" s="193"/>
      <c r="D168" s="249"/>
      <c r="G168" s="251"/>
      <c r="H168" s="251"/>
      <c r="I168" s="274"/>
      <c r="J168" s="251"/>
      <c r="K168" s="275"/>
      <c r="L168" s="253"/>
      <c r="M168" s="276"/>
      <c r="N168" s="277"/>
      <c r="O168" s="278"/>
      <c r="P168" s="277"/>
      <c r="Q168" s="277"/>
      <c r="R168" s="277"/>
      <c r="S168" s="278"/>
      <c r="T168" s="277"/>
      <c r="U168" s="277"/>
      <c r="V168" s="277"/>
      <c r="W168" s="278"/>
      <c r="X168" s="277"/>
      <c r="Y168" s="277"/>
      <c r="Z168" s="277"/>
      <c r="AA168" s="278"/>
      <c r="AB168" s="277"/>
      <c r="AC168" s="277"/>
      <c r="AD168" s="277"/>
      <c r="AE168" s="278"/>
      <c r="AF168" s="277"/>
      <c r="AG168" s="277"/>
      <c r="AH168" s="277"/>
      <c r="AI168" s="278"/>
      <c r="AJ168" s="277"/>
      <c r="AK168" s="277"/>
      <c r="AL168" s="277"/>
      <c r="AM168" s="278"/>
      <c r="AN168" s="277"/>
      <c r="AO168" s="277"/>
      <c r="AP168" s="277"/>
      <c r="AQ168" s="278"/>
      <c r="AR168" s="277"/>
      <c r="AS168" s="277"/>
      <c r="AT168" s="280"/>
      <c r="AU168" s="276"/>
      <c r="AV168" s="276"/>
      <c r="AW168" s="276"/>
      <c r="AX168" s="276"/>
      <c r="AY168" s="276"/>
      <c r="AZ168" s="276"/>
      <c r="BA168" s="276"/>
      <c r="BB168" s="276"/>
      <c r="BC168" s="276"/>
      <c r="BD168" s="276"/>
      <c r="BE168" s="276"/>
      <c r="BF168" s="276"/>
    </row>
    <row r="169" s="196" customFormat="1" ht="14" spans="1:58">
      <c r="A169" s="249"/>
      <c r="B169" s="250"/>
      <c r="C169" s="193"/>
      <c r="D169" s="249"/>
      <c r="G169" s="251"/>
      <c r="H169" s="251"/>
      <c r="I169" s="274"/>
      <c r="J169" s="251"/>
      <c r="K169" s="275"/>
      <c r="L169" s="253"/>
      <c r="M169" s="276"/>
      <c r="N169" s="277"/>
      <c r="O169" s="278"/>
      <c r="P169" s="277"/>
      <c r="Q169" s="277"/>
      <c r="R169" s="277"/>
      <c r="S169" s="278"/>
      <c r="T169" s="277"/>
      <c r="U169" s="277"/>
      <c r="V169" s="277"/>
      <c r="W169" s="278"/>
      <c r="X169" s="277"/>
      <c r="Y169" s="277"/>
      <c r="Z169" s="277"/>
      <c r="AA169" s="278"/>
      <c r="AB169" s="277"/>
      <c r="AC169" s="277"/>
      <c r="AD169" s="277"/>
      <c r="AE169" s="278"/>
      <c r="AF169" s="277"/>
      <c r="AG169" s="277"/>
      <c r="AH169" s="277"/>
      <c r="AI169" s="278"/>
      <c r="AJ169" s="277"/>
      <c r="AK169" s="277"/>
      <c r="AL169" s="277"/>
      <c r="AM169" s="278"/>
      <c r="AN169" s="277"/>
      <c r="AO169" s="277"/>
      <c r="AP169" s="277"/>
      <c r="AQ169" s="278"/>
      <c r="AR169" s="277"/>
      <c r="AS169" s="277"/>
      <c r="AT169" s="280"/>
      <c r="AU169" s="276"/>
      <c r="AV169" s="276"/>
      <c r="AW169" s="276"/>
      <c r="AX169" s="276"/>
      <c r="AY169" s="276"/>
      <c r="AZ169" s="276"/>
      <c r="BA169" s="276"/>
      <c r="BB169" s="276"/>
      <c r="BC169" s="276"/>
      <c r="BD169" s="276"/>
      <c r="BE169" s="276"/>
      <c r="BF169" s="276"/>
    </row>
    <row r="170" s="196" customFormat="1" ht="14" spans="1:58">
      <c r="A170" s="249"/>
      <c r="B170" s="250"/>
      <c r="C170" s="193"/>
      <c r="D170" s="249"/>
      <c r="G170" s="251"/>
      <c r="H170" s="251"/>
      <c r="I170" s="274"/>
      <c r="J170" s="251"/>
      <c r="K170" s="275"/>
      <c r="L170" s="253"/>
      <c r="M170" s="276"/>
      <c r="N170" s="277"/>
      <c r="O170" s="278"/>
      <c r="P170" s="277"/>
      <c r="Q170" s="277"/>
      <c r="R170" s="277"/>
      <c r="S170" s="278"/>
      <c r="T170" s="277"/>
      <c r="U170" s="277"/>
      <c r="V170" s="277"/>
      <c r="W170" s="278"/>
      <c r="X170" s="277"/>
      <c r="Y170" s="277"/>
      <c r="Z170" s="277"/>
      <c r="AA170" s="278"/>
      <c r="AB170" s="277"/>
      <c r="AC170" s="277"/>
      <c r="AD170" s="277"/>
      <c r="AE170" s="278"/>
      <c r="AF170" s="277"/>
      <c r="AG170" s="277"/>
      <c r="AH170" s="277"/>
      <c r="AI170" s="278"/>
      <c r="AJ170" s="277"/>
      <c r="AK170" s="277"/>
      <c r="AL170" s="277"/>
      <c r="AM170" s="278"/>
      <c r="AN170" s="277"/>
      <c r="AO170" s="277"/>
      <c r="AP170" s="277"/>
      <c r="AQ170" s="278"/>
      <c r="AR170" s="277"/>
      <c r="AS170" s="277"/>
      <c r="AT170" s="280"/>
      <c r="AU170" s="276"/>
      <c r="AV170" s="276"/>
      <c r="AW170" s="276"/>
      <c r="AX170" s="276"/>
      <c r="AY170" s="276"/>
      <c r="AZ170" s="276"/>
      <c r="BA170" s="276"/>
      <c r="BB170" s="276"/>
      <c r="BC170" s="276"/>
      <c r="BD170" s="276"/>
      <c r="BE170" s="276"/>
      <c r="BF170" s="276"/>
    </row>
    <row r="171" s="196" customFormat="1" ht="14" spans="1:58">
      <c r="A171" s="249"/>
      <c r="B171" s="250"/>
      <c r="C171" s="193"/>
      <c r="D171" s="249"/>
      <c r="G171" s="251"/>
      <c r="H171" s="251"/>
      <c r="I171" s="274"/>
      <c r="J171" s="251"/>
      <c r="K171" s="275"/>
      <c r="L171" s="253"/>
      <c r="M171" s="276"/>
      <c r="N171" s="277"/>
      <c r="O171" s="278"/>
      <c r="P171" s="277"/>
      <c r="Q171" s="277"/>
      <c r="R171" s="277"/>
      <c r="S171" s="278"/>
      <c r="T171" s="277"/>
      <c r="U171" s="277"/>
      <c r="V171" s="277"/>
      <c r="W171" s="278"/>
      <c r="X171" s="277"/>
      <c r="Y171" s="277"/>
      <c r="Z171" s="277"/>
      <c r="AA171" s="278"/>
      <c r="AB171" s="277"/>
      <c r="AC171" s="277"/>
      <c r="AD171" s="277"/>
      <c r="AE171" s="278"/>
      <c r="AF171" s="277"/>
      <c r="AG171" s="277"/>
      <c r="AH171" s="277"/>
      <c r="AI171" s="278"/>
      <c r="AJ171" s="277"/>
      <c r="AK171" s="277"/>
      <c r="AL171" s="277"/>
      <c r="AM171" s="278"/>
      <c r="AN171" s="277"/>
      <c r="AO171" s="277"/>
      <c r="AP171" s="277"/>
      <c r="AQ171" s="278"/>
      <c r="AR171" s="277"/>
      <c r="AS171" s="277"/>
      <c r="AT171" s="280"/>
      <c r="AU171" s="276"/>
      <c r="AV171" s="276"/>
      <c r="AW171" s="276"/>
      <c r="AX171" s="276"/>
      <c r="AY171" s="276"/>
      <c r="AZ171" s="276"/>
      <c r="BA171" s="276"/>
      <c r="BB171" s="276"/>
      <c r="BC171" s="276"/>
      <c r="BD171" s="276"/>
      <c r="BE171" s="276"/>
      <c r="BF171" s="276"/>
    </row>
    <row r="172" s="196" customFormat="1" ht="14" spans="1:58">
      <c r="A172" s="249"/>
      <c r="B172" s="250"/>
      <c r="C172" s="193"/>
      <c r="D172" s="249"/>
      <c r="G172" s="251"/>
      <c r="H172" s="251"/>
      <c r="I172" s="274"/>
      <c r="J172" s="251"/>
      <c r="K172" s="275"/>
      <c r="L172" s="253"/>
      <c r="M172" s="276"/>
      <c r="N172" s="277"/>
      <c r="O172" s="278"/>
      <c r="P172" s="277"/>
      <c r="Q172" s="277"/>
      <c r="R172" s="277"/>
      <c r="S172" s="278"/>
      <c r="T172" s="277"/>
      <c r="U172" s="277"/>
      <c r="V172" s="277"/>
      <c r="W172" s="278"/>
      <c r="X172" s="277"/>
      <c r="Y172" s="277"/>
      <c r="Z172" s="277"/>
      <c r="AA172" s="278"/>
      <c r="AB172" s="277"/>
      <c r="AC172" s="277"/>
      <c r="AD172" s="277"/>
      <c r="AE172" s="278"/>
      <c r="AF172" s="277"/>
      <c r="AG172" s="277"/>
      <c r="AH172" s="277"/>
      <c r="AI172" s="278"/>
      <c r="AJ172" s="277"/>
      <c r="AK172" s="277"/>
      <c r="AL172" s="277"/>
      <c r="AM172" s="278"/>
      <c r="AN172" s="277"/>
      <c r="AO172" s="277"/>
      <c r="AP172" s="277"/>
      <c r="AQ172" s="278"/>
      <c r="AR172" s="277"/>
      <c r="AS172" s="277"/>
      <c r="AT172" s="280"/>
      <c r="AU172" s="276"/>
      <c r="AV172" s="276"/>
      <c r="AW172" s="276"/>
      <c r="AX172" s="276"/>
      <c r="AY172" s="276"/>
      <c r="AZ172" s="276"/>
      <c r="BA172" s="276"/>
      <c r="BB172" s="276"/>
      <c r="BC172" s="276"/>
      <c r="BD172" s="276"/>
      <c r="BE172" s="276"/>
      <c r="BF172" s="276"/>
    </row>
    <row r="173" s="196" customFormat="1" ht="14" spans="1:58">
      <c r="A173" s="249"/>
      <c r="B173" s="250"/>
      <c r="C173" s="193"/>
      <c r="D173" s="249"/>
      <c r="G173" s="251"/>
      <c r="H173" s="251"/>
      <c r="I173" s="274"/>
      <c r="J173" s="251"/>
      <c r="K173" s="275"/>
      <c r="L173" s="253"/>
      <c r="M173" s="276"/>
      <c r="N173" s="277"/>
      <c r="O173" s="278"/>
      <c r="P173" s="277"/>
      <c r="Q173" s="277"/>
      <c r="R173" s="277"/>
      <c r="S173" s="278"/>
      <c r="T173" s="277"/>
      <c r="U173" s="277"/>
      <c r="V173" s="277"/>
      <c r="W173" s="278"/>
      <c r="X173" s="277"/>
      <c r="Y173" s="277"/>
      <c r="Z173" s="277"/>
      <c r="AA173" s="278"/>
      <c r="AB173" s="277"/>
      <c r="AC173" s="277"/>
      <c r="AD173" s="277"/>
      <c r="AE173" s="278"/>
      <c r="AF173" s="277"/>
      <c r="AG173" s="277"/>
      <c r="AH173" s="277"/>
      <c r="AI173" s="278"/>
      <c r="AJ173" s="277"/>
      <c r="AK173" s="277"/>
      <c r="AL173" s="277"/>
      <c r="AM173" s="278"/>
      <c r="AN173" s="277"/>
      <c r="AO173" s="277"/>
      <c r="AP173" s="277"/>
      <c r="AQ173" s="278"/>
      <c r="AR173" s="277"/>
      <c r="AS173" s="277"/>
      <c r="AT173" s="280"/>
      <c r="AU173" s="276"/>
      <c r="AV173" s="276"/>
      <c r="AW173" s="276"/>
      <c r="AX173" s="276"/>
      <c r="AY173" s="276"/>
      <c r="AZ173" s="276"/>
      <c r="BA173" s="276"/>
      <c r="BB173" s="276"/>
      <c r="BC173" s="276"/>
      <c r="BD173" s="276"/>
      <c r="BE173" s="276"/>
      <c r="BF173" s="276"/>
    </row>
    <row r="174" s="196" customFormat="1" ht="14" spans="1:58">
      <c r="A174" s="249"/>
      <c r="B174" s="250"/>
      <c r="C174" s="193"/>
      <c r="D174" s="249"/>
      <c r="G174" s="251"/>
      <c r="H174" s="251"/>
      <c r="I174" s="274"/>
      <c r="J174" s="251"/>
      <c r="K174" s="275"/>
      <c r="L174" s="253"/>
      <c r="M174" s="276"/>
      <c r="N174" s="277"/>
      <c r="O174" s="278"/>
      <c r="P174" s="277"/>
      <c r="Q174" s="277"/>
      <c r="R174" s="277"/>
      <c r="S174" s="278"/>
      <c r="T174" s="277"/>
      <c r="U174" s="277"/>
      <c r="V174" s="277"/>
      <c r="W174" s="278"/>
      <c r="X174" s="277"/>
      <c r="Y174" s="277"/>
      <c r="Z174" s="277"/>
      <c r="AA174" s="278"/>
      <c r="AB174" s="277"/>
      <c r="AC174" s="277"/>
      <c r="AD174" s="277"/>
      <c r="AE174" s="278"/>
      <c r="AF174" s="277"/>
      <c r="AG174" s="277"/>
      <c r="AH174" s="277"/>
      <c r="AI174" s="278"/>
      <c r="AJ174" s="277"/>
      <c r="AK174" s="277"/>
      <c r="AL174" s="277"/>
      <c r="AM174" s="278"/>
      <c r="AN174" s="277"/>
      <c r="AO174" s="277"/>
      <c r="AP174" s="277"/>
      <c r="AQ174" s="278"/>
      <c r="AR174" s="277"/>
      <c r="AS174" s="277"/>
      <c r="AT174" s="280"/>
      <c r="AU174" s="276"/>
      <c r="AV174" s="276"/>
      <c r="AW174" s="276"/>
      <c r="AX174" s="276"/>
      <c r="AY174" s="276"/>
      <c r="AZ174" s="276"/>
      <c r="BA174" s="276"/>
      <c r="BB174" s="276"/>
      <c r="BC174" s="276"/>
      <c r="BD174" s="276"/>
      <c r="BE174" s="276"/>
      <c r="BF174" s="276"/>
    </row>
    <row r="175" s="196" customFormat="1" ht="14" spans="1:58">
      <c r="A175" s="249"/>
      <c r="B175" s="250"/>
      <c r="C175" s="193"/>
      <c r="D175" s="249"/>
      <c r="G175" s="251"/>
      <c r="H175" s="251"/>
      <c r="I175" s="274"/>
      <c r="J175" s="251"/>
      <c r="K175" s="275"/>
      <c r="L175" s="253"/>
      <c r="M175" s="276"/>
      <c r="N175" s="277"/>
      <c r="O175" s="278"/>
      <c r="P175" s="277"/>
      <c r="Q175" s="277"/>
      <c r="R175" s="277"/>
      <c r="S175" s="278"/>
      <c r="T175" s="277"/>
      <c r="U175" s="277"/>
      <c r="V175" s="277"/>
      <c r="W175" s="278"/>
      <c r="X175" s="277"/>
      <c r="Y175" s="277"/>
      <c r="Z175" s="277"/>
      <c r="AA175" s="278"/>
      <c r="AB175" s="277"/>
      <c r="AC175" s="277"/>
      <c r="AD175" s="277"/>
      <c r="AE175" s="278"/>
      <c r="AF175" s="277"/>
      <c r="AG175" s="277"/>
      <c r="AH175" s="277"/>
      <c r="AI175" s="278"/>
      <c r="AJ175" s="277"/>
      <c r="AK175" s="277"/>
      <c r="AL175" s="277"/>
      <c r="AM175" s="278"/>
      <c r="AN175" s="277"/>
      <c r="AO175" s="277"/>
      <c r="AP175" s="277"/>
      <c r="AQ175" s="278"/>
      <c r="AR175" s="277"/>
      <c r="AS175" s="277"/>
      <c r="AT175" s="280"/>
      <c r="AU175" s="276"/>
      <c r="AV175" s="276"/>
      <c r="AW175" s="276"/>
      <c r="AX175" s="276"/>
      <c r="AY175" s="276"/>
      <c r="AZ175" s="276"/>
      <c r="BA175" s="276"/>
      <c r="BB175" s="276"/>
      <c r="BC175" s="276"/>
      <c r="BD175" s="276"/>
      <c r="BE175" s="276"/>
      <c r="BF175" s="276"/>
    </row>
    <row r="176" s="196" customFormat="1" ht="14" spans="1:58">
      <c r="A176" s="249"/>
      <c r="B176" s="250"/>
      <c r="C176" s="193"/>
      <c r="D176" s="249"/>
      <c r="G176" s="251"/>
      <c r="H176" s="251"/>
      <c r="I176" s="274"/>
      <c r="J176" s="251"/>
      <c r="K176" s="275"/>
      <c r="L176" s="253"/>
      <c r="M176" s="276"/>
      <c r="N176" s="277"/>
      <c r="O176" s="278"/>
      <c r="P176" s="277"/>
      <c r="Q176" s="277"/>
      <c r="R176" s="277"/>
      <c r="S176" s="278"/>
      <c r="T176" s="277"/>
      <c r="U176" s="277"/>
      <c r="V176" s="277"/>
      <c r="W176" s="278"/>
      <c r="X176" s="277"/>
      <c r="Y176" s="277"/>
      <c r="Z176" s="277"/>
      <c r="AA176" s="278"/>
      <c r="AB176" s="277"/>
      <c r="AC176" s="277"/>
      <c r="AD176" s="277"/>
      <c r="AE176" s="278"/>
      <c r="AF176" s="277"/>
      <c r="AG176" s="277"/>
      <c r="AH176" s="277"/>
      <c r="AI176" s="278"/>
      <c r="AJ176" s="277"/>
      <c r="AK176" s="277"/>
      <c r="AL176" s="277"/>
      <c r="AM176" s="278"/>
      <c r="AN176" s="277"/>
      <c r="AO176" s="277"/>
      <c r="AP176" s="277"/>
      <c r="AQ176" s="278"/>
      <c r="AR176" s="277"/>
      <c r="AS176" s="277"/>
      <c r="AT176" s="280"/>
      <c r="AU176" s="276"/>
      <c r="AV176" s="276"/>
      <c r="AW176" s="276"/>
      <c r="AX176" s="276"/>
      <c r="AY176" s="276"/>
      <c r="AZ176" s="276"/>
      <c r="BA176" s="276"/>
      <c r="BB176" s="276"/>
      <c r="BC176" s="276"/>
      <c r="BD176" s="276"/>
      <c r="BE176" s="276"/>
      <c r="BF176" s="276"/>
    </row>
    <row r="177" s="196" customFormat="1" ht="14" spans="1:58">
      <c r="A177" s="249"/>
      <c r="B177" s="250"/>
      <c r="C177" s="193"/>
      <c r="D177" s="249"/>
      <c r="G177" s="251"/>
      <c r="H177" s="251"/>
      <c r="I177" s="274"/>
      <c r="J177" s="251"/>
      <c r="K177" s="275"/>
      <c r="L177" s="253"/>
      <c r="M177" s="276"/>
      <c r="N177" s="277"/>
      <c r="O177" s="278"/>
      <c r="P177" s="277"/>
      <c r="Q177" s="277"/>
      <c r="R177" s="277"/>
      <c r="S177" s="278"/>
      <c r="T177" s="277"/>
      <c r="U177" s="277"/>
      <c r="V177" s="277"/>
      <c r="W177" s="278"/>
      <c r="X177" s="277"/>
      <c r="Y177" s="277"/>
      <c r="Z177" s="277"/>
      <c r="AA177" s="278"/>
      <c r="AB177" s="277"/>
      <c r="AC177" s="277"/>
      <c r="AD177" s="277"/>
      <c r="AE177" s="278"/>
      <c r="AF177" s="277"/>
      <c r="AG177" s="277"/>
      <c r="AH177" s="277"/>
      <c r="AI177" s="278"/>
      <c r="AJ177" s="277"/>
      <c r="AK177" s="277"/>
      <c r="AL177" s="277"/>
      <c r="AM177" s="278"/>
      <c r="AN177" s="277"/>
      <c r="AO177" s="277"/>
      <c r="AP177" s="277"/>
      <c r="AQ177" s="278"/>
      <c r="AR177" s="277"/>
      <c r="AS177" s="277"/>
      <c r="AT177" s="280"/>
      <c r="AU177" s="276"/>
      <c r="AV177" s="276"/>
      <c r="AW177" s="276"/>
      <c r="AX177" s="276"/>
      <c r="AY177" s="276"/>
      <c r="AZ177" s="276"/>
      <c r="BA177" s="276"/>
      <c r="BB177" s="276"/>
      <c r="BC177" s="276"/>
      <c r="BD177" s="276"/>
      <c r="BE177" s="276"/>
      <c r="BF177" s="276"/>
    </row>
    <row r="178" s="196" customFormat="1" ht="14" spans="1:58">
      <c r="A178" s="249"/>
      <c r="B178" s="250"/>
      <c r="C178" s="193"/>
      <c r="D178" s="249"/>
      <c r="G178" s="251"/>
      <c r="H178" s="251"/>
      <c r="I178" s="274"/>
      <c r="J178" s="251"/>
      <c r="K178" s="275"/>
      <c r="L178" s="253"/>
      <c r="M178" s="276"/>
      <c r="N178" s="277"/>
      <c r="O178" s="278"/>
      <c r="P178" s="277"/>
      <c r="Q178" s="277"/>
      <c r="R178" s="277"/>
      <c r="S178" s="278"/>
      <c r="T178" s="277"/>
      <c r="U178" s="277"/>
      <c r="V178" s="277"/>
      <c r="W178" s="278"/>
      <c r="X178" s="277"/>
      <c r="Y178" s="277"/>
      <c r="Z178" s="277"/>
      <c r="AA178" s="278"/>
      <c r="AB178" s="277"/>
      <c r="AC178" s="277"/>
      <c r="AD178" s="277"/>
      <c r="AE178" s="278"/>
      <c r="AF178" s="277"/>
      <c r="AG178" s="277"/>
      <c r="AH178" s="277"/>
      <c r="AI178" s="278"/>
      <c r="AJ178" s="277"/>
      <c r="AK178" s="277"/>
      <c r="AL178" s="277"/>
      <c r="AM178" s="278"/>
      <c r="AN178" s="277"/>
      <c r="AO178" s="277"/>
      <c r="AP178" s="277"/>
      <c r="AQ178" s="278"/>
      <c r="AR178" s="277"/>
      <c r="AS178" s="277"/>
      <c r="AT178" s="280"/>
      <c r="AU178" s="276"/>
      <c r="AV178" s="276"/>
      <c r="AW178" s="276"/>
      <c r="AX178" s="276"/>
      <c r="AY178" s="276"/>
      <c r="AZ178" s="276"/>
      <c r="BA178" s="276"/>
      <c r="BB178" s="276"/>
      <c r="BC178" s="276"/>
      <c r="BD178" s="276"/>
      <c r="BE178" s="276"/>
      <c r="BF178" s="276"/>
    </row>
    <row r="179" s="196" customFormat="1" ht="14" spans="1:58">
      <c r="A179" s="249"/>
      <c r="B179" s="250"/>
      <c r="C179" s="193"/>
      <c r="D179" s="249"/>
      <c r="G179" s="251"/>
      <c r="H179" s="251"/>
      <c r="I179" s="274"/>
      <c r="J179" s="251"/>
      <c r="K179" s="275"/>
      <c r="L179" s="253"/>
      <c r="M179" s="276"/>
      <c r="N179" s="277"/>
      <c r="O179" s="278"/>
      <c r="P179" s="277"/>
      <c r="Q179" s="277"/>
      <c r="R179" s="277"/>
      <c r="S179" s="278"/>
      <c r="T179" s="277"/>
      <c r="U179" s="277"/>
      <c r="V179" s="277"/>
      <c r="W179" s="278"/>
      <c r="X179" s="277"/>
      <c r="Y179" s="277"/>
      <c r="Z179" s="277"/>
      <c r="AA179" s="278"/>
      <c r="AB179" s="277"/>
      <c r="AC179" s="277"/>
      <c r="AD179" s="277"/>
      <c r="AE179" s="278"/>
      <c r="AF179" s="277"/>
      <c r="AG179" s="277"/>
      <c r="AH179" s="277"/>
      <c r="AI179" s="278"/>
      <c r="AJ179" s="277"/>
      <c r="AK179" s="277"/>
      <c r="AL179" s="277"/>
      <c r="AM179" s="278"/>
      <c r="AN179" s="277"/>
      <c r="AO179" s="277"/>
      <c r="AP179" s="277"/>
      <c r="AQ179" s="278"/>
      <c r="AR179" s="277"/>
      <c r="AS179" s="277"/>
      <c r="AT179" s="280"/>
      <c r="AU179" s="276"/>
      <c r="AV179" s="276"/>
      <c r="AW179" s="276"/>
      <c r="AX179" s="276"/>
      <c r="AY179" s="276"/>
      <c r="AZ179" s="276"/>
      <c r="BA179" s="276"/>
      <c r="BB179" s="276"/>
      <c r="BC179" s="276"/>
      <c r="BD179" s="276"/>
      <c r="BE179" s="276"/>
      <c r="BF179" s="276"/>
    </row>
    <row r="180" s="196" customFormat="1" ht="14" spans="1:58">
      <c r="A180" s="249"/>
      <c r="B180" s="250"/>
      <c r="C180" s="193"/>
      <c r="D180" s="249"/>
      <c r="G180" s="251"/>
      <c r="H180" s="251"/>
      <c r="I180" s="274"/>
      <c r="J180" s="251"/>
      <c r="K180" s="275"/>
      <c r="L180" s="253"/>
      <c r="M180" s="276"/>
      <c r="N180" s="277"/>
      <c r="O180" s="278"/>
      <c r="P180" s="277"/>
      <c r="Q180" s="277"/>
      <c r="R180" s="277"/>
      <c r="S180" s="278"/>
      <c r="T180" s="277"/>
      <c r="U180" s="277"/>
      <c r="V180" s="277"/>
      <c r="W180" s="278"/>
      <c r="X180" s="277"/>
      <c r="Y180" s="277"/>
      <c r="Z180" s="277"/>
      <c r="AA180" s="278"/>
      <c r="AB180" s="277"/>
      <c r="AC180" s="277"/>
      <c r="AD180" s="277"/>
      <c r="AE180" s="278"/>
      <c r="AF180" s="277"/>
      <c r="AG180" s="277"/>
      <c r="AH180" s="277"/>
      <c r="AI180" s="278"/>
      <c r="AJ180" s="277"/>
      <c r="AK180" s="277"/>
      <c r="AL180" s="277"/>
      <c r="AM180" s="278"/>
      <c r="AN180" s="277"/>
      <c r="AO180" s="277"/>
      <c r="AP180" s="277"/>
      <c r="AQ180" s="278"/>
      <c r="AR180" s="277"/>
      <c r="AS180" s="277"/>
      <c r="AT180" s="280"/>
      <c r="AU180" s="276"/>
      <c r="AV180" s="276"/>
      <c r="AW180" s="276"/>
      <c r="AX180" s="276"/>
      <c r="AY180" s="276"/>
      <c r="AZ180" s="276"/>
      <c r="BA180" s="276"/>
      <c r="BB180" s="276"/>
      <c r="BC180" s="276"/>
      <c r="BD180" s="276"/>
      <c r="BE180" s="276"/>
      <c r="BF180" s="276"/>
    </row>
    <row r="181" s="196" customFormat="1" ht="14" spans="1:58">
      <c r="A181" s="249"/>
      <c r="B181" s="250"/>
      <c r="C181" s="193"/>
      <c r="D181" s="249"/>
      <c r="G181" s="251"/>
      <c r="H181" s="251"/>
      <c r="I181" s="274"/>
      <c r="J181" s="251"/>
      <c r="K181" s="275"/>
      <c r="L181" s="253"/>
      <c r="M181" s="276"/>
      <c r="N181" s="277"/>
      <c r="O181" s="278"/>
      <c r="P181" s="277"/>
      <c r="Q181" s="277"/>
      <c r="R181" s="277"/>
      <c r="S181" s="278"/>
      <c r="T181" s="277"/>
      <c r="U181" s="277"/>
      <c r="V181" s="277"/>
      <c r="W181" s="278"/>
      <c r="X181" s="277"/>
      <c r="Y181" s="277"/>
      <c r="Z181" s="277"/>
      <c r="AA181" s="278"/>
      <c r="AB181" s="277"/>
      <c r="AC181" s="277"/>
      <c r="AD181" s="277"/>
      <c r="AE181" s="278"/>
      <c r="AF181" s="277"/>
      <c r="AG181" s="277"/>
      <c r="AH181" s="277"/>
      <c r="AI181" s="278"/>
      <c r="AJ181" s="277"/>
      <c r="AK181" s="277"/>
      <c r="AL181" s="277"/>
      <c r="AM181" s="278"/>
      <c r="AN181" s="277"/>
      <c r="AO181" s="277"/>
      <c r="AP181" s="277"/>
      <c r="AQ181" s="278"/>
      <c r="AR181" s="277"/>
      <c r="AS181" s="277"/>
      <c r="AT181" s="280"/>
      <c r="AU181" s="276"/>
      <c r="AV181" s="276"/>
      <c r="AW181" s="276"/>
      <c r="AX181" s="276"/>
      <c r="AY181" s="276"/>
      <c r="AZ181" s="276"/>
      <c r="BA181" s="276"/>
      <c r="BB181" s="276"/>
      <c r="BC181" s="276"/>
      <c r="BD181" s="276"/>
      <c r="BE181" s="276"/>
      <c r="BF181" s="276"/>
    </row>
    <row r="182" s="196" customFormat="1" ht="14" spans="1:58">
      <c r="A182" s="249"/>
      <c r="B182" s="250"/>
      <c r="C182" s="193"/>
      <c r="D182" s="249"/>
      <c r="G182" s="251"/>
      <c r="H182" s="251"/>
      <c r="I182" s="274"/>
      <c r="J182" s="251"/>
      <c r="K182" s="275"/>
      <c r="L182" s="253"/>
      <c r="M182" s="276"/>
      <c r="N182" s="277"/>
      <c r="O182" s="278"/>
      <c r="P182" s="277"/>
      <c r="Q182" s="277"/>
      <c r="R182" s="277"/>
      <c r="S182" s="278"/>
      <c r="T182" s="277"/>
      <c r="U182" s="277"/>
      <c r="V182" s="277"/>
      <c r="W182" s="278"/>
      <c r="X182" s="277"/>
      <c r="Y182" s="277"/>
      <c r="Z182" s="277"/>
      <c r="AA182" s="278"/>
      <c r="AB182" s="277"/>
      <c r="AC182" s="277"/>
      <c r="AD182" s="277"/>
      <c r="AE182" s="278"/>
      <c r="AF182" s="277"/>
      <c r="AG182" s="277"/>
      <c r="AH182" s="277"/>
      <c r="AI182" s="278"/>
      <c r="AJ182" s="277"/>
      <c r="AK182" s="277"/>
      <c r="AL182" s="277"/>
      <c r="AM182" s="278"/>
      <c r="AN182" s="277"/>
      <c r="AO182" s="277"/>
      <c r="AP182" s="277"/>
      <c r="AQ182" s="278"/>
      <c r="AR182" s="277"/>
      <c r="AS182" s="277"/>
      <c r="AT182" s="280"/>
      <c r="AU182" s="276"/>
      <c r="AV182" s="276"/>
      <c r="AW182" s="276"/>
      <c r="AX182" s="276"/>
      <c r="AY182" s="276"/>
      <c r="AZ182" s="276"/>
      <c r="BA182" s="276"/>
      <c r="BB182" s="276"/>
      <c r="BC182" s="276"/>
      <c r="BD182" s="276"/>
      <c r="BE182" s="276"/>
      <c r="BF182" s="276"/>
    </row>
    <row r="183" s="196" customFormat="1" ht="14" spans="1:58">
      <c r="A183" s="249"/>
      <c r="B183" s="250"/>
      <c r="C183" s="193"/>
      <c r="D183" s="249"/>
      <c r="G183" s="251"/>
      <c r="H183" s="251"/>
      <c r="I183" s="274"/>
      <c r="J183" s="251"/>
      <c r="K183" s="275"/>
      <c r="L183" s="253"/>
      <c r="M183" s="276"/>
      <c r="N183" s="277"/>
      <c r="O183" s="278"/>
      <c r="P183" s="277"/>
      <c r="Q183" s="277"/>
      <c r="R183" s="277"/>
      <c r="S183" s="278"/>
      <c r="T183" s="277"/>
      <c r="U183" s="277"/>
      <c r="V183" s="277"/>
      <c r="W183" s="278"/>
      <c r="X183" s="277"/>
      <c r="Y183" s="277"/>
      <c r="Z183" s="277"/>
      <c r="AA183" s="278"/>
      <c r="AB183" s="277"/>
      <c r="AC183" s="277"/>
      <c r="AD183" s="277"/>
      <c r="AE183" s="278"/>
      <c r="AF183" s="277"/>
      <c r="AG183" s="277"/>
      <c r="AH183" s="277"/>
      <c r="AI183" s="278"/>
      <c r="AJ183" s="277"/>
      <c r="AK183" s="277"/>
      <c r="AL183" s="277"/>
      <c r="AM183" s="278"/>
      <c r="AN183" s="277"/>
      <c r="AO183" s="277"/>
      <c r="AP183" s="277"/>
      <c r="AQ183" s="278"/>
      <c r="AR183" s="277"/>
      <c r="AS183" s="277"/>
      <c r="AT183" s="280"/>
      <c r="AU183" s="276"/>
      <c r="AV183" s="276"/>
      <c r="AW183" s="276"/>
      <c r="AX183" s="276"/>
      <c r="AY183" s="276"/>
      <c r="AZ183" s="276"/>
      <c r="BA183" s="276"/>
      <c r="BB183" s="276"/>
      <c r="BC183" s="276"/>
      <c r="BD183" s="276"/>
      <c r="BE183" s="276"/>
      <c r="BF183" s="276"/>
    </row>
    <row r="184" s="196" customFormat="1" ht="14" spans="1:58">
      <c r="A184" s="249"/>
      <c r="B184" s="250"/>
      <c r="C184" s="193"/>
      <c r="D184" s="249"/>
      <c r="G184" s="251"/>
      <c r="H184" s="251"/>
      <c r="I184" s="274"/>
      <c r="J184" s="251"/>
      <c r="K184" s="275"/>
      <c r="L184" s="253"/>
      <c r="M184" s="276"/>
      <c r="N184" s="277"/>
      <c r="O184" s="278"/>
      <c r="P184" s="277"/>
      <c r="Q184" s="277"/>
      <c r="R184" s="277"/>
      <c r="S184" s="278"/>
      <c r="T184" s="277"/>
      <c r="U184" s="277"/>
      <c r="V184" s="277"/>
      <c r="W184" s="278"/>
      <c r="X184" s="277"/>
      <c r="Y184" s="277"/>
      <c r="Z184" s="277"/>
      <c r="AA184" s="278"/>
      <c r="AB184" s="277"/>
      <c r="AC184" s="277"/>
      <c r="AD184" s="277"/>
      <c r="AE184" s="278"/>
      <c r="AF184" s="277"/>
      <c r="AG184" s="277"/>
      <c r="AH184" s="277"/>
      <c r="AI184" s="278"/>
      <c r="AJ184" s="277"/>
      <c r="AK184" s="277"/>
      <c r="AL184" s="277"/>
      <c r="AM184" s="278"/>
      <c r="AN184" s="277"/>
      <c r="AO184" s="277"/>
      <c r="AP184" s="277"/>
      <c r="AQ184" s="278"/>
      <c r="AR184" s="277"/>
      <c r="AS184" s="277"/>
      <c r="AT184" s="280"/>
      <c r="AU184" s="276"/>
      <c r="AV184" s="276"/>
      <c r="AW184" s="276"/>
      <c r="AX184" s="276"/>
      <c r="AY184" s="276"/>
      <c r="AZ184" s="276"/>
      <c r="BA184" s="276"/>
      <c r="BB184" s="276"/>
      <c r="BC184" s="276"/>
      <c r="BD184" s="276"/>
      <c r="BE184" s="276"/>
      <c r="BF184" s="276"/>
    </row>
    <row r="185" s="196" customFormat="1" ht="14" spans="1:58">
      <c r="A185" s="249"/>
      <c r="B185" s="250"/>
      <c r="C185" s="193"/>
      <c r="D185" s="249"/>
      <c r="G185" s="251"/>
      <c r="H185" s="251"/>
      <c r="I185" s="274"/>
      <c r="J185" s="251"/>
      <c r="K185" s="275"/>
      <c r="L185" s="253"/>
      <c r="M185" s="276"/>
      <c r="N185" s="277"/>
      <c r="O185" s="278"/>
      <c r="P185" s="277"/>
      <c r="Q185" s="277"/>
      <c r="R185" s="277"/>
      <c r="S185" s="278"/>
      <c r="T185" s="277"/>
      <c r="U185" s="277"/>
      <c r="V185" s="277"/>
      <c r="W185" s="278"/>
      <c r="X185" s="277"/>
      <c r="Y185" s="277"/>
      <c r="Z185" s="277"/>
      <c r="AA185" s="278"/>
      <c r="AB185" s="277"/>
      <c r="AC185" s="277"/>
      <c r="AD185" s="277"/>
      <c r="AE185" s="278"/>
      <c r="AF185" s="277"/>
      <c r="AG185" s="277"/>
      <c r="AH185" s="277"/>
      <c r="AI185" s="278"/>
      <c r="AJ185" s="277"/>
      <c r="AK185" s="277"/>
      <c r="AL185" s="277"/>
      <c r="AM185" s="278"/>
      <c r="AN185" s="277"/>
      <c r="AO185" s="277"/>
      <c r="AP185" s="277"/>
      <c r="AQ185" s="278"/>
      <c r="AR185" s="277"/>
      <c r="AS185" s="277"/>
      <c r="AT185" s="280"/>
      <c r="AU185" s="276"/>
      <c r="AV185" s="276"/>
      <c r="AW185" s="276"/>
      <c r="AX185" s="276"/>
      <c r="AY185" s="276"/>
      <c r="AZ185" s="276"/>
      <c r="BA185" s="276"/>
      <c r="BB185" s="276"/>
      <c r="BC185" s="276"/>
      <c r="BD185" s="276"/>
      <c r="BE185" s="276"/>
      <c r="BF185" s="276"/>
    </row>
    <row r="186" s="196" customFormat="1" ht="14" spans="1:58">
      <c r="A186" s="249"/>
      <c r="B186" s="250"/>
      <c r="C186" s="193"/>
      <c r="D186" s="249"/>
      <c r="G186" s="251"/>
      <c r="H186" s="251"/>
      <c r="I186" s="274"/>
      <c r="J186" s="251"/>
      <c r="K186" s="275"/>
      <c r="L186" s="253"/>
      <c r="M186" s="276"/>
      <c r="N186" s="277"/>
      <c r="O186" s="278"/>
      <c r="P186" s="277"/>
      <c r="Q186" s="277"/>
      <c r="R186" s="277"/>
      <c r="S186" s="278"/>
      <c r="T186" s="277"/>
      <c r="U186" s="277"/>
      <c r="V186" s="277"/>
      <c r="W186" s="278"/>
      <c r="X186" s="277"/>
      <c r="Y186" s="277"/>
      <c r="Z186" s="277"/>
      <c r="AA186" s="278"/>
      <c r="AB186" s="277"/>
      <c r="AC186" s="277"/>
      <c r="AD186" s="277"/>
      <c r="AE186" s="278"/>
      <c r="AF186" s="277"/>
      <c r="AG186" s="277"/>
      <c r="AH186" s="277"/>
      <c r="AI186" s="278"/>
      <c r="AJ186" s="277"/>
      <c r="AK186" s="277"/>
      <c r="AL186" s="277"/>
      <c r="AM186" s="278"/>
      <c r="AN186" s="277"/>
      <c r="AO186" s="277"/>
      <c r="AP186" s="277"/>
      <c r="AQ186" s="278"/>
      <c r="AR186" s="277"/>
      <c r="AS186" s="277"/>
      <c r="AT186" s="280"/>
      <c r="AU186" s="276"/>
      <c r="AV186" s="276"/>
      <c r="AW186" s="276"/>
      <c r="AX186" s="276"/>
      <c r="AY186" s="276"/>
      <c r="AZ186" s="276"/>
      <c r="BA186" s="276"/>
      <c r="BB186" s="276"/>
      <c r="BC186" s="276"/>
      <c r="BD186" s="276"/>
      <c r="BE186" s="276"/>
      <c r="BF186" s="276"/>
    </row>
    <row r="187" s="196" customFormat="1" ht="14" spans="1:58">
      <c r="A187" s="249"/>
      <c r="B187" s="250"/>
      <c r="C187" s="193"/>
      <c r="D187" s="249"/>
      <c r="G187" s="251"/>
      <c r="H187" s="251"/>
      <c r="I187" s="274"/>
      <c r="J187" s="251"/>
      <c r="K187" s="275"/>
      <c r="L187" s="253"/>
      <c r="M187" s="276"/>
      <c r="N187" s="277"/>
      <c r="O187" s="278"/>
      <c r="P187" s="277"/>
      <c r="Q187" s="277"/>
      <c r="R187" s="277"/>
      <c r="S187" s="278"/>
      <c r="T187" s="277"/>
      <c r="U187" s="277"/>
      <c r="V187" s="277"/>
      <c r="W187" s="278"/>
      <c r="X187" s="277"/>
      <c r="Y187" s="277"/>
      <c r="Z187" s="277"/>
      <c r="AA187" s="278"/>
      <c r="AB187" s="277"/>
      <c r="AC187" s="277"/>
      <c r="AD187" s="277"/>
      <c r="AE187" s="278"/>
      <c r="AF187" s="277"/>
      <c r="AG187" s="277"/>
      <c r="AH187" s="277"/>
      <c r="AI187" s="278"/>
      <c r="AJ187" s="277"/>
      <c r="AK187" s="277"/>
      <c r="AL187" s="277"/>
      <c r="AM187" s="278"/>
      <c r="AN187" s="277"/>
      <c r="AO187" s="277"/>
      <c r="AP187" s="277"/>
      <c r="AQ187" s="278"/>
      <c r="AR187" s="277"/>
      <c r="AS187" s="277"/>
      <c r="AT187" s="280"/>
      <c r="AU187" s="276"/>
      <c r="AV187" s="276"/>
      <c r="AW187" s="276"/>
      <c r="AX187" s="276"/>
      <c r="AY187" s="276"/>
      <c r="AZ187" s="276"/>
      <c r="BA187" s="276"/>
      <c r="BB187" s="276"/>
      <c r="BC187" s="276"/>
      <c r="BD187" s="276"/>
      <c r="BE187" s="276"/>
      <c r="BF187" s="276"/>
    </row>
    <row r="188" s="196" customFormat="1" ht="14" spans="1:58">
      <c r="A188" s="249"/>
      <c r="B188" s="250"/>
      <c r="C188" s="193"/>
      <c r="D188" s="249"/>
      <c r="G188" s="251"/>
      <c r="H188" s="251"/>
      <c r="I188" s="274"/>
      <c r="J188" s="251"/>
      <c r="K188" s="275"/>
      <c r="L188" s="253"/>
      <c r="M188" s="276"/>
      <c r="N188" s="277"/>
      <c r="O188" s="278"/>
      <c r="P188" s="277"/>
      <c r="Q188" s="277"/>
      <c r="R188" s="277"/>
      <c r="S188" s="278"/>
      <c r="T188" s="277"/>
      <c r="U188" s="277"/>
      <c r="V188" s="277"/>
      <c r="W188" s="278"/>
      <c r="X188" s="277"/>
      <c r="Y188" s="277"/>
      <c r="Z188" s="277"/>
      <c r="AA188" s="278"/>
      <c r="AB188" s="277"/>
      <c r="AC188" s="277"/>
      <c r="AD188" s="277"/>
      <c r="AE188" s="278"/>
      <c r="AF188" s="277"/>
      <c r="AG188" s="277"/>
      <c r="AH188" s="277"/>
      <c r="AI188" s="278"/>
      <c r="AJ188" s="277"/>
      <c r="AK188" s="277"/>
      <c r="AL188" s="277"/>
      <c r="AM188" s="278"/>
      <c r="AN188" s="277"/>
      <c r="AO188" s="277"/>
      <c r="AP188" s="277"/>
      <c r="AQ188" s="278"/>
      <c r="AR188" s="277"/>
      <c r="AS188" s="277"/>
      <c r="AT188" s="280"/>
      <c r="AU188" s="276"/>
      <c r="AV188" s="276"/>
      <c r="AW188" s="276"/>
      <c r="AX188" s="276"/>
      <c r="AY188" s="276"/>
      <c r="AZ188" s="276"/>
      <c r="BA188" s="276"/>
      <c r="BB188" s="276"/>
      <c r="BC188" s="276"/>
      <c r="BD188" s="276"/>
      <c r="BE188" s="276"/>
      <c r="BF188" s="276"/>
    </row>
    <row r="189" s="196" customFormat="1" ht="14" spans="1:58">
      <c r="A189" s="249"/>
      <c r="B189" s="250"/>
      <c r="C189" s="193"/>
      <c r="D189" s="249"/>
      <c r="G189" s="251"/>
      <c r="H189" s="251"/>
      <c r="I189" s="274"/>
      <c r="J189" s="251"/>
      <c r="K189" s="275"/>
      <c r="L189" s="253"/>
      <c r="M189" s="276"/>
      <c r="N189" s="277"/>
      <c r="O189" s="278"/>
      <c r="P189" s="277"/>
      <c r="Q189" s="277"/>
      <c r="R189" s="277"/>
      <c r="S189" s="278"/>
      <c r="T189" s="277"/>
      <c r="U189" s="277"/>
      <c r="V189" s="277"/>
      <c r="W189" s="278"/>
      <c r="X189" s="277"/>
      <c r="Y189" s="277"/>
      <c r="Z189" s="277"/>
      <c r="AA189" s="278"/>
      <c r="AB189" s="277"/>
      <c r="AC189" s="277"/>
      <c r="AD189" s="277"/>
      <c r="AE189" s="278"/>
      <c r="AF189" s="277"/>
      <c r="AG189" s="277"/>
      <c r="AH189" s="277"/>
      <c r="AI189" s="278"/>
      <c r="AJ189" s="277"/>
      <c r="AK189" s="277"/>
      <c r="AL189" s="277"/>
      <c r="AM189" s="278"/>
      <c r="AN189" s="277"/>
      <c r="AO189" s="277"/>
      <c r="AP189" s="277"/>
      <c r="AQ189" s="278"/>
      <c r="AR189" s="277"/>
      <c r="AS189" s="277"/>
      <c r="AT189" s="280"/>
      <c r="AU189" s="276"/>
      <c r="AV189" s="276"/>
      <c r="AW189" s="276"/>
      <c r="AX189" s="276"/>
      <c r="AY189" s="276"/>
      <c r="AZ189" s="276"/>
      <c r="BA189" s="276"/>
      <c r="BB189" s="276"/>
      <c r="BC189" s="276"/>
      <c r="BD189" s="276"/>
      <c r="BE189" s="276"/>
      <c r="BF189" s="276"/>
    </row>
    <row r="190" s="196" customFormat="1" ht="14" spans="1:58">
      <c r="A190" s="249"/>
      <c r="B190" s="250"/>
      <c r="C190" s="193"/>
      <c r="D190" s="249"/>
      <c r="G190" s="251"/>
      <c r="H190" s="251"/>
      <c r="I190" s="274"/>
      <c r="J190" s="251"/>
      <c r="K190" s="275"/>
      <c r="L190" s="253"/>
      <c r="M190" s="276"/>
      <c r="N190" s="277"/>
      <c r="O190" s="278"/>
      <c r="P190" s="277"/>
      <c r="Q190" s="277"/>
      <c r="R190" s="277"/>
      <c r="S190" s="278"/>
      <c r="T190" s="277"/>
      <c r="U190" s="277"/>
      <c r="V190" s="277"/>
      <c r="W190" s="278"/>
      <c r="X190" s="277"/>
      <c r="Y190" s="277"/>
      <c r="Z190" s="277"/>
      <c r="AA190" s="278"/>
      <c r="AB190" s="277"/>
      <c r="AC190" s="277"/>
      <c r="AD190" s="277"/>
      <c r="AE190" s="278"/>
      <c r="AF190" s="277"/>
      <c r="AG190" s="277"/>
      <c r="AH190" s="277"/>
      <c r="AI190" s="278"/>
      <c r="AJ190" s="277"/>
      <c r="AK190" s="277"/>
      <c r="AL190" s="277"/>
      <c r="AM190" s="278"/>
      <c r="AN190" s="277"/>
      <c r="AO190" s="277"/>
      <c r="AP190" s="277"/>
      <c r="AQ190" s="278"/>
      <c r="AR190" s="277"/>
      <c r="AS190" s="277"/>
      <c r="AT190" s="280"/>
      <c r="AU190" s="276"/>
      <c r="AV190" s="276"/>
      <c r="AW190" s="276"/>
      <c r="AX190" s="276"/>
      <c r="AY190" s="276"/>
      <c r="AZ190" s="276"/>
      <c r="BA190" s="276"/>
      <c r="BB190" s="276"/>
      <c r="BC190" s="276"/>
      <c r="BD190" s="276"/>
      <c r="BE190" s="276"/>
      <c r="BF190" s="276"/>
    </row>
    <row r="191" s="196" customFormat="1" ht="14" spans="1:58">
      <c r="A191" s="249"/>
      <c r="B191" s="250"/>
      <c r="C191" s="193"/>
      <c r="D191" s="249"/>
      <c r="G191" s="251"/>
      <c r="H191" s="251"/>
      <c r="I191" s="274"/>
      <c r="J191" s="251"/>
      <c r="K191" s="275"/>
      <c r="L191" s="253"/>
      <c r="M191" s="276"/>
      <c r="N191" s="277"/>
      <c r="O191" s="278"/>
      <c r="P191" s="277"/>
      <c r="Q191" s="277"/>
      <c r="R191" s="277"/>
      <c r="S191" s="278"/>
      <c r="T191" s="277"/>
      <c r="U191" s="277"/>
      <c r="V191" s="277"/>
      <c r="W191" s="278"/>
      <c r="X191" s="277"/>
      <c r="Y191" s="277"/>
      <c r="Z191" s="277"/>
      <c r="AA191" s="278"/>
      <c r="AB191" s="277"/>
      <c r="AC191" s="277"/>
      <c r="AD191" s="277"/>
      <c r="AE191" s="278"/>
      <c r="AF191" s="277"/>
      <c r="AG191" s="277"/>
      <c r="AH191" s="277"/>
      <c r="AI191" s="278"/>
      <c r="AJ191" s="277"/>
      <c r="AK191" s="277"/>
      <c r="AL191" s="277"/>
      <c r="AM191" s="278"/>
      <c r="AN191" s="277"/>
      <c r="AO191" s="277"/>
      <c r="AP191" s="277"/>
      <c r="AQ191" s="278"/>
      <c r="AR191" s="277"/>
      <c r="AS191" s="277"/>
      <c r="AT191" s="280"/>
      <c r="AU191" s="276"/>
      <c r="AV191" s="276"/>
      <c r="AW191" s="276"/>
      <c r="AX191" s="276"/>
      <c r="AY191" s="276"/>
      <c r="AZ191" s="276"/>
      <c r="BA191" s="276"/>
      <c r="BB191" s="276"/>
      <c r="BC191" s="276"/>
      <c r="BD191" s="276"/>
      <c r="BE191" s="276"/>
      <c r="BF191" s="276"/>
    </row>
    <row r="192" s="196" customFormat="1" ht="14" spans="1:58">
      <c r="A192" s="249"/>
      <c r="B192" s="250"/>
      <c r="C192" s="193"/>
      <c r="D192" s="249"/>
      <c r="G192" s="251"/>
      <c r="H192" s="251"/>
      <c r="I192" s="274"/>
      <c r="J192" s="251"/>
      <c r="K192" s="275"/>
      <c r="L192" s="253"/>
      <c r="M192" s="276"/>
      <c r="N192" s="277"/>
      <c r="O192" s="278"/>
      <c r="P192" s="277"/>
      <c r="Q192" s="277"/>
      <c r="R192" s="277"/>
      <c r="S192" s="278"/>
      <c r="T192" s="277"/>
      <c r="U192" s="277"/>
      <c r="V192" s="277"/>
      <c r="W192" s="278"/>
      <c r="X192" s="277"/>
      <c r="Y192" s="277"/>
      <c r="Z192" s="277"/>
      <c r="AA192" s="278"/>
      <c r="AB192" s="277"/>
      <c r="AC192" s="277"/>
      <c r="AD192" s="277"/>
      <c r="AE192" s="278"/>
      <c r="AF192" s="277"/>
      <c r="AG192" s="277"/>
      <c r="AH192" s="277"/>
      <c r="AI192" s="278"/>
      <c r="AJ192" s="277"/>
      <c r="AK192" s="277"/>
      <c r="AL192" s="277"/>
      <c r="AM192" s="278"/>
      <c r="AN192" s="277"/>
      <c r="AO192" s="277"/>
      <c r="AP192" s="277"/>
      <c r="AQ192" s="278"/>
      <c r="AR192" s="277"/>
      <c r="AS192" s="277"/>
      <c r="AT192" s="280"/>
      <c r="AU192" s="276"/>
      <c r="AV192" s="276"/>
      <c r="AW192" s="276"/>
      <c r="AX192" s="276"/>
      <c r="AY192" s="276"/>
      <c r="AZ192" s="276"/>
      <c r="BA192" s="276"/>
      <c r="BB192" s="276"/>
      <c r="BC192" s="276"/>
      <c r="BD192" s="276"/>
      <c r="BE192" s="276"/>
      <c r="BF192" s="276"/>
    </row>
    <row r="193" s="196" customFormat="1" ht="14" spans="1:58">
      <c r="A193" s="249"/>
      <c r="B193" s="250"/>
      <c r="C193" s="193"/>
      <c r="D193" s="249"/>
      <c r="G193" s="251"/>
      <c r="H193" s="251"/>
      <c r="I193" s="274"/>
      <c r="J193" s="251"/>
      <c r="K193" s="275"/>
      <c r="L193" s="253"/>
      <c r="M193" s="276"/>
      <c r="N193" s="277"/>
      <c r="O193" s="278"/>
      <c r="P193" s="277"/>
      <c r="Q193" s="277"/>
      <c r="R193" s="277"/>
      <c r="S193" s="278"/>
      <c r="T193" s="277"/>
      <c r="U193" s="277"/>
      <c r="V193" s="277"/>
      <c r="W193" s="278"/>
      <c r="X193" s="277"/>
      <c r="Y193" s="277"/>
      <c r="Z193" s="277"/>
      <c r="AA193" s="278"/>
      <c r="AB193" s="277"/>
      <c r="AC193" s="277"/>
      <c r="AD193" s="277"/>
      <c r="AE193" s="278"/>
      <c r="AF193" s="277"/>
      <c r="AG193" s="277"/>
      <c r="AH193" s="277"/>
      <c r="AI193" s="278"/>
      <c r="AJ193" s="277"/>
      <c r="AK193" s="277"/>
      <c r="AL193" s="277"/>
      <c r="AM193" s="278"/>
      <c r="AN193" s="277"/>
      <c r="AO193" s="277"/>
      <c r="AP193" s="277"/>
      <c r="AQ193" s="278"/>
      <c r="AR193" s="277"/>
      <c r="AS193" s="277"/>
      <c r="AT193" s="280"/>
      <c r="AU193" s="276"/>
      <c r="AV193" s="276"/>
      <c r="AW193" s="276"/>
      <c r="AX193" s="276"/>
      <c r="AY193" s="276"/>
      <c r="AZ193" s="276"/>
      <c r="BA193" s="276"/>
      <c r="BB193" s="276"/>
      <c r="BC193" s="276"/>
      <c r="BD193" s="276"/>
      <c r="BE193" s="276"/>
      <c r="BF193" s="276"/>
    </row>
    <row r="194" s="196" customFormat="1" ht="14" spans="1:58">
      <c r="A194" s="249"/>
      <c r="B194" s="250"/>
      <c r="C194" s="193"/>
      <c r="D194" s="249"/>
      <c r="G194" s="251"/>
      <c r="H194" s="251"/>
      <c r="I194" s="274"/>
      <c r="J194" s="251"/>
      <c r="K194" s="275"/>
      <c r="L194" s="253"/>
      <c r="M194" s="276"/>
      <c r="N194" s="277"/>
      <c r="O194" s="278"/>
      <c r="P194" s="277"/>
      <c r="Q194" s="277"/>
      <c r="R194" s="277"/>
      <c r="S194" s="278"/>
      <c r="T194" s="277"/>
      <c r="U194" s="277"/>
      <c r="V194" s="277"/>
      <c r="W194" s="278"/>
      <c r="X194" s="277"/>
      <c r="Y194" s="277"/>
      <c r="Z194" s="277"/>
      <c r="AA194" s="278"/>
      <c r="AB194" s="277"/>
      <c r="AC194" s="277"/>
      <c r="AD194" s="277"/>
      <c r="AE194" s="278"/>
      <c r="AF194" s="277"/>
      <c r="AG194" s="277"/>
      <c r="AH194" s="277"/>
      <c r="AI194" s="278"/>
      <c r="AJ194" s="277"/>
      <c r="AK194" s="277"/>
      <c r="AL194" s="277"/>
      <c r="AM194" s="278"/>
      <c r="AN194" s="277"/>
      <c r="AO194" s="277"/>
      <c r="AP194" s="277"/>
      <c r="AQ194" s="278"/>
      <c r="AR194" s="277"/>
      <c r="AS194" s="277"/>
      <c r="AT194" s="280"/>
      <c r="AU194" s="276"/>
      <c r="AV194" s="276"/>
      <c r="AW194" s="276"/>
      <c r="AX194" s="276"/>
      <c r="AY194" s="276"/>
      <c r="AZ194" s="276"/>
      <c r="BA194" s="276"/>
      <c r="BB194" s="276"/>
      <c r="BC194" s="276"/>
      <c r="BD194" s="276"/>
      <c r="BE194" s="276"/>
      <c r="BF194" s="276"/>
    </row>
    <row r="195" s="196" customFormat="1" ht="14" spans="1:58">
      <c r="A195" s="249"/>
      <c r="B195" s="250"/>
      <c r="C195" s="193"/>
      <c r="D195" s="249"/>
      <c r="G195" s="251"/>
      <c r="H195" s="251"/>
      <c r="I195" s="274"/>
      <c r="J195" s="251"/>
      <c r="K195" s="275"/>
      <c r="L195" s="253"/>
      <c r="M195" s="276"/>
      <c r="N195" s="277"/>
      <c r="O195" s="278"/>
      <c r="P195" s="277"/>
      <c r="Q195" s="277"/>
      <c r="R195" s="277"/>
      <c r="S195" s="278"/>
      <c r="T195" s="277"/>
      <c r="U195" s="277"/>
      <c r="V195" s="277"/>
      <c r="W195" s="278"/>
      <c r="X195" s="277"/>
      <c r="Y195" s="277"/>
      <c r="Z195" s="277"/>
      <c r="AA195" s="278"/>
      <c r="AB195" s="277"/>
      <c r="AC195" s="277"/>
      <c r="AD195" s="277"/>
      <c r="AE195" s="278"/>
      <c r="AF195" s="277"/>
      <c r="AG195" s="277"/>
      <c r="AH195" s="277"/>
      <c r="AI195" s="278"/>
      <c r="AJ195" s="277"/>
      <c r="AK195" s="277"/>
      <c r="AL195" s="277"/>
      <c r="AM195" s="278"/>
      <c r="AN195" s="277"/>
      <c r="AO195" s="277"/>
      <c r="AP195" s="277"/>
      <c r="AQ195" s="278"/>
      <c r="AR195" s="277"/>
      <c r="AS195" s="277"/>
      <c r="AT195" s="280"/>
      <c r="AU195" s="276"/>
      <c r="AV195" s="276"/>
      <c r="AW195" s="276"/>
      <c r="AX195" s="276"/>
      <c r="AY195" s="276"/>
      <c r="AZ195" s="276"/>
      <c r="BA195" s="276"/>
      <c r="BB195" s="276"/>
      <c r="BC195" s="276"/>
      <c r="BD195" s="276"/>
      <c r="BE195" s="276"/>
      <c r="BF195" s="276"/>
    </row>
    <row r="196" s="196" customFormat="1" ht="14" spans="1:58">
      <c r="A196" s="249"/>
      <c r="B196" s="250"/>
      <c r="C196" s="193"/>
      <c r="D196" s="249"/>
      <c r="G196" s="251"/>
      <c r="H196" s="251"/>
      <c r="I196" s="274"/>
      <c r="J196" s="251"/>
      <c r="K196" s="275"/>
      <c r="L196" s="253"/>
      <c r="M196" s="276"/>
      <c r="N196" s="277"/>
      <c r="O196" s="278"/>
      <c r="P196" s="277"/>
      <c r="Q196" s="277"/>
      <c r="R196" s="277"/>
      <c r="S196" s="278"/>
      <c r="T196" s="277"/>
      <c r="U196" s="277"/>
      <c r="V196" s="277"/>
      <c r="W196" s="278"/>
      <c r="X196" s="277"/>
      <c r="Y196" s="277"/>
      <c r="Z196" s="277"/>
      <c r="AA196" s="278"/>
      <c r="AB196" s="277"/>
      <c r="AC196" s="277"/>
      <c r="AD196" s="277"/>
      <c r="AE196" s="278"/>
      <c r="AF196" s="277"/>
      <c r="AG196" s="277"/>
      <c r="AH196" s="277"/>
      <c r="AI196" s="278"/>
      <c r="AJ196" s="277"/>
      <c r="AK196" s="277"/>
      <c r="AL196" s="277"/>
      <c r="AM196" s="278"/>
      <c r="AN196" s="277"/>
      <c r="AO196" s="277"/>
      <c r="AP196" s="277"/>
      <c r="AQ196" s="278"/>
      <c r="AR196" s="277"/>
      <c r="AS196" s="277"/>
      <c r="AT196" s="280"/>
      <c r="AU196" s="276"/>
      <c r="AV196" s="276"/>
      <c r="AW196" s="276"/>
      <c r="AX196" s="276"/>
      <c r="AY196" s="276"/>
      <c r="AZ196" s="276"/>
      <c r="BA196" s="276"/>
      <c r="BB196" s="276"/>
      <c r="BC196" s="276"/>
      <c r="BD196" s="276"/>
      <c r="BE196" s="276"/>
      <c r="BF196" s="276"/>
    </row>
    <row r="197" s="196" customFormat="1" ht="14" spans="1:58">
      <c r="A197" s="249"/>
      <c r="B197" s="250"/>
      <c r="C197" s="193"/>
      <c r="D197" s="249"/>
      <c r="G197" s="251"/>
      <c r="H197" s="251"/>
      <c r="I197" s="274"/>
      <c r="J197" s="251"/>
      <c r="K197" s="275"/>
      <c r="L197" s="253"/>
      <c r="M197" s="276"/>
      <c r="N197" s="277"/>
      <c r="O197" s="278"/>
      <c r="P197" s="277"/>
      <c r="Q197" s="277"/>
      <c r="R197" s="277"/>
      <c r="S197" s="278"/>
      <c r="T197" s="277"/>
      <c r="U197" s="277"/>
      <c r="V197" s="277"/>
      <c r="W197" s="278"/>
      <c r="X197" s="277"/>
      <c r="Y197" s="277"/>
      <c r="Z197" s="277"/>
      <c r="AA197" s="278"/>
      <c r="AB197" s="277"/>
      <c r="AC197" s="277"/>
      <c r="AD197" s="277"/>
      <c r="AE197" s="278"/>
      <c r="AF197" s="277"/>
      <c r="AG197" s="277"/>
      <c r="AH197" s="277"/>
      <c r="AI197" s="278"/>
      <c r="AJ197" s="277"/>
      <c r="AK197" s="277"/>
      <c r="AL197" s="277"/>
      <c r="AM197" s="278"/>
      <c r="AN197" s="277"/>
      <c r="AO197" s="277"/>
      <c r="AP197" s="277"/>
      <c r="AQ197" s="278"/>
      <c r="AR197" s="277"/>
      <c r="AS197" s="277"/>
      <c r="AT197" s="280"/>
      <c r="AU197" s="276"/>
      <c r="AV197" s="276"/>
      <c r="AW197" s="276"/>
      <c r="AX197" s="276"/>
      <c r="AY197" s="276"/>
      <c r="AZ197" s="276"/>
      <c r="BA197" s="276"/>
      <c r="BB197" s="276"/>
      <c r="BC197" s="276"/>
      <c r="BD197" s="276"/>
      <c r="BE197" s="276"/>
      <c r="BF197" s="276"/>
    </row>
    <row r="198" s="196" customFormat="1" ht="14" spans="1:58">
      <c r="A198" s="249"/>
      <c r="B198" s="250"/>
      <c r="C198" s="193"/>
      <c r="D198" s="249"/>
      <c r="G198" s="251"/>
      <c r="H198" s="251"/>
      <c r="I198" s="274"/>
      <c r="J198" s="251"/>
      <c r="K198" s="275"/>
      <c r="L198" s="253"/>
      <c r="M198" s="276"/>
      <c r="N198" s="277"/>
      <c r="O198" s="278"/>
      <c r="P198" s="277"/>
      <c r="Q198" s="277"/>
      <c r="R198" s="277"/>
      <c r="S198" s="278"/>
      <c r="T198" s="277"/>
      <c r="U198" s="277"/>
      <c r="V198" s="277"/>
      <c r="W198" s="278"/>
      <c r="X198" s="277"/>
      <c r="Y198" s="277"/>
      <c r="Z198" s="277"/>
      <c r="AA198" s="278"/>
      <c r="AB198" s="277"/>
      <c r="AC198" s="277"/>
      <c r="AD198" s="277"/>
      <c r="AE198" s="278"/>
      <c r="AF198" s="277"/>
      <c r="AG198" s="277"/>
      <c r="AH198" s="277"/>
      <c r="AI198" s="278"/>
      <c r="AJ198" s="277"/>
      <c r="AK198" s="277"/>
      <c r="AL198" s="277"/>
      <c r="AM198" s="278"/>
      <c r="AN198" s="277"/>
      <c r="AO198" s="277"/>
      <c r="AP198" s="277"/>
      <c r="AQ198" s="278"/>
      <c r="AR198" s="277"/>
      <c r="AS198" s="277"/>
      <c r="AT198" s="280"/>
      <c r="AU198" s="276"/>
      <c r="AV198" s="276"/>
      <c r="AW198" s="276"/>
      <c r="AX198" s="276"/>
      <c r="AY198" s="276"/>
      <c r="AZ198" s="276"/>
      <c r="BA198" s="276"/>
      <c r="BB198" s="276"/>
      <c r="BC198" s="276"/>
      <c r="BD198" s="276"/>
      <c r="BE198" s="276"/>
      <c r="BF198" s="276"/>
    </row>
    <row r="199" s="196" customFormat="1" ht="14" spans="1:58">
      <c r="A199" s="249"/>
      <c r="B199" s="250"/>
      <c r="C199" s="193"/>
      <c r="D199" s="249"/>
      <c r="G199" s="251"/>
      <c r="H199" s="251"/>
      <c r="I199" s="274"/>
      <c r="J199" s="251"/>
      <c r="K199" s="275"/>
      <c r="L199" s="253"/>
      <c r="M199" s="276"/>
      <c r="N199" s="277"/>
      <c r="O199" s="278"/>
      <c r="P199" s="277"/>
      <c r="Q199" s="277"/>
      <c r="R199" s="277"/>
      <c r="S199" s="278"/>
      <c r="T199" s="277"/>
      <c r="U199" s="277"/>
      <c r="V199" s="277"/>
      <c r="W199" s="278"/>
      <c r="X199" s="277"/>
      <c r="Y199" s="277"/>
      <c r="Z199" s="277"/>
      <c r="AA199" s="278"/>
      <c r="AB199" s="277"/>
      <c r="AC199" s="277"/>
      <c r="AD199" s="277"/>
      <c r="AE199" s="278"/>
      <c r="AF199" s="277"/>
      <c r="AG199" s="277"/>
      <c r="AH199" s="277"/>
      <c r="AI199" s="278"/>
      <c r="AJ199" s="277"/>
      <c r="AK199" s="277"/>
      <c r="AL199" s="277"/>
      <c r="AM199" s="278"/>
      <c r="AN199" s="277"/>
      <c r="AO199" s="277"/>
      <c r="AP199" s="277"/>
      <c r="AQ199" s="278"/>
      <c r="AR199" s="277"/>
      <c r="AS199" s="277"/>
      <c r="AT199" s="280"/>
      <c r="AU199" s="276"/>
      <c r="AV199" s="276"/>
      <c r="AW199" s="276"/>
      <c r="AX199" s="276"/>
      <c r="AY199" s="276"/>
      <c r="AZ199" s="276"/>
      <c r="BA199" s="276"/>
      <c r="BB199" s="276"/>
      <c r="BC199" s="276"/>
      <c r="BD199" s="276"/>
      <c r="BE199" s="276"/>
      <c r="BF199" s="276"/>
    </row>
    <row r="200" s="196" customFormat="1" ht="14" spans="1:58">
      <c r="A200" s="249"/>
      <c r="B200" s="250"/>
      <c r="C200" s="193"/>
      <c r="D200" s="249"/>
      <c r="G200" s="251"/>
      <c r="H200" s="251"/>
      <c r="I200" s="274"/>
      <c r="J200" s="251"/>
      <c r="K200" s="275"/>
      <c r="L200" s="253"/>
      <c r="M200" s="276"/>
      <c r="N200" s="277"/>
      <c r="O200" s="278"/>
      <c r="P200" s="277"/>
      <c r="Q200" s="277"/>
      <c r="R200" s="277"/>
      <c r="S200" s="278"/>
      <c r="T200" s="277"/>
      <c r="U200" s="277"/>
      <c r="V200" s="277"/>
      <c r="W200" s="278"/>
      <c r="X200" s="277"/>
      <c r="Y200" s="277"/>
      <c r="Z200" s="277"/>
      <c r="AA200" s="278"/>
      <c r="AB200" s="277"/>
      <c r="AC200" s="277"/>
      <c r="AD200" s="277"/>
      <c r="AE200" s="278"/>
      <c r="AF200" s="277"/>
      <c r="AG200" s="277"/>
      <c r="AH200" s="277"/>
      <c r="AI200" s="278"/>
      <c r="AJ200" s="277"/>
      <c r="AK200" s="277"/>
      <c r="AL200" s="277"/>
      <c r="AM200" s="278"/>
      <c r="AN200" s="277"/>
      <c r="AO200" s="277"/>
      <c r="AP200" s="277"/>
      <c r="AQ200" s="278"/>
      <c r="AR200" s="277"/>
      <c r="AS200" s="277"/>
      <c r="AT200" s="280"/>
      <c r="AU200" s="276"/>
      <c r="AV200" s="276"/>
      <c r="AW200" s="276"/>
      <c r="AX200" s="276"/>
      <c r="AY200" s="276"/>
      <c r="AZ200" s="276"/>
      <c r="BA200" s="276"/>
      <c r="BB200" s="276"/>
      <c r="BC200" s="276"/>
      <c r="BD200" s="276"/>
      <c r="BE200" s="276"/>
      <c r="BF200" s="276"/>
    </row>
    <row r="201" s="196" customFormat="1" ht="14" spans="1:58">
      <c r="A201" s="249"/>
      <c r="B201" s="250"/>
      <c r="C201" s="193"/>
      <c r="D201" s="249"/>
      <c r="G201" s="251"/>
      <c r="H201" s="251"/>
      <c r="I201" s="274"/>
      <c r="J201" s="251"/>
      <c r="K201" s="275"/>
      <c r="L201" s="253"/>
      <c r="M201" s="276"/>
      <c r="N201" s="277"/>
      <c r="O201" s="278"/>
      <c r="P201" s="277"/>
      <c r="Q201" s="277"/>
      <c r="R201" s="277"/>
      <c r="S201" s="278"/>
      <c r="T201" s="277"/>
      <c r="U201" s="277"/>
      <c r="V201" s="277"/>
      <c r="W201" s="278"/>
      <c r="X201" s="277"/>
      <c r="Y201" s="277"/>
      <c r="Z201" s="277"/>
      <c r="AA201" s="278"/>
      <c r="AB201" s="277"/>
      <c r="AC201" s="277"/>
      <c r="AD201" s="277"/>
      <c r="AE201" s="278"/>
      <c r="AF201" s="277"/>
      <c r="AG201" s="277"/>
      <c r="AH201" s="277"/>
      <c r="AI201" s="278"/>
      <c r="AJ201" s="277"/>
      <c r="AK201" s="277"/>
      <c r="AL201" s="277"/>
      <c r="AM201" s="278"/>
      <c r="AN201" s="277"/>
      <c r="AO201" s="277"/>
      <c r="AP201" s="277"/>
      <c r="AQ201" s="278"/>
      <c r="AR201" s="277"/>
      <c r="AS201" s="277"/>
      <c r="AT201" s="280"/>
      <c r="AU201" s="276"/>
      <c r="AV201" s="276"/>
      <c r="AW201" s="276"/>
      <c r="AX201" s="276"/>
      <c r="AY201" s="276"/>
      <c r="AZ201" s="276"/>
      <c r="BA201" s="276"/>
      <c r="BB201" s="276"/>
      <c r="BC201" s="276"/>
      <c r="BD201" s="276"/>
      <c r="BE201" s="276"/>
      <c r="BF201" s="276"/>
    </row>
    <row r="202" s="196" customFormat="1" ht="14" spans="1:58">
      <c r="A202" s="249"/>
      <c r="B202" s="250"/>
      <c r="C202" s="193"/>
      <c r="D202" s="249"/>
      <c r="G202" s="251"/>
      <c r="H202" s="251"/>
      <c r="I202" s="274"/>
      <c r="J202" s="251"/>
      <c r="K202" s="275"/>
      <c r="L202" s="253"/>
      <c r="M202" s="276"/>
      <c r="N202" s="277"/>
      <c r="O202" s="278"/>
      <c r="P202" s="277"/>
      <c r="Q202" s="277"/>
      <c r="R202" s="277"/>
      <c r="S202" s="278"/>
      <c r="T202" s="277"/>
      <c r="U202" s="277"/>
      <c r="V202" s="277"/>
      <c r="W202" s="278"/>
      <c r="X202" s="277"/>
      <c r="Y202" s="277"/>
      <c r="Z202" s="277"/>
      <c r="AA202" s="278"/>
      <c r="AB202" s="277"/>
      <c r="AC202" s="277"/>
      <c r="AD202" s="277"/>
      <c r="AE202" s="278"/>
      <c r="AF202" s="277"/>
      <c r="AG202" s="277"/>
      <c r="AH202" s="277"/>
      <c r="AI202" s="278"/>
      <c r="AJ202" s="277"/>
      <c r="AK202" s="277"/>
      <c r="AL202" s="277"/>
      <c r="AM202" s="278"/>
      <c r="AN202" s="277"/>
      <c r="AO202" s="277"/>
      <c r="AP202" s="277"/>
      <c r="AQ202" s="278"/>
      <c r="AR202" s="277"/>
      <c r="AS202" s="277"/>
      <c r="AT202" s="280"/>
      <c r="AU202" s="276"/>
      <c r="AV202" s="276"/>
      <c r="AW202" s="276"/>
      <c r="AX202" s="276"/>
      <c r="AY202" s="276"/>
      <c r="AZ202" s="276"/>
      <c r="BA202" s="276"/>
      <c r="BB202" s="276"/>
      <c r="BC202" s="276"/>
      <c r="BD202" s="276"/>
      <c r="BE202" s="276"/>
      <c r="BF202" s="276"/>
    </row>
    <row r="203" s="196" customFormat="1" ht="14" spans="1:58">
      <c r="A203" s="249"/>
      <c r="B203" s="250"/>
      <c r="C203" s="193"/>
      <c r="D203" s="249"/>
      <c r="G203" s="251"/>
      <c r="H203" s="251"/>
      <c r="I203" s="274"/>
      <c r="J203" s="251"/>
      <c r="K203" s="275"/>
      <c r="L203" s="253"/>
      <c r="M203" s="276"/>
      <c r="N203" s="277"/>
      <c r="O203" s="278"/>
      <c r="P203" s="277"/>
      <c r="Q203" s="277"/>
      <c r="R203" s="277"/>
      <c r="S203" s="278"/>
      <c r="T203" s="277"/>
      <c r="U203" s="277"/>
      <c r="V203" s="277"/>
      <c r="W203" s="278"/>
      <c r="X203" s="277"/>
      <c r="Y203" s="277"/>
      <c r="Z203" s="277"/>
      <c r="AA203" s="278"/>
      <c r="AB203" s="277"/>
      <c r="AC203" s="277"/>
      <c r="AD203" s="277"/>
      <c r="AE203" s="278"/>
      <c r="AF203" s="277"/>
      <c r="AG203" s="277"/>
      <c r="AH203" s="277"/>
      <c r="AI203" s="278"/>
      <c r="AJ203" s="277"/>
      <c r="AK203" s="277"/>
      <c r="AL203" s="277"/>
      <c r="AM203" s="278"/>
      <c r="AN203" s="277"/>
      <c r="AO203" s="277"/>
      <c r="AP203" s="277"/>
      <c r="AQ203" s="278"/>
      <c r="AR203" s="277"/>
      <c r="AS203" s="277"/>
      <c r="AT203" s="280"/>
      <c r="AU203" s="276"/>
      <c r="AV203" s="276"/>
      <c r="AW203" s="276"/>
      <c r="AX203" s="276"/>
      <c r="AY203" s="276"/>
      <c r="AZ203" s="276"/>
      <c r="BA203" s="276"/>
      <c r="BB203" s="276"/>
      <c r="BC203" s="276"/>
      <c r="BD203" s="276"/>
      <c r="BE203" s="276"/>
      <c r="BF203" s="276"/>
    </row>
    <row r="204" s="196" customFormat="1" ht="14" spans="1:58">
      <c r="A204" s="249"/>
      <c r="B204" s="250"/>
      <c r="C204" s="193"/>
      <c r="D204" s="249"/>
      <c r="G204" s="251"/>
      <c r="H204" s="251"/>
      <c r="I204" s="274"/>
      <c r="J204" s="251"/>
      <c r="K204" s="275"/>
      <c r="L204" s="253"/>
      <c r="M204" s="276"/>
      <c r="N204" s="277"/>
      <c r="O204" s="278"/>
      <c r="P204" s="277"/>
      <c r="Q204" s="277"/>
      <c r="R204" s="277"/>
      <c r="S204" s="278"/>
      <c r="T204" s="277"/>
      <c r="U204" s="277"/>
      <c r="V204" s="277"/>
      <c r="W204" s="278"/>
      <c r="X204" s="277"/>
      <c r="Y204" s="277"/>
      <c r="Z204" s="277"/>
      <c r="AA204" s="278"/>
      <c r="AB204" s="277"/>
      <c r="AC204" s="277"/>
      <c r="AD204" s="277"/>
      <c r="AE204" s="278"/>
      <c r="AF204" s="277"/>
      <c r="AG204" s="277"/>
      <c r="AH204" s="277"/>
      <c r="AI204" s="278"/>
      <c r="AJ204" s="277"/>
      <c r="AK204" s="277"/>
      <c r="AL204" s="277"/>
      <c r="AM204" s="278"/>
      <c r="AN204" s="277"/>
      <c r="AO204" s="277"/>
      <c r="AP204" s="277"/>
      <c r="AQ204" s="278"/>
      <c r="AR204" s="277"/>
      <c r="AS204" s="277"/>
      <c r="AT204" s="280"/>
      <c r="AU204" s="276"/>
      <c r="AV204" s="276"/>
      <c r="AW204" s="276"/>
      <c r="AX204" s="276"/>
      <c r="AY204" s="276"/>
      <c r="AZ204" s="276"/>
      <c r="BA204" s="276"/>
      <c r="BB204" s="276"/>
      <c r="BC204" s="276"/>
      <c r="BD204" s="276"/>
      <c r="BE204" s="276"/>
      <c r="BF204" s="276"/>
    </row>
    <row r="205" s="196" customFormat="1" ht="14" spans="1:58">
      <c r="A205" s="249"/>
      <c r="B205" s="250"/>
      <c r="C205" s="193"/>
      <c r="D205" s="249"/>
      <c r="G205" s="251"/>
      <c r="H205" s="251"/>
      <c r="I205" s="274"/>
      <c r="J205" s="251"/>
      <c r="K205" s="275"/>
      <c r="L205" s="253"/>
      <c r="M205" s="276"/>
      <c r="N205" s="277"/>
      <c r="O205" s="278"/>
      <c r="P205" s="277"/>
      <c r="Q205" s="277"/>
      <c r="R205" s="277"/>
      <c r="S205" s="278"/>
      <c r="T205" s="277"/>
      <c r="U205" s="277"/>
      <c r="V205" s="277"/>
      <c r="W205" s="278"/>
      <c r="X205" s="277"/>
      <c r="Y205" s="277"/>
      <c r="Z205" s="277"/>
      <c r="AA205" s="278"/>
      <c r="AB205" s="277"/>
      <c r="AC205" s="277"/>
      <c r="AD205" s="277"/>
      <c r="AE205" s="278"/>
      <c r="AF205" s="277"/>
      <c r="AG205" s="277"/>
      <c r="AH205" s="277"/>
      <c r="AI205" s="278"/>
      <c r="AJ205" s="277"/>
      <c r="AK205" s="277"/>
      <c r="AL205" s="277"/>
      <c r="AM205" s="278"/>
      <c r="AN205" s="277"/>
      <c r="AO205" s="277"/>
      <c r="AP205" s="277"/>
      <c r="AQ205" s="278"/>
      <c r="AR205" s="277"/>
      <c r="AS205" s="277"/>
      <c r="AT205" s="280"/>
      <c r="AU205" s="276"/>
      <c r="AV205" s="276"/>
      <c r="AW205" s="276"/>
      <c r="AX205" s="276"/>
      <c r="AY205" s="276"/>
      <c r="AZ205" s="276"/>
      <c r="BA205" s="276"/>
      <c r="BB205" s="276"/>
      <c r="BC205" s="276"/>
      <c r="BD205" s="276"/>
      <c r="BE205" s="276"/>
      <c r="BF205" s="276"/>
    </row>
    <row r="206" s="196" customFormat="1" ht="14" spans="1:58">
      <c r="A206" s="249"/>
      <c r="B206" s="250"/>
      <c r="C206" s="193"/>
      <c r="D206" s="249"/>
      <c r="G206" s="251"/>
      <c r="H206" s="251"/>
      <c r="I206" s="274"/>
      <c r="J206" s="251"/>
      <c r="K206" s="275"/>
      <c r="L206" s="253"/>
      <c r="M206" s="276"/>
      <c r="N206" s="277"/>
      <c r="O206" s="278"/>
      <c r="P206" s="277"/>
      <c r="Q206" s="277"/>
      <c r="R206" s="277"/>
      <c r="S206" s="278"/>
      <c r="T206" s="277"/>
      <c r="U206" s="277"/>
      <c r="V206" s="277"/>
      <c r="W206" s="278"/>
      <c r="X206" s="277"/>
      <c r="Y206" s="277"/>
      <c r="Z206" s="277"/>
      <c r="AA206" s="278"/>
      <c r="AB206" s="277"/>
      <c r="AC206" s="277"/>
      <c r="AD206" s="277"/>
      <c r="AE206" s="278"/>
      <c r="AF206" s="277"/>
      <c r="AG206" s="277"/>
      <c r="AH206" s="277"/>
      <c r="AI206" s="278"/>
      <c r="AJ206" s="277"/>
      <c r="AK206" s="277"/>
      <c r="AL206" s="277"/>
      <c r="AM206" s="278"/>
      <c r="AN206" s="277"/>
      <c r="AO206" s="277"/>
      <c r="AP206" s="277"/>
      <c r="AQ206" s="278"/>
      <c r="AR206" s="277"/>
      <c r="AS206" s="277"/>
      <c r="AT206" s="280"/>
      <c r="AU206" s="276"/>
      <c r="AV206" s="276"/>
      <c r="AW206" s="276"/>
      <c r="AX206" s="276"/>
      <c r="AY206" s="276"/>
      <c r="AZ206" s="276"/>
      <c r="BA206" s="276"/>
      <c r="BB206" s="276"/>
      <c r="BC206" s="276"/>
      <c r="BD206" s="276"/>
      <c r="BE206" s="276"/>
      <c r="BF206" s="276"/>
    </row>
    <row r="207" s="196" customFormat="1" ht="14" spans="1:58">
      <c r="A207" s="249"/>
      <c r="B207" s="250"/>
      <c r="C207" s="193"/>
      <c r="D207" s="249"/>
      <c r="G207" s="251"/>
      <c r="H207" s="251"/>
      <c r="I207" s="274"/>
      <c r="J207" s="251"/>
      <c r="K207" s="275"/>
      <c r="L207" s="253"/>
      <c r="M207" s="276"/>
      <c r="N207" s="277"/>
      <c r="O207" s="278"/>
      <c r="P207" s="277"/>
      <c r="Q207" s="277"/>
      <c r="R207" s="277"/>
      <c r="S207" s="278"/>
      <c r="T207" s="277"/>
      <c r="U207" s="277"/>
      <c r="V207" s="277"/>
      <c r="W207" s="278"/>
      <c r="X207" s="277"/>
      <c r="Y207" s="277"/>
      <c r="Z207" s="277"/>
      <c r="AA207" s="278"/>
      <c r="AB207" s="277"/>
      <c r="AC207" s="277"/>
      <c r="AD207" s="277"/>
      <c r="AE207" s="278"/>
      <c r="AF207" s="277"/>
      <c r="AG207" s="277"/>
      <c r="AH207" s="277"/>
      <c r="AI207" s="278"/>
      <c r="AJ207" s="277"/>
      <c r="AK207" s="277"/>
      <c r="AL207" s="277"/>
      <c r="AM207" s="278"/>
      <c r="AN207" s="277"/>
      <c r="AO207" s="277"/>
      <c r="AP207" s="277"/>
      <c r="AQ207" s="278"/>
      <c r="AR207" s="277"/>
      <c r="AS207" s="277"/>
      <c r="AT207" s="280"/>
      <c r="AU207" s="276"/>
      <c r="AV207" s="276"/>
      <c r="AW207" s="276"/>
      <c r="AX207" s="276"/>
      <c r="AY207" s="276"/>
      <c r="AZ207" s="276"/>
      <c r="BA207" s="276"/>
      <c r="BB207" s="276"/>
      <c r="BC207" s="276"/>
      <c r="BD207" s="276"/>
      <c r="BE207" s="276"/>
      <c r="BF207" s="276"/>
    </row>
    <row r="208" s="196" customFormat="1" ht="14" spans="1:58">
      <c r="A208" s="249"/>
      <c r="B208" s="250"/>
      <c r="C208" s="193"/>
      <c r="D208" s="249"/>
      <c r="G208" s="251"/>
      <c r="H208" s="251"/>
      <c r="I208" s="274"/>
      <c r="J208" s="251"/>
      <c r="K208" s="275"/>
      <c r="L208" s="253"/>
      <c r="M208" s="276"/>
      <c r="N208" s="277"/>
      <c r="O208" s="278"/>
      <c r="P208" s="277"/>
      <c r="Q208" s="277"/>
      <c r="R208" s="277"/>
      <c r="S208" s="278"/>
      <c r="T208" s="277"/>
      <c r="U208" s="277"/>
      <c r="V208" s="277"/>
      <c r="W208" s="278"/>
      <c r="X208" s="277"/>
      <c r="Y208" s="277"/>
      <c r="Z208" s="277"/>
      <c r="AA208" s="278"/>
      <c r="AB208" s="277"/>
      <c r="AC208" s="277"/>
      <c r="AD208" s="277"/>
      <c r="AE208" s="278"/>
      <c r="AF208" s="277"/>
      <c r="AG208" s="277"/>
      <c r="AH208" s="277"/>
      <c r="AI208" s="278"/>
      <c r="AJ208" s="277"/>
      <c r="AK208" s="277"/>
      <c r="AL208" s="277"/>
      <c r="AM208" s="278"/>
      <c r="AN208" s="277"/>
      <c r="AO208" s="277"/>
      <c r="AP208" s="277"/>
      <c r="AQ208" s="278"/>
      <c r="AR208" s="277"/>
      <c r="AS208" s="277"/>
      <c r="AT208" s="280"/>
      <c r="AU208" s="276"/>
      <c r="AV208" s="276"/>
      <c r="AW208" s="276"/>
      <c r="AX208" s="276"/>
      <c r="AY208" s="276"/>
      <c r="AZ208" s="276"/>
      <c r="BA208" s="276"/>
      <c r="BB208" s="276"/>
      <c r="BC208" s="276"/>
      <c r="BD208" s="276"/>
      <c r="BE208" s="276"/>
      <c r="BF208" s="276"/>
    </row>
    <row r="209" s="196" customFormat="1" ht="14" spans="1:58">
      <c r="A209" s="249"/>
      <c r="B209" s="250"/>
      <c r="C209" s="193"/>
      <c r="D209" s="249"/>
      <c r="G209" s="251"/>
      <c r="H209" s="251"/>
      <c r="I209" s="274"/>
      <c r="J209" s="251"/>
      <c r="K209" s="275"/>
      <c r="L209" s="253"/>
      <c r="M209" s="276"/>
      <c r="N209" s="277"/>
      <c r="O209" s="278"/>
      <c r="P209" s="277"/>
      <c r="Q209" s="277"/>
      <c r="R209" s="277"/>
      <c r="S209" s="278"/>
      <c r="T209" s="277"/>
      <c r="U209" s="277"/>
      <c r="V209" s="277"/>
      <c r="W209" s="278"/>
      <c r="X209" s="277"/>
      <c r="Y209" s="277"/>
      <c r="Z209" s="277"/>
      <c r="AA209" s="278"/>
      <c r="AB209" s="277"/>
      <c r="AC209" s="277"/>
      <c r="AD209" s="277"/>
      <c r="AE209" s="278"/>
      <c r="AF209" s="277"/>
      <c r="AG209" s="277"/>
      <c r="AH209" s="277"/>
      <c r="AI209" s="278"/>
      <c r="AJ209" s="277"/>
      <c r="AK209" s="277"/>
      <c r="AL209" s="277"/>
      <c r="AM209" s="278"/>
      <c r="AN209" s="277"/>
      <c r="AO209" s="277"/>
      <c r="AP209" s="277"/>
      <c r="AQ209" s="278"/>
      <c r="AR209" s="277"/>
      <c r="AS209" s="277"/>
      <c r="AT209" s="280"/>
      <c r="AU209" s="276"/>
      <c r="AV209" s="276"/>
      <c r="AW209" s="276"/>
      <c r="AX209" s="276"/>
      <c r="AY209" s="276"/>
      <c r="AZ209" s="276"/>
      <c r="BA209" s="276"/>
      <c r="BB209" s="276"/>
      <c r="BC209" s="276"/>
      <c r="BD209" s="276"/>
      <c r="BE209" s="276"/>
      <c r="BF209" s="276"/>
    </row>
    <row r="210" s="196" customFormat="1" ht="14" spans="1:58">
      <c r="A210" s="249"/>
      <c r="B210" s="250"/>
      <c r="C210" s="193"/>
      <c r="D210" s="249"/>
      <c r="G210" s="251"/>
      <c r="H210" s="251"/>
      <c r="I210" s="274"/>
      <c r="J210" s="251"/>
      <c r="K210" s="275"/>
      <c r="L210" s="253"/>
      <c r="M210" s="276"/>
      <c r="N210" s="277"/>
      <c r="O210" s="278"/>
      <c r="P210" s="277"/>
      <c r="Q210" s="277"/>
      <c r="R210" s="277"/>
      <c r="S210" s="278"/>
      <c r="T210" s="277"/>
      <c r="U210" s="277"/>
      <c r="V210" s="277"/>
      <c r="W210" s="278"/>
      <c r="X210" s="277"/>
      <c r="Y210" s="277"/>
      <c r="Z210" s="277"/>
      <c r="AA210" s="278"/>
      <c r="AB210" s="277"/>
      <c r="AC210" s="277"/>
      <c r="AD210" s="277"/>
      <c r="AE210" s="278"/>
      <c r="AF210" s="277"/>
      <c r="AG210" s="277"/>
      <c r="AH210" s="277"/>
      <c r="AI210" s="278"/>
      <c r="AJ210" s="277"/>
      <c r="AK210" s="277"/>
      <c r="AL210" s="277"/>
      <c r="AM210" s="278"/>
      <c r="AN210" s="277"/>
      <c r="AO210" s="277"/>
      <c r="AP210" s="277"/>
      <c r="AQ210" s="278"/>
      <c r="AR210" s="277"/>
      <c r="AS210" s="277"/>
      <c r="AT210" s="280"/>
      <c r="AU210" s="276"/>
      <c r="AV210" s="276"/>
      <c r="AW210" s="276"/>
      <c r="AX210" s="276"/>
      <c r="AY210" s="276"/>
      <c r="AZ210" s="276"/>
      <c r="BA210" s="276"/>
      <c r="BB210" s="276"/>
      <c r="BC210" s="276"/>
      <c r="BD210" s="276"/>
      <c r="BE210" s="276"/>
      <c r="BF210" s="276"/>
    </row>
    <row r="211" s="196" customFormat="1" ht="14" spans="1:58">
      <c r="A211" s="249"/>
      <c r="B211" s="250"/>
      <c r="C211" s="193"/>
      <c r="D211" s="249"/>
      <c r="G211" s="251"/>
      <c r="H211" s="251"/>
      <c r="I211" s="274"/>
      <c r="J211" s="251"/>
      <c r="K211" s="275"/>
      <c r="L211" s="253"/>
      <c r="M211" s="276"/>
      <c r="N211" s="277"/>
      <c r="O211" s="278"/>
      <c r="P211" s="277"/>
      <c r="Q211" s="277"/>
      <c r="R211" s="277"/>
      <c r="S211" s="278"/>
      <c r="T211" s="277"/>
      <c r="U211" s="277"/>
      <c r="V211" s="277"/>
      <c r="W211" s="278"/>
      <c r="X211" s="277"/>
      <c r="Y211" s="277"/>
      <c r="Z211" s="277"/>
      <c r="AA211" s="278"/>
      <c r="AB211" s="277"/>
      <c r="AC211" s="277"/>
      <c r="AD211" s="277"/>
      <c r="AE211" s="278"/>
      <c r="AF211" s="277"/>
      <c r="AG211" s="277"/>
      <c r="AH211" s="277"/>
      <c r="AI211" s="278"/>
      <c r="AJ211" s="277"/>
      <c r="AK211" s="277"/>
      <c r="AL211" s="277"/>
      <c r="AM211" s="278"/>
      <c r="AN211" s="277"/>
      <c r="AO211" s="277"/>
      <c r="AP211" s="277"/>
      <c r="AQ211" s="278"/>
      <c r="AR211" s="277"/>
      <c r="AS211" s="277"/>
      <c r="AT211" s="280"/>
      <c r="AU211" s="276"/>
      <c r="AV211" s="276"/>
      <c r="AW211" s="276"/>
      <c r="AX211" s="276"/>
      <c r="AY211" s="276"/>
      <c r="AZ211" s="276"/>
      <c r="BA211" s="276"/>
      <c r="BB211" s="276"/>
      <c r="BC211" s="276"/>
      <c r="BD211" s="276"/>
      <c r="BE211" s="276"/>
      <c r="BF211" s="276"/>
    </row>
    <row r="212" s="196" customFormat="1" ht="14" spans="1:58">
      <c r="A212" s="249"/>
      <c r="B212" s="250"/>
      <c r="C212" s="193"/>
      <c r="D212" s="249"/>
      <c r="G212" s="251"/>
      <c r="H212" s="251"/>
      <c r="I212" s="274"/>
      <c r="J212" s="251"/>
      <c r="K212" s="275"/>
      <c r="L212" s="253"/>
      <c r="M212" s="276"/>
      <c r="N212" s="277"/>
      <c r="O212" s="278"/>
      <c r="P212" s="277"/>
      <c r="Q212" s="277"/>
      <c r="R212" s="277"/>
      <c r="S212" s="278"/>
      <c r="T212" s="277"/>
      <c r="U212" s="277"/>
      <c r="V212" s="277"/>
      <c r="W212" s="278"/>
      <c r="X212" s="277"/>
      <c r="Y212" s="277"/>
      <c r="Z212" s="277"/>
      <c r="AA212" s="278"/>
      <c r="AB212" s="277"/>
      <c r="AC212" s="277"/>
      <c r="AD212" s="277"/>
      <c r="AE212" s="278"/>
      <c r="AF212" s="277"/>
      <c r="AG212" s="277"/>
      <c r="AH212" s="277"/>
      <c r="AI212" s="278"/>
      <c r="AJ212" s="277"/>
      <c r="AK212" s="277"/>
      <c r="AL212" s="277"/>
      <c r="AM212" s="278"/>
      <c r="AN212" s="277"/>
      <c r="AO212" s="277"/>
      <c r="AP212" s="277"/>
      <c r="AQ212" s="278"/>
      <c r="AR212" s="277"/>
      <c r="AS212" s="277"/>
      <c r="AT212" s="280"/>
      <c r="AU212" s="276"/>
      <c r="AV212" s="276"/>
      <c r="AW212" s="276"/>
      <c r="AX212" s="276"/>
      <c r="AY212" s="276"/>
      <c r="AZ212" s="276"/>
      <c r="BA212" s="276"/>
      <c r="BB212" s="276"/>
      <c r="BC212" s="276"/>
      <c r="BD212" s="276"/>
      <c r="BE212" s="276"/>
      <c r="BF212" s="276"/>
    </row>
    <row r="213" s="196" customFormat="1" ht="14" spans="1:58">
      <c r="A213" s="249"/>
      <c r="B213" s="250"/>
      <c r="C213" s="193"/>
      <c r="D213" s="249"/>
      <c r="G213" s="251"/>
      <c r="H213" s="251"/>
      <c r="I213" s="274"/>
      <c r="J213" s="251"/>
      <c r="K213" s="275"/>
      <c r="L213" s="253"/>
      <c r="M213" s="276"/>
      <c r="N213" s="277"/>
      <c r="O213" s="278"/>
      <c r="P213" s="277"/>
      <c r="Q213" s="277"/>
      <c r="R213" s="277"/>
      <c r="S213" s="278"/>
      <c r="T213" s="277"/>
      <c r="U213" s="277"/>
      <c r="V213" s="277"/>
      <c r="W213" s="278"/>
      <c r="X213" s="277"/>
      <c r="Y213" s="277"/>
      <c r="Z213" s="277"/>
      <c r="AA213" s="278"/>
      <c r="AB213" s="277"/>
      <c r="AC213" s="277"/>
      <c r="AD213" s="277"/>
      <c r="AE213" s="278"/>
      <c r="AF213" s="277"/>
      <c r="AG213" s="277"/>
      <c r="AH213" s="277"/>
      <c r="AI213" s="278"/>
      <c r="AJ213" s="277"/>
      <c r="AK213" s="277"/>
      <c r="AL213" s="277"/>
      <c r="AM213" s="278"/>
      <c r="AN213" s="277"/>
      <c r="AO213" s="277"/>
      <c r="AP213" s="277"/>
      <c r="AQ213" s="278"/>
      <c r="AR213" s="277"/>
      <c r="AS213" s="277"/>
      <c r="AT213" s="280"/>
      <c r="AU213" s="276"/>
      <c r="AV213" s="276"/>
      <c r="AW213" s="276"/>
      <c r="AX213" s="276"/>
      <c r="AY213" s="276"/>
      <c r="AZ213" s="276"/>
      <c r="BA213" s="276"/>
      <c r="BB213" s="276"/>
      <c r="BC213" s="276"/>
      <c r="BD213" s="276"/>
      <c r="BE213" s="276"/>
      <c r="BF213" s="276"/>
    </row>
    <row r="214" s="196" customFormat="1" ht="14" spans="1:58">
      <c r="A214" s="249"/>
      <c r="B214" s="250"/>
      <c r="C214" s="193"/>
      <c r="D214" s="249"/>
      <c r="G214" s="251"/>
      <c r="H214" s="251"/>
      <c r="I214" s="274"/>
      <c r="J214" s="251"/>
      <c r="K214" s="275"/>
      <c r="L214" s="253"/>
      <c r="M214" s="276"/>
      <c r="N214" s="277"/>
      <c r="O214" s="278"/>
      <c r="P214" s="277"/>
      <c r="Q214" s="277"/>
      <c r="R214" s="277"/>
      <c r="S214" s="278"/>
      <c r="T214" s="277"/>
      <c r="U214" s="277"/>
      <c r="V214" s="277"/>
      <c r="W214" s="278"/>
      <c r="X214" s="277"/>
      <c r="Y214" s="277"/>
      <c r="Z214" s="277"/>
      <c r="AA214" s="278"/>
      <c r="AB214" s="277"/>
      <c r="AC214" s="277"/>
      <c r="AD214" s="277"/>
      <c r="AE214" s="278"/>
      <c r="AF214" s="277"/>
      <c r="AG214" s="277"/>
      <c r="AH214" s="277"/>
      <c r="AI214" s="278"/>
      <c r="AJ214" s="277"/>
      <c r="AK214" s="277"/>
      <c r="AL214" s="277"/>
      <c r="AM214" s="278"/>
      <c r="AN214" s="277"/>
      <c r="AO214" s="277"/>
      <c r="AP214" s="277"/>
      <c r="AQ214" s="278"/>
      <c r="AR214" s="277"/>
      <c r="AS214" s="277"/>
      <c r="AT214" s="280"/>
      <c r="AU214" s="276"/>
      <c r="AV214" s="276"/>
      <c r="AW214" s="276"/>
      <c r="AX214" s="276"/>
      <c r="AY214" s="276"/>
      <c r="AZ214" s="276"/>
      <c r="BA214" s="276"/>
      <c r="BB214" s="276"/>
      <c r="BC214" s="276"/>
      <c r="BD214" s="276"/>
      <c r="BE214" s="276"/>
      <c r="BF214" s="276"/>
    </row>
    <row r="215" s="196" customFormat="1" ht="14" spans="1:58">
      <c r="A215" s="249"/>
      <c r="B215" s="250"/>
      <c r="C215" s="193"/>
      <c r="D215" s="249"/>
      <c r="G215" s="251"/>
      <c r="H215" s="251"/>
      <c r="I215" s="274"/>
      <c r="J215" s="251"/>
      <c r="K215" s="275"/>
      <c r="L215" s="253"/>
      <c r="M215" s="276"/>
      <c r="N215" s="277"/>
      <c r="O215" s="278"/>
      <c r="P215" s="277"/>
      <c r="Q215" s="277"/>
      <c r="R215" s="277"/>
      <c r="S215" s="278"/>
      <c r="T215" s="277"/>
      <c r="U215" s="277"/>
      <c r="V215" s="277"/>
      <c r="W215" s="278"/>
      <c r="X215" s="277"/>
      <c r="Y215" s="277"/>
      <c r="Z215" s="277"/>
      <c r="AA215" s="278"/>
      <c r="AB215" s="277"/>
      <c r="AC215" s="277"/>
      <c r="AD215" s="277"/>
      <c r="AE215" s="278"/>
      <c r="AF215" s="277"/>
      <c r="AG215" s="277"/>
      <c r="AH215" s="277"/>
      <c r="AI215" s="278"/>
      <c r="AJ215" s="277"/>
      <c r="AK215" s="277"/>
      <c r="AL215" s="277"/>
      <c r="AM215" s="278"/>
      <c r="AN215" s="277"/>
      <c r="AO215" s="277"/>
      <c r="AP215" s="277"/>
      <c r="AQ215" s="278"/>
      <c r="AR215" s="277"/>
      <c r="AS215" s="277"/>
      <c r="AT215" s="280"/>
      <c r="AU215" s="276"/>
      <c r="AV215" s="276"/>
      <c r="AW215" s="276"/>
      <c r="AX215" s="276"/>
      <c r="AY215" s="276"/>
      <c r="AZ215" s="276"/>
      <c r="BA215" s="276"/>
      <c r="BB215" s="276"/>
      <c r="BC215" s="276"/>
      <c r="BD215" s="276"/>
      <c r="BE215" s="276"/>
      <c r="BF215" s="276"/>
    </row>
    <row r="216" s="196" customFormat="1" ht="14" spans="1:58">
      <c r="A216" s="249"/>
      <c r="B216" s="250"/>
      <c r="C216" s="193"/>
      <c r="D216" s="249"/>
      <c r="G216" s="251"/>
      <c r="H216" s="251"/>
      <c r="I216" s="274"/>
      <c r="J216" s="251"/>
      <c r="K216" s="275"/>
      <c r="L216" s="253"/>
      <c r="M216" s="276"/>
      <c r="N216" s="277"/>
      <c r="O216" s="278"/>
      <c r="P216" s="277"/>
      <c r="Q216" s="277"/>
      <c r="R216" s="277"/>
      <c r="S216" s="278"/>
      <c r="T216" s="277"/>
      <c r="U216" s="277"/>
      <c r="V216" s="277"/>
      <c r="W216" s="278"/>
      <c r="X216" s="277"/>
      <c r="Y216" s="277"/>
      <c r="Z216" s="277"/>
      <c r="AA216" s="278"/>
      <c r="AB216" s="277"/>
      <c r="AC216" s="277"/>
      <c r="AD216" s="277"/>
      <c r="AE216" s="278"/>
      <c r="AF216" s="277"/>
      <c r="AG216" s="277"/>
      <c r="AH216" s="277"/>
      <c r="AI216" s="278"/>
      <c r="AJ216" s="277"/>
      <c r="AK216" s="277"/>
      <c r="AL216" s="277"/>
      <c r="AM216" s="278"/>
      <c r="AN216" s="277"/>
      <c r="AO216" s="277"/>
      <c r="AP216" s="277"/>
      <c r="AQ216" s="278"/>
      <c r="AR216" s="277"/>
      <c r="AS216" s="277"/>
      <c r="AT216" s="280"/>
      <c r="AU216" s="276"/>
      <c r="AV216" s="276"/>
      <c r="AW216" s="276"/>
      <c r="AX216" s="276"/>
      <c r="AY216" s="276"/>
      <c r="AZ216" s="276"/>
      <c r="BA216" s="276"/>
      <c r="BB216" s="276"/>
      <c r="BC216" s="276"/>
      <c r="BD216" s="276"/>
      <c r="BE216" s="276"/>
      <c r="BF216" s="276"/>
    </row>
    <row r="217" s="196" customFormat="1" ht="14" spans="1:58">
      <c r="A217" s="249"/>
      <c r="B217" s="250"/>
      <c r="C217" s="193"/>
      <c r="D217" s="249"/>
      <c r="G217" s="251"/>
      <c r="H217" s="251"/>
      <c r="I217" s="274"/>
      <c r="J217" s="251"/>
      <c r="K217" s="275"/>
      <c r="L217" s="253"/>
      <c r="M217" s="276"/>
      <c r="N217" s="277"/>
      <c r="O217" s="278"/>
      <c r="P217" s="277"/>
      <c r="Q217" s="277"/>
      <c r="R217" s="277"/>
      <c r="S217" s="278"/>
      <c r="T217" s="277"/>
      <c r="U217" s="277"/>
      <c r="V217" s="277"/>
      <c r="W217" s="278"/>
      <c r="X217" s="277"/>
      <c r="Y217" s="277"/>
      <c r="Z217" s="277"/>
      <c r="AA217" s="278"/>
      <c r="AB217" s="277"/>
      <c r="AC217" s="277"/>
      <c r="AD217" s="277"/>
      <c r="AE217" s="278"/>
      <c r="AF217" s="277"/>
      <c r="AG217" s="277"/>
      <c r="AH217" s="277"/>
      <c r="AI217" s="278"/>
      <c r="AJ217" s="277"/>
      <c r="AK217" s="277"/>
      <c r="AL217" s="277"/>
      <c r="AM217" s="278"/>
      <c r="AN217" s="277"/>
      <c r="AO217" s="277"/>
      <c r="AP217" s="277"/>
      <c r="AQ217" s="278"/>
      <c r="AR217" s="277"/>
      <c r="AS217" s="277"/>
      <c r="AT217" s="280"/>
      <c r="AU217" s="276"/>
      <c r="AV217" s="276"/>
      <c r="AW217" s="276"/>
      <c r="AX217" s="276"/>
      <c r="AY217" s="276"/>
      <c r="AZ217" s="276"/>
      <c r="BA217" s="276"/>
      <c r="BB217" s="276"/>
      <c r="BC217" s="276"/>
      <c r="BD217" s="276"/>
      <c r="BE217" s="276"/>
      <c r="BF217" s="276"/>
    </row>
    <row r="218" s="196" customFormat="1" ht="14" spans="1:58">
      <c r="A218" s="249"/>
      <c r="B218" s="250"/>
      <c r="C218" s="193"/>
      <c r="D218" s="249"/>
      <c r="G218" s="251"/>
      <c r="H218" s="251"/>
      <c r="I218" s="274"/>
      <c r="J218" s="251"/>
      <c r="K218" s="275"/>
      <c r="L218" s="253"/>
      <c r="M218" s="276"/>
      <c r="N218" s="277"/>
      <c r="O218" s="278"/>
      <c r="P218" s="277"/>
      <c r="Q218" s="277"/>
      <c r="R218" s="277"/>
      <c r="S218" s="278"/>
      <c r="T218" s="277"/>
      <c r="U218" s="277"/>
      <c r="V218" s="277"/>
      <c r="W218" s="278"/>
      <c r="X218" s="277"/>
      <c r="Y218" s="277"/>
      <c r="Z218" s="277"/>
      <c r="AA218" s="278"/>
      <c r="AB218" s="277"/>
      <c r="AC218" s="277"/>
      <c r="AD218" s="277"/>
      <c r="AE218" s="278"/>
      <c r="AF218" s="277"/>
      <c r="AG218" s="277"/>
      <c r="AH218" s="277"/>
      <c r="AI218" s="278"/>
      <c r="AJ218" s="277"/>
      <c r="AK218" s="277"/>
      <c r="AL218" s="277"/>
      <c r="AM218" s="278"/>
      <c r="AN218" s="277"/>
      <c r="AO218" s="277"/>
      <c r="AP218" s="277"/>
      <c r="AQ218" s="278"/>
      <c r="AR218" s="277"/>
      <c r="AS218" s="277"/>
      <c r="AT218" s="280"/>
      <c r="AU218" s="276"/>
      <c r="AV218" s="276"/>
      <c r="AW218" s="276"/>
      <c r="AX218" s="276"/>
      <c r="AY218" s="276"/>
      <c r="AZ218" s="276"/>
      <c r="BA218" s="276"/>
      <c r="BB218" s="276"/>
      <c r="BC218" s="276"/>
      <c r="BD218" s="276"/>
      <c r="BE218" s="276"/>
      <c r="BF218" s="276"/>
    </row>
    <row r="219" s="196" customFormat="1" ht="14" spans="1:58">
      <c r="A219" s="249"/>
      <c r="B219" s="250"/>
      <c r="C219" s="193"/>
      <c r="D219" s="249"/>
      <c r="G219" s="251"/>
      <c r="H219" s="251"/>
      <c r="I219" s="274"/>
      <c r="J219" s="251"/>
      <c r="K219" s="275"/>
      <c r="L219" s="253"/>
      <c r="M219" s="276"/>
      <c r="N219" s="277"/>
      <c r="O219" s="278"/>
      <c r="P219" s="277"/>
      <c r="Q219" s="277"/>
      <c r="R219" s="277"/>
      <c r="S219" s="278"/>
      <c r="T219" s="277"/>
      <c r="U219" s="277"/>
      <c r="V219" s="277"/>
      <c r="W219" s="278"/>
      <c r="X219" s="277"/>
      <c r="Y219" s="277"/>
      <c r="Z219" s="277"/>
      <c r="AA219" s="278"/>
      <c r="AB219" s="277"/>
      <c r="AC219" s="277"/>
      <c r="AD219" s="277"/>
      <c r="AE219" s="278"/>
      <c r="AF219" s="277"/>
      <c r="AG219" s="277"/>
      <c r="AH219" s="277"/>
      <c r="AI219" s="278"/>
      <c r="AJ219" s="277"/>
      <c r="AK219" s="277"/>
      <c r="AL219" s="277"/>
      <c r="AM219" s="278"/>
      <c r="AN219" s="277"/>
      <c r="AO219" s="277"/>
      <c r="AP219" s="277"/>
      <c r="AQ219" s="278"/>
      <c r="AR219" s="277"/>
      <c r="AS219" s="277"/>
      <c r="AT219" s="280"/>
      <c r="AU219" s="276"/>
      <c r="AV219" s="276"/>
      <c r="AW219" s="276"/>
      <c r="AX219" s="276"/>
      <c r="AY219" s="276"/>
      <c r="AZ219" s="276"/>
      <c r="BA219" s="276"/>
      <c r="BB219" s="276"/>
      <c r="BC219" s="276"/>
      <c r="BD219" s="276"/>
      <c r="BE219" s="276"/>
      <c r="BF219" s="276"/>
    </row>
    <row r="220" s="196" customFormat="1" ht="14" spans="1:58">
      <c r="A220" s="249"/>
      <c r="B220" s="250"/>
      <c r="C220" s="193"/>
      <c r="D220" s="249"/>
      <c r="G220" s="251"/>
      <c r="H220" s="251"/>
      <c r="I220" s="274"/>
      <c r="J220" s="251"/>
      <c r="K220" s="275"/>
      <c r="L220" s="253"/>
      <c r="M220" s="276"/>
      <c r="N220" s="277"/>
      <c r="O220" s="278"/>
      <c r="P220" s="277"/>
      <c r="Q220" s="277"/>
      <c r="R220" s="277"/>
      <c r="S220" s="278"/>
      <c r="T220" s="277"/>
      <c r="U220" s="277"/>
      <c r="V220" s="277"/>
      <c r="W220" s="278"/>
      <c r="X220" s="277"/>
      <c r="Y220" s="277"/>
      <c r="Z220" s="277"/>
      <c r="AA220" s="278"/>
      <c r="AB220" s="277"/>
      <c r="AC220" s="277"/>
      <c r="AD220" s="277"/>
      <c r="AE220" s="278"/>
      <c r="AF220" s="277"/>
      <c r="AG220" s="277"/>
      <c r="AH220" s="277"/>
      <c r="AI220" s="278"/>
      <c r="AJ220" s="277"/>
      <c r="AK220" s="277"/>
      <c r="AL220" s="277"/>
      <c r="AM220" s="278"/>
      <c r="AN220" s="277"/>
      <c r="AO220" s="277"/>
      <c r="AP220" s="277"/>
      <c r="AQ220" s="278"/>
      <c r="AR220" s="277"/>
      <c r="AS220" s="277"/>
      <c r="AT220" s="280"/>
      <c r="AU220" s="276"/>
      <c r="AV220" s="276"/>
      <c r="AW220" s="276"/>
      <c r="AX220" s="276"/>
      <c r="AY220" s="276"/>
      <c r="AZ220" s="276"/>
      <c r="BA220" s="276"/>
      <c r="BB220" s="276"/>
      <c r="BC220" s="276"/>
      <c r="BD220" s="276"/>
      <c r="BE220" s="276"/>
      <c r="BF220" s="276"/>
    </row>
    <row r="221" s="196" customFormat="1" ht="14" spans="1:58">
      <c r="A221" s="249"/>
      <c r="B221" s="250"/>
      <c r="C221" s="193"/>
      <c r="D221" s="249"/>
      <c r="G221" s="251"/>
      <c r="H221" s="251"/>
      <c r="I221" s="274"/>
      <c r="J221" s="251"/>
      <c r="K221" s="275"/>
      <c r="L221" s="253"/>
      <c r="M221" s="276"/>
      <c r="N221" s="277"/>
      <c r="O221" s="278"/>
      <c r="P221" s="277"/>
      <c r="Q221" s="277"/>
      <c r="R221" s="277"/>
      <c r="S221" s="278"/>
      <c r="T221" s="277"/>
      <c r="U221" s="277"/>
      <c r="V221" s="277"/>
      <c r="W221" s="278"/>
      <c r="X221" s="277"/>
      <c r="Y221" s="277"/>
      <c r="Z221" s="277"/>
      <c r="AA221" s="278"/>
      <c r="AB221" s="277"/>
      <c r="AC221" s="277"/>
      <c r="AD221" s="277"/>
      <c r="AE221" s="278"/>
      <c r="AF221" s="277"/>
      <c r="AG221" s="277"/>
      <c r="AH221" s="277"/>
      <c r="AI221" s="278"/>
      <c r="AJ221" s="277"/>
      <c r="AK221" s="277"/>
      <c r="AL221" s="277"/>
      <c r="AM221" s="278"/>
      <c r="AN221" s="277"/>
      <c r="AO221" s="277"/>
      <c r="AP221" s="277"/>
      <c r="AQ221" s="278"/>
      <c r="AR221" s="277"/>
      <c r="AS221" s="277"/>
      <c r="AT221" s="280"/>
      <c r="AU221" s="276"/>
      <c r="AV221" s="276"/>
      <c r="AW221" s="276"/>
      <c r="AX221" s="276"/>
      <c r="AY221" s="276"/>
      <c r="AZ221" s="276"/>
      <c r="BA221" s="276"/>
      <c r="BB221" s="276"/>
      <c r="BC221" s="276"/>
      <c r="BD221" s="276"/>
      <c r="BE221" s="276"/>
      <c r="BF221" s="276"/>
    </row>
    <row r="222" s="196" customFormat="1" ht="14" spans="1:58">
      <c r="A222" s="249"/>
      <c r="B222" s="250"/>
      <c r="C222" s="193"/>
      <c r="D222" s="249"/>
      <c r="G222" s="251"/>
      <c r="H222" s="251"/>
      <c r="I222" s="274"/>
      <c r="J222" s="251"/>
      <c r="K222" s="275"/>
      <c r="L222" s="253"/>
      <c r="M222" s="276"/>
      <c r="N222" s="277"/>
      <c r="O222" s="278"/>
      <c r="P222" s="277"/>
      <c r="Q222" s="277"/>
      <c r="R222" s="277"/>
      <c r="S222" s="278"/>
      <c r="T222" s="277"/>
      <c r="U222" s="277"/>
      <c r="V222" s="277"/>
      <c r="W222" s="278"/>
      <c r="X222" s="277"/>
      <c r="Y222" s="277"/>
      <c r="Z222" s="277"/>
      <c r="AA222" s="278"/>
      <c r="AB222" s="277"/>
      <c r="AC222" s="277"/>
      <c r="AD222" s="277"/>
      <c r="AE222" s="278"/>
      <c r="AF222" s="277"/>
      <c r="AG222" s="277"/>
      <c r="AH222" s="277"/>
      <c r="AI222" s="278"/>
      <c r="AJ222" s="277"/>
      <c r="AK222" s="277"/>
      <c r="AL222" s="277"/>
      <c r="AM222" s="278"/>
      <c r="AN222" s="277"/>
      <c r="AO222" s="277"/>
      <c r="AP222" s="277"/>
      <c r="AQ222" s="278"/>
      <c r="AR222" s="277"/>
      <c r="AS222" s="277"/>
      <c r="AT222" s="280"/>
      <c r="AU222" s="276"/>
      <c r="AV222" s="276"/>
      <c r="AW222" s="276"/>
      <c r="AX222" s="276"/>
      <c r="AY222" s="276"/>
      <c r="AZ222" s="276"/>
      <c r="BA222" s="276"/>
      <c r="BB222" s="276"/>
      <c r="BC222" s="276"/>
      <c r="BD222" s="276"/>
      <c r="BE222" s="276"/>
      <c r="BF222" s="276"/>
    </row>
    <row r="223" s="196" customFormat="1" ht="14" spans="1:58">
      <c r="A223" s="249"/>
      <c r="B223" s="250"/>
      <c r="C223" s="193"/>
      <c r="D223" s="249"/>
      <c r="G223" s="251"/>
      <c r="H223" s="251"/>
      <c r="I223" s="274"/>
      <c r="J223" s="251"/>
      <c r="K223" s="275"/>
      <c r="L223" s="253"/>
      <c r="M223" s="276"/>
      <c r="N223" s="277"/>
      <c r="O223" s="278"/>
      <c r="P223" s="277"/>
      <c r="Q223" s="277"/>
      <c r="R223" s="277"/>
      <c r="S223" s="278"/>
      <c r="T223" s="277"/>
      <c r="U223" s="277"/>
      <c r="V223" s="277"/>
      <c r="W223" s="278"/>
      <c r="X223" s="277"/>
      <c r="Y223" s="277"/>
      <c r="Z223" s="277"/>
      <c r="AA223" s="278"/>
      <c r="AB223" s="277"/>
      <c r="AC223" s="277"/>
      <c r="AD223" s="277"/>
      <c r="AE223" s="278"/>
      <c r="AF223" s="277"/>
      <c r="AG223" s="277"/>
      <c r="AH223" s="277"/>
      <c r="AI223" s="278"/>
      <c r="AJ223" s="277"/>
      <c r="AK223" s="277"/>
      <c r="AL223" s="277"/>
      <c r="AM223" s="278"/>
      <c r="AN223" s="277"/>
      <c r="AO223" s="277"/>
      <c r="AP223" s="277"/>
      <c r="AQ223" s="278"/>
      <c r="AR223" s="277"/>
      <c r="AS223" s="277"/>
      <c r="AT223" s="280"/>
      <c r="AU223" s="276"/>
      <c r="AV223" s="276"/>
      <c r="AW223" s="276"/>
      <c r="AX223" s="276"/>
      <c r="AY223" s="276"/>
      <c r="AZ223" s="276"/>
      <c r="BA223" s="276"/>
      <c r="BB223" s="276"/>
      <c r="BC223" s="276"/>
      <c r="BD223" s="276"/>
      <c r="BE223" s="276"/>
      <c r="BF223" s="276"/>
    </row>
    <row r="224" s="196" customFormat="1" ht="14" spans="1:58">
      <c r="A224" s="249"/>
      <c r="B224" s="250"/>
      <c r="C224" s="193"/>
      <c r="D224" s="249"/>
      <c r="G224" s="251"/>
      <c r="H224" s="251"/>
      <c r="I224" s="274"/>
      <c r="J224" s="251"/>
      <c r="K224" s="275"/>
      <c r="L224" s="253"/>
      <c r="M224" s="276"/>
      <c r="N224" s="277"/>
      <c r="O224" s="278"/>
      <c r="P224" s="277"/>
      <c r="Q224" s="277"/>
      <c r="R224" s="277"/>
      <c r="S224" s="278"/>
      <c r="T224" s="277"/>
      <c r="U224" s="277"/>
      <c r="V224" s="277"/>
      <c r="W224" s="278"/>
      <c r="X224" s="277"/>
      <c r="Y224" s="277"/>
      <c r="Z224" s="277"/>
      <c r="AA224" s="278"/>
      <c r="AB224" s="277"/>
      <c r="AC224" s="277"/>
      <c r="AD224" s="277"/>
      <c r="AE224" s="278"/>
      <c r="AF224" s="277"/>
      <c r="AG224" s="277"/>
      <c r="AH224" s="277"/>
      <c r="AI224" s="278"/>
      <c r="AJ224" s="277"/>
      <c r="AK224" s="277"/>
      <c r="AL224" s="277"/>
      <c r="AM224" s="278"/>
      <c r="AN224" s="277"/>
      <c r="AO224" s="277"/>
      <c r="AP224" s="277"/>
      <c r="AQ224" s="278"/>
      <c r="AR224" s="277"/>
      <c r="AS224" s="277"/>
      <c r="AT224" s="280"/>
      <c r="AU224" s="276"/>
      <c r="AV224" s="276"/>
      <c r="AW224" s="276"/>
      <c r="AX224" s="276"/>
      <c r="AY224" s="276"/>
      <c r="AZ224" s="276"/>
      <c r="BA224" s="276"/>
      <c r="BB224" s="276"/>
      <c r="BC224" s="276"/>
      <c r="BD224" s="276"/>
      <c r="BE224" s="276"/>
      <c r="BF224" s="276"/>
    </row>
    <row r="225" s="196" customFormat="1" ht="14" spans="1:58">
      <c r="A225" s="249"/>
      <c r="B225" s="250"/>
      <c r="C225" s="193"/>
      <c r="D225" s="249"/>
      <c r="G225" s="251"/>
      <c r="H225" s="251"/>
      <c r="I225" s="274"/>
      <c r="J225" s="251"/>
      <c r="K225" s="275"/>
      <c r="L225" s="253"/>
      <c r="M225" s="276"/>
      <c r="N225" s="277"/>
      <c r="O225" s="278"/>
      <c r="P225" s="277"/>
      <c r="Q225" s="277"/>
      <c r="R225" s="277"/>
      <c r="S225" s="278"/>
      <c r="T225" s="277"/>
      <c r="U225" s="277"/>
      <c r="V225" s="277"/>
      <c r="W225" s="278"/>
      <c r="X225" s="277"/>
      <c r="Y225" s="277"/>
      <c r="Z225" s="277"/>
      <c r="AA225" s="278"/>
      <c r="AB225" s="277"/>
      <c r="AC225" s="277"/>
      <c r="AD225" s="277"/>
      <c r="AE225" s="278"/>
      <c r="AF225" s="277"/>
      <c r="AG225" s="277"/>
      <c r="AH225" s="277"/>
      <c r="AI225" s="278"/>
      <c r="AJ225" s="277"/>
      <c r="AK225" s="277"/>
      <c r="AL225" s="277"/>
      <c r="AM225" s="278"/>
      <c r="AN225" s="277"/>
      <c r="AO225" s="277"/>
      <c r="AP225" s="277"/>
      <c r="AQ225" s="278"/>
      <c r="AR225" s="277"/>
      <c r="AS225" s="277"/>
      <c r="AT225" s="280"/>
      <c r="AU225" s="276"/>
      <c r="AV225" s="276"/>
      <c r="AW225" s="276"/>
      <c r="AX225" s="276"/>
      <c r="AY225" s="276"/>
      <c r="AZ225" s="276"/>
      <c r="BA225" s="276"/>
      <c r="BB225" s="276"/>
      <c r="BC225" s="276"/>
      <c r="BD225" s="276"/>
      <c r="BE225" s="276"/>
      <c r="BF225" s="276"/>
    </row>
    <row r="226" s="196" customFormat="1" ht="14" spans="1:58">
      <c r="A226" s="249"/>
      <c r="B226" s="250"/>
      <c r="C226" s="193"/>
      <c r="D226" s="249"/>
      <c r="G226" s="251"/>
      <c r="H226" s="251"/>
      <c r="I226" s="274"/>
      <c r="J226" s="251"/>
      <c r="K226" s="275"/>
      <c r="L226" s="253"/>
      <c r="M226" s="276"/>
      <c r="N226" s="277"/>
      <c r="O226" s="278"/>
      <c r="P226" s="277"/>
      <c r="Q226" s="277"/>
      <c r="R226" s="277"/>
      <c r="S226" s="278"/>
      <c r="T226" s="277"/>
      <c r="U226" s="277"/>
      <c r="V226" s="277"/>
      <c r="W226" s="278"/>
      <c r="X226" s="277"/>
      <c r="Y226" s="277"/>
      <c r="Z226" s="277"/>
      <c r="AA226" s="278"/>
      <c r="AB226" s="277"/>
      <c r="AC226" s="277"/>
      <c r="AD226" s="277"/>
      <c r="AE226" s="278"/>
      <c r="AF226" s="277"/>
      <c r="AG226" s="277"/>
      <c r="AH226" s="277"/>
      <c r="AI226" s="278"/>
      <c r="AJ226" s="277"/>
      <c r="AK226" s="277"/>
      <c r="AL226" s="277"/>
      <c r="AM226" s="278"/>
      <c r="AN226" s="277"/>
      <c r="AO226" s="277"/>
      <c r="AP226" s="277"/>
      <c r="AQ226" s="278"/>
      <c r="AR226" s="277"/>
      <c r="AS226" s="277"/>
      <c r="AT226" s="280"/>
      <c r="AU226" s="276"/>
      <c r="AV226" s="276"/>
      <c r="AW226" s="276"/>
      <c r="AX226" s="276"/>
      <c r="AY226" s="276"/>
      <c r="AZ226" s="276"/>
      <c r="BA226" s="276"/>
      <c r="BB226" s="276"/>
      <c r="BC226" s="276"/>
      <c r="BD226" s="276"/>
      <c r="BE226" s="276"/>
      <c r="BF226" s="276"/>
    </row>
    <row r="227" s="196" customFormat="1" ht="14" spans="1:58">
      <c r="A227" s="249"/>
      <c r="B227" s="250"/>
      <c r="C227" s="193"/>
      <c r="D227" s="249"/>
      <c r="G227" s="251"/>
      <c r="H227" s="251"/>
      <c r="I227" s="274"/>
      <c r="J227" s="251"/>
      <c r="K227" s="275"/>
      <c r="L227" s="253"/>
      <c r="M227" s="276"/>
      <c r="N227" s="277"/>
      <c r="O227" s="278"/>
      <c r="P227" s="277"/>
      <c r="Q227" s="277"/>
      <c r="R227" s="277"/>
      <c r="S227" s="278"/>
      <c r="T227" s="277"/>
      <c r="U227" s="277"/>
      <c r="V227" s="277"/>
      <c r="W227" s="278"/>
      <c r="X227" s="277"/>
      <c r="Y227" s="277"/>
      <c r="Z227" s="277"/>
      <c r="AA227" s="278"/>
      <c r="AB227" s="277"/>
      <c r="AC227" s="277"/>
      <c r="AD227" s="277"/>
      <c r="AE227" s="278"/>
      <c r="AF227" s="277"/>
      <c r="AG227" s="277"/>
      <c r="AH227" s="277"/>
      <c r="AI227" s="278"/>
      <c r="AJ227" s="277"/>
      <c r="AK227" s="277"/>
      <c r="AL227" s="277"/>
      <c r="AM227" s="278"/>
      <c r="AN227" s="277"/>
      <c r="AO227" s="277"/>
      <c r="AP227" s="277"/>
      <c r="AQ227" s="278"/>
      <c r="AR227" s="277"/>
      <c r="AS227" s="277"/>
      <c r="AT227" s="280"/>
      <c r="AU227" s="276"/>
      <c r="AV227" s="276"/>
      <c r="AW227" s="276"/>
      <c r="AX227" s="276"/>
      <c r="AY227" s="276"/>
      <c r="AZ227" s="276"/>
      <c r="BA227" s="276"/>
      <c r="BB227" s="276"/>
      <c r="BC227" s="276"/>
      <c r="BD227" s="276"/>
      <c r="BE227" s="276"/>
      <c r="BF227" s="276"/>
    </row>
    <row r="228" s="196" customFormat="1" ht="14" spans="1:58">
      <c r="A228" s="249"/>
      <c r="B228" s="250"/>
      <c r="C228" s="193"/>
      <c r="D228" s="249"/>
      <c r="G228" s="251"/>
      <c r="H228" s="251"/>
      <c r="I228" s="274"/>
      <c r="J228" s="251"/>
      <c r="K228" s="275"/>
      <c r="L228" s="253"/>
      <c r="M228" s="276"/>
      <c r="N228" s="277"/>
      <c r="O228" s="278"/>
      <c r="P228" s="277"/>
      <c r="Q228" s="277"/>
      <c r="R228" s="277"/>
      <c r="S228" s="278"/>
      <c r="T228" s="277"/>
      <c r="U228" s="277"/>
      <c r="V228" s="277"/>
      <c r="W228" s="278"/>
      <c r="X228" s="277"/>
      <c r="Y228" s="277"/>
      <c r="Z228" s="277"/>
      <c r="AA228" s="278"/>
      <c r="AB228" s="277"/>
      <c r="AC228" s="277"/>
      <c r="AD228" s="277"/>
      <c r="AE228" s="278"/>
      <c r="AF228" s="277"/>
      <c r="AG228" s="277"/>
      <c r="AH228" s="277"/>
      <c r="AI228" s="278"/>
      <c r="AJ228" s="277"/>
      <c r="AK228" s="277"/>
      <c r="AL228" s="277"/>
      <c r="AM228" s="278"/>
      <c r="AN228" s="277"/>
      <c r="AO228" s="277"/>
      <c r="AP228" s="277"/>
      <c r="AQ228" s="278"/>
      <c r="AR228" s="277"/>
      <c r="AS228" s="277"/>
      <c r="AT228" s="280"/>
      <c r="AU228" s="276"/>
      <c r="AV228" s="276"/>
      <c r="AW228" s="276"/>
      <c r="AX228" s="276"/>
      <c r="AY228" s="276"/>
      <c r="AZ228" s="276"/>
      <c r="BA228" s="276"/>
      <c r="BB228" s="276"/>
      <c r="BC228" s="276"/>
      <c r="BD228" s="276"/>
      <c r="BE228" s="276"/>
      <c r="BF228" s="276"/>
    </row>
    <row r="229" s="196" customFormat="1" ht="14" spans="1:58">
      <c r="A229" s="249"/>
      <c r="B229" s="250"/>
      <c r="C229" s="193"/>
      <c r="D229" s="249"/>
      <c r="G229" s="251"/>
      <c r="H229" s="251"/>
      <c r="I229" s="274"/>
      <c r="J229" s="251"/>
      <c r="K229" s="275"/>
      <c r="L229" s="253"/>
      <c r="M229" s="276"/>
      <c r="N229" s="277"/>
      <c r="O229" s="278"/>
      <c r="P229" s="277"/>
      <c r="Q229" s="277"/>
      <c r="R229" s="277"/>
      <c r="S229" s="278"/>
      <c r="T229" s="277"/>
      <c r="U229" s="277"/>
      <c r="V229" s="277"/>
      <c r="W229" s="278"/>
      <c r="X229" s="277"/>
      <c r="Y229" s="277"/>
      <c r="Z229" s="277"/>
      <c r="AA229" s="278"/>
      <c r="AB229" s="277"/>
      <c r="AC229" s="277"/>
      <c r="AD229" s="277"/>
      <c r="AE229" s="278"/>
      <c r="AF229" s="277"/>
      <c r="AG229" s="277"/>
      <c r="AH229" s="277"/>
      <c r="AI229" s="278"/>
      <c r="AJ229" s="277"/>
      <c r="AK229" s="277"/>
      <c r="AL229" s="277"/>
      <c r="AM229" s="278"/>
      <c r="AN229" s="277"/>
      <c r="AO229" s="277"/>
      <c r="AP229" s="277"/>
      <c r="AQ229" s="278"/>
      <c r="AR229" s="277"/>
      <c r="AS229" s="277"/>
      <c r="AT229" s="280"/>
      <c r="AU229" s="276"/>
      <c r="AV229" s="276"/>
      <c r="AW229" s="276"/>
      <c r="AX229" s="276"/>
      <c r="AY229" s="276"/>
      <c r="AZ229" s="276"/>
      <c r="BA229" s="276"/>
      <c r="BB229" s="276"/>
      <c r="BC229" s="276"/>
      <c r="BD229" s="276"/>
      <c r="BE229" s="276"/>
      <c r="BF229" s="276"/>
    </row>
    <row r="230" s="196" customFormat="1" ht="14" spans="1:58">
      <c r="A230" s="249"/>
      <c r="B230" s="250"/>
      <c r="C230" s="193"/>
      <c r="D230" s="249"/>
      <c r="G230" s="251"/>
      <c r="H230" s="251"/>
      <c r="I230" s="274"/>
      <c r="J230" s="251"/>
      <c r="K230" s="275"/>
      <c r="L230" s="253"/>
      <c r="M230" s="276"/>
      <c r="N230" s="277"/>
      <c r="O230" s="278"/>
      <c r="P230" s="277"/>
      <c r="Q230" s="277"/>
      <c r="R230" s="277"/>
      <c r="S230" s="278"/>
      <c r="T230" s="277"/>
      <c r="U230" s="277"/>
      <c r="V230" s="277"/>
      <c r="W230" s="278"/>
      <c r="X230" s="277"/>
      <c r="Y230" s="277"/>
      <c r="Z230" s="277"/>
      <c r="AA230" s="278"/>
      <c r="AB230" s="277"/>
      <c r="AC230" s="277"/>
      <c r="AD230" s="277"/>
      <c r="AE230" s="278"/>
      <c r="AF230" s="277"/>
      <c r="AG230" s="277"/>
      <c r="AH230" s="277"/>
      <c r="AI230" s="278"/>
      <c r="AJ230" s="277"/>
      <c r="AK230" s="277"/>
      <c r="AL230" s="277"/>
      <c r="AM230" s="278"/>
      <c r="AN230" s="277"/>
      <c r="AO230" s="277"/>
      <c r="AP230" s="277"/>
      <c r="AQ230" s="278"/>
      <c r="AR230" s="277"/>
      <c r="AS230" s="277"/>
      <c r="AT230" s="280"/>
      <c r="AU230" s="276"/>
      <c r="AV230" s="276"/>
      <c r="AW230" s="276"/>
      <c r="AX230" s="276"/>
      <c r="AY230" s="276"/>
      <c r="AZ230" s="276"/>
      <c r="BA230" s="276"/>
      <c r="BB230" s="276"/>
      <c r="BC230" s="276"/>
      <c r="BD230" s="276"/>
      <c r="BE230" s="276"/>
      <c r="BF230" s="276"/>
    </row>
    <row r="231" s="196" customFormat="1" ht="14" spans="1:58">
      <c r="A231" s="249"/>
      <c r="B231" s="250"/>
      <c r="C231" s="193"/>
      <c r="D231" s="249"/>
      <c r="G231" s="251"/>
      <c r="H231" s="251"/>
      <c r="I231" s="274"/>
      <c r="J231" s="251"/>
      <c r="K231" s="275"/>
      <c r="L231" s="253"/>
      <c r="M231" s="276"/>
      <c r="N231" s="277"/>
      <c r="O231" s="278"/>
      <c r="P231" s="277"/>
      <c r="Q231" s="277"/>
      <c r="R231" s="277"/>
      <c r="S231" s="278"/>
      <c r="T231" s="277"/>
      <c r="U231" s="277"/>
      <c r="V231" s="277"/>
      <c r="W231" s="278"/>
      <c r="X231" s="277"/>
      <c r="Y231" s="277"/>
      <c r="Z231" s="277"/>
      <c r="AA231" s="278"/>
      <c r="AB231" s="277"/>
      <c r="AC231" s="277"/>
      <c r="AD231" s="277"/>
      <c r="AE231" s="278"/>
      <c r="AF231" s="277"/>
      <c r="AG231" s="277"/>
      <c r="AH231" s="277"/>
      <c r="AI231" s="278"/>
      <c r="AJ231" s="277"/>
      <c r="AK231" s="277"/>
      <c r="AL231" s="277"/>
      <c r="AM231" s="278"/>
      <c r="AN231" s="277"/>
      <c r="AO231" s="277"/>
      <c r="AP231" s="277"/>
      <c r="AQ231" s="278"/>
      <c r="AR231" s="277"/>
      <c r="AS231" s="277"/>
      <c r="AT231" s="280"/>
      <c r="AU231" s="276"/>
      <c r="AV231" s="276"/>
      <c r="AW231" s="276"/>
      <c r="AX231" s="276"/>
      <c r="AY231" s="276"/>
      <c r="AZ231" s="276"/>
      <c r="BA231" s="276"/>
      <c r="BB231" s="276"/>
      <c r="BC231" s="276"/>
      <c r="BD231" s="276"/>
      <c r="BE231" s="276"/>
      <c r="BF231" s="276"/>
    </row>
    <row r="232" s="196" customFormat="1" ht="14" spans="1:58">
      <c r="A232" s="249"/>
      <c r="B232" s="250"/>
      <c r="C232" s="193"/>
      <c r="D232" s="249"/>
      <c r="G232" s="251"/>
      <c r="H232" s="251"/>
      <c r="I232" s="274"/>
      <c r="J232" s="251"/>
      <c r="K232" s="275"/>
      <c r="L232" s="253"/>
      <c r="M232" s="276"/>
      <c r="N232" s="277"/>
      <c r="O232" s="278"/>
      <c r="P232" s="277"/>
      <c r="Q232" s="277"/>
      <c r="R232" s="277"/>
      <c r="S232" s="278"/>
      <c r="T232" s="277"/>
      <c r="U232" s="277"/>
      <c r="V232" s="277"/>
      <c r="W232" s="278"/>
      <c r="X232" s="277"/>
      <c r="Y232" s="277"/>
      <c r="Z232" s="277"/>
      <c r="AA232" s="278"/>
      <c r="AB232" s="277"/>
      <c r="AC232" s="277"/>
      <c r="AD232" s="277"/>
      <c r="AE232" s="278"/>
      <c r="AF232" s="277"/>
      <c r="AG232" s="277"/>
      <c r="AH232" s="277"/>
      <c r="AI232" s="278"/>
      <c r="AJ232" s="277"/>
      <c r="AK232" s="277"/>
      <c r="AL232" s="277"/>
      <c r="AM232" s="278"/>
      <c r="AN232" s="277"/>
      <c r="AO232" s="277"/>
      <c r="AP232" s="277"/>
      <c r="AQ232" s="278"/>
      <c r="AR232" s="277"/>
      <c r="AS232" s="277"/>
      <c r="AT232" s="280"/>
      <c r="AU232" s="276"/>
      <c r="AV232" s="276"/>
      <c r="AW232" s="276"/>
      <c r="AX232" s="276"/>
      <c r="AY232" s="276"/>
      <c r="AZ232" s="276"/>
      <c r="BA232" s="276"/>
      <c r="BB232" s="276"/>
      <c r="BC232" s="276"/>
      <c r="BD232" s="276"/>
      <c r="BE232" s="276"/>
      <c r="BF232" s="276"/>
    </row>
    <row r="233" s="196" customFormat="1" ht="14" spans="1:58">
      <c r="A233" s="249"/>
      <c r="B233" s="250"/>
      <c r="C233" s="193"/>
      <c r="D233" s="249"/>
      <c r="G233" s="251"/>
      <c r="H233" s="251"/>
      <c r="I233" s="274"/>
      <c r="J233" s="251"/>
      <c r="K233" s="275"/>
      <c r="L233" s="253"/>
      <c r="M233" s="276"/>
      <c r="N233" s="277"/>
      <c r="O233" s="278"/>
      <c r="P233" s="277"/>
      <c r="Q233" s="277"/>
      <c r="R233" s="277"/>
      <c r="S233" s="278"/>
      <c r="T233" s="277"/>
      <c r="U233" s="277"/>
      <c r="V233" s="277"/>
      <c r="W233" s="278"/>
      <c r="X233" s="277"/>
      <c r="Y233" s="277"/>
      <c r="Z233" s="277"/>
      <c r="AA233" s="278"/>
      <c r="AB233" s="277"/>
      <c r="AC233" s="277"/>
      <c r="AD233" s="277"/>
      <c r="AE233" s="278"/>
      <c r="AF233" s="277"/>
      <c r="AG233" s="277"/>
      <c r="AH233" s="277"/>
      <c r="AI233" s="278"/>
      <c r="AJ233" s="277"/>
      <c r="AK233" s="277"/>
      <c r="AL233" s="277"/>
      <c r="AM233" s="278"/>
      <c r="AN233" s="277"/>
      <c r="AO233" s="277"/>
      <c r="AP233" s="277"/>
      <c r="AQ233" s="278"/>
      <c r="AR233" s="277"/>
      <c r="AS233" s="277"/>
      <c r="AT233" s="280"/>
      <c r="AU233" s="276"/>
      <c r="AV233" s="276"/>
      <c r="AW233" s="276"/>
      <c r="AX233" s="276"/>
      <c r="AY233" s="276"/>
      <c r="AZ233" s="276"/>
      <c r="BA233" s="276"/>
      <c r="BB233" s="276"/>
      <c r="BC233" s="276"/>
      <c r="BD233" s="276"/>
      <c r="BE233" s="276"/>
      <c r="BF233" s="276"/>
    </row>
    <row r="234" s="196" customFormat="1" ht="14" spans="1:58">
      <c r="A234" s="249"/>
      <c r="B234" s="250"/>
      <c r="C234" s="193"/>
      <c r="D234" s="249"/>
      <c r="G234" s="251"/>
      <c r="H234" s="251"/>
      <c r="I234" s="274"/>
      <c r="J234" s="251"/>
      <c r="K234" s="275"/>
      <c r="L234" s="253"/>
      <c r="M234" s="276"/>
      <c r="N234" s="277"/>
      <c r="O234" s="278"/>
      <c r="P234" s="277"/>
      <c r="Q234" s="277"/>
      <c r="R234" s="277"/>
      <c r="S234" s="278"/>
      <c r="T234" s="277"/>
      <c r="U234" s="277"/>
      <c r="V234" s="277"/>
      <c r="W234" s="278"/>
      <c r="X234" s="277"/>
      <c r="Y234" s="277"/>
      <c r="Z234" s="277"/>
      <c r="AA234" s="278"/>
      <c r="AB234" s="277"/>
      <c r="AC234" s="277"/>
      <c r="AD234" s="277"/>
      <c r="AE234" s="278"/>
      <c r="AF234" s="277"/>
      <c r="AG234" s="277"/>
      <c r="AH234" s="277"/>
      <c r="AI234" s="278"/>
      <c r="AJ234" s="277"/>
      <c r="AK234" s="277"/>
      <c r="AL234" s="277"/>
      <c r="AM234" s="278"/>
      <c r="AN234" s="277"/>
      <c r="AO234" s="277"/>
      <c r="AP234" s="277"/>
      <c r="AQ234" s="278"/>
      <c r="AR234" s="277"/>
      <c r="AS234" s="277"/>
      <c r="AT234" s="280"/>
      <c r="AU234" s="276"/>
      <c r="AV234" s="276"/>
      <c r="AW234" s="276"/>
      <c r="AX234" s="276"/>
      <c r="AY234" s="276"/>
      <c r="AZ234" s="276"/>
      <c r="BA234" s="276"/>
      <c r="BB234" s="276"/>
      <c r="BC234" s="276"/>
      <c r="BD234" s="276"/>
      <c r="BE234" s="276"/>
      <c r="BF234" s="276"/>
    </row>
    <row r="235" s="196" customFormat="1" ht="14" spans="1:58">
      <c r="A235" s="249"/>
      <c r="B235" s="250"/>
      <c r="C235" s="193"/>
      <c r="D235" s="249"/>
      <c r="G235" s="251"/>
      <c r="H235" s="251"/>
      <c r="I235" s="274"/>
      <c r="J235" s="251"/>
      <c r="K235" s="275"/>
      <c r="L235" s="253"/>
      <c r="M235" s="276"/>
      <c r="N235" s="277"/>
      <c r="O235" s="278"/>
      <c r="P235" s="277"/>
      <c r="Q235" s="277"/>
      <c r="R235" s="277"/>
      <c r="S235" s="278"/>
      <c r="T235" s="277"/>
      <c r="U235" s="277"/>
      <c r="V235" s="277"/>
      <c r="W235" s="278"/>
      <c r="X235" s="277"/>
      <c r="Y235" s="277"/>
      <c r="Z235" s="277"/>
      <c r="AA235" s="278"/>
      <c r="AB235" s="277"/>
      <c r="AC235" s="277"/>
      <c r="AD235" s="277"/>
      <c r="AE235" s="278"/>
      <c r="AF235" s="277"/>
      <c r="AG235" s="277"/>
      <c r="AH235" s="277"/>
      <c r="AI235" s="278"/>
      <c r="AJ235" s="277"/>
      <c r="AK235" s="277"/>
      <c r="AL235" s="277"/>
      <c r="AM235" s="278"/>
      <c r="AN235" s="277"/>
      <c r="AO235" s="277"/>
      <c r="AP235" s="277"/>
      <c r="AQ235" s="278"/>
      <c r="AR235" s="277"/>
      <c r="AS235" s="277"/>
      <c r="AT235" s="280"/>
      <c r="AU235" s="276"/>
      <c r="AV235" s="276"/>
      <c r="AW235" s="276"/>
      <c r="AX235" s="276"/>
      <c r="AY235" s="276"/>
      <c r="AZ235" s="276"/>
      <c r="BA235" s="276"/>
      <c r="BB235" s="276"/>
      <c r="BC235" s="276"/>
      <c r="BD235" s="276"/>
      <c r="BE235" s="276"/>
      <c r="BF235" s="276"/>
    </row>
    <row r="236" s="196" customFormat="1" ht="14" spans="1:58">
      <c r="A236" s="249"/>
      <c r="B236" s="250"/>
      <c r="C236" s="193"/>
      <c r="D236" s="249"/>
      <c r="G236" s="251"/>
      <c r="H236" s="251"/>
      <c r="I236" s="274"/>
      <c r="J236" s="251"/>
      <c r="K236" s="275"/>
      <c r="L236" s="253"/>
      <c r="M236" s="276"/>
      <c r="N236" s="277"/>
      <c r="O236" s="278"/>
      <c r="P236" s="277"/>
      <c r="Q236" s="277"/>
      <c r="R236" s="277"/>
      <c r="S236" s="278"/>
      <c r="T236" s="277"/>
      <c r="U236" s="277"/>
      <c r="V236" s="277"/>
      <c r="W236" s="278"/>
      <c r="X236" s="277"/>
      <c r="Y236" s="277"/>
      <c r="Z236" s="277"/>
      <c r="AA236" s="278"/>
      <c r="AB236" s="277"/>
      <c r="AC236" s="277"/>
      <c r="AD236" s="277"/>
      <c r="AE236" s="278"/>
      <c r="AF236" s="277"/>
      <c r="AG236" s="277"/>
      <c r="AH236" s="277"/>
      <c r="AI236" s="278"/>
      <c r="AJ236" s="277"/>
      <c r="AK236" s="277"/>
      <c r="AL236" s="277"/>
      <c r="AM236" s="278"/>
      <c r="AN236" s="277"/>
      <c r="AO236" s="277"/>
      <c r="AP236" s="277"/>
      <c r="AQ236" s="278"/>
      <c r="AR236" s="277"/>
      <c r="AS236" s="277"/>
      <c r="AT236" s="280"/>
      <c r="AU236" s="276"/>
      <c r="AV236" s="276"/>
      <c r="AW236" s="276"/>
      <c r="AX236" s="276"/>
      <c r="AY236" s="276"/>
      <c r="AZ236" s="276"/>
      <c r="BA236" s="276"/>
      <c r="BB236" s="276"/>
      <c r="BC236" s="276"/>
      <c r="BD236" s="276"/>
      <c r="BE236" s="276"/>
      <c r="BF236" s="276"/>
    </row>
    <row r="237" s="196" customFormat="1" ht="14" spans="1:58">
      <c r="A237" s="249"/>
      <c r="B237" s="250"/>
      <c r="C237" s="193"/>
      <c r="D237" s="249"/>
      <c r="G237" s="251"/>
      <c r="H237" s="251"/>
      <c r="I237" s="274"/>
      <c r="J237" s="251"/>
      <c r="K237" s="275"/>
      <c r="L237" s="253"/>
      <c r="M237" s="276"/>
      <c r="N237" s="277"/>
      <c r="O237" s="278"/>
      <c r="P237" s="277"/>
      <c r="Q237" s="277"/>
      <c r="R237" s="277"/>
      <c r="S237" s="278"/>
      <c r="T237" s="277"/>
      <c r="U237" s="277"/>
      <c r="V237" s="277"/>
      <c r="W237" s="278"/>
      <c r="X237" s="277"/>
      <c r="Y237" s="277"/>
      <c r="Z237" s="277"/>
      <c r="AA237" s="278"/>
      <c r="AB237" s="277"/>
      <c r="AC237" s="277"/>
      <c r="AD237" s="277"/>
      <c r="AE237" s="278"/>
      <c r="AF237" s="277"/>
      <c r="AG237" s="277"/>
      <c r="AH237" s="277"/>
      <c r="AI237" s="278"/>
      <c r="AJ237" s="277"/>
      <c r="AK237" s="277"/>
      <c r="AL237" s="277"/>
      <c r="AM237" s="278"/>
      <c r="AN237" s="277"/>
      <c r="AO237" s="277"/>
      <c r="AP237" s="277"/>
      <c r="AQ237" s="278"/>
      <c r="AR237" s="277"/>
      <c r="AS237" s="277"/>
      <c r="AT237" s="280"/>
      <c r="AU237" s="276"/>
      <c r="AV237" s="276"/>
      <c r="AW237" s="276"/>
      <c r="AX237" s="276"/>
      <c r="AY237" s="276"/>
      <c r="AZ237" s="276"/>
      <c r="BA237" s="276"/>
      <c r="BB237" s="276"/>
      <c r="BC237" s="276"/>
      <c r="BD237" s="276"/>
      <c r="BE237" s="276"/>
      <c r="BF237" s="276"/>
    </row>
    <row r="238" s="196" customFormat="1" ht="14" spans="1:58">
      <c r="A238" s="249"/>
      <c r="B238" s="250"/>
      <c r="C238" s="193"/>
      <c r="D238" s="249"/>
      <c r="G238" s="251"/>
      <c r="H238" s="251"/>
      <c r="I238" s="274"/>
      <c r="J238" s="251"/>
      <c r="K238" s="275"/>
      <c r="L238" s="253"/>
      <c r="M238" s="276"/>
      <c r="N238" s="277"/>
      <c r="O238" s="278"/>
      <c r="P238" s="277"/>
      <c r="Q238" s="277"/>
      <c r="R238" s="277"/>
      <c r="S238" s="278"/>
      <c r="T238" s="277"/>
      <c r="U238" s="277"/>
      <c r="V238" s="277"/>
      <c r="W238" s="278"/>
      <c r="X238" s="277"/>
      <c r="Y238" s="277"/>
      <c r="Z238" s="277"/>
      <c r="AA238" s="278"/>
      <c r="AB238" s="277"/>
      <c r="AC238" s="277"/>
      <c r="AD238" s="277"/>
      <c r="AE238" s="278"/>
      <c r="AF238" s="277"/>
      <c r="AG238" s="277"/>
      <c r="AH238" s="277"/>
      <c r="AI238" s="278"/>
      <c r="AJ238" s="277"/>
      <c r="AK238" s="277"/>
      <c r="AL238" s="277"/>
      <c r="AM238" s="278"/>
      <c r="AN238" s="277"/>
      <c r="AO238" s="277"/>
      <c r="AP238" s="277"/>
      <c r="AQ238" s="278"/>
      <c r="AR238" s="277"/>
      <c r="AS238" s="277"/>
      <c r="AT238" s="280"/>
      <c r="AU238" s="276"/>
      <c r="AV238" s="276"/>
      <c r="AW238" s="276"/>
      <c r="AX238" s="276"/>
      <c r="AY238" s="276"/>
      <c r="AZ238" s="276"/>
      <c r="BA238" s="276"/>
      <c r="BB238" s="276"/>
      <c r="BC238" s="276"/>
      <c r="BD238" s="276"/>
      <c r="BE238" s="276"/>
      <c r="BF238" s="276"/>
    </row>
    <row r="239" s="196" customFormat="1" ht="14" spans="1:58">
      <c r="A239" s="249"/>
      <c r="B239" s="250"/>
      <c r="C239" s="193"/>
      <c r="D239" s="249"/>
      <c r="G239" s="251"/>
      <c r="H239" s="251"/>
      <c r="I239" s="274"/>
      <c r="J239" s="251"/>
      <c r="K239" s="275"/>
      <c r="L239" s="253"/>
      <c r="M239" s="276"/>
      <c r="N239" s="277"/>
      <c r="O239" s="278"/>
      <c r="P239" s="277"/>
      <c r="Q239" s="277"/>
      <c r="R239" s="277"/>
      <c r="S239" s="278"/>
      <c r="T239" s="277"/>
      <c r="U239" s="277"/>
      <c r="V239" s="277"/>
      <c r="W239" s="278"/>
      <c r="X239" s="277"/>
      <c r="Y239" s="277"/>
      <c r="Z239" s="277"/>
      <c r="AA239" s="278"/>
      <c r="AB239" s="277"/>
      <c r="AC239" s="277"/>
      <c r="AD239" s="277"/>
      <c r="AE239" s="278"/>
      <c r="AF239" s="277"/>
      <c r="AG239" s="277"/>
      <c r="AH239" s="277"/>
      <c r="AI239" s="278"/>
      <c r="AJ239" s="277"/>
      <c r="AK239" s="277"/>
      <c r="AL239" s="277"/>
      <c r="AM239" s="278"/>
      <c r="AN239" s="277"/>
      <c r="AO239" s="277"/>
      <c r="AP239" s="277"/>
      <c r="AQ239" s="278"/>
      <c r="AR239" s="277"/>
      <c r="AS239" s="277"/>
      <c r="AT239" s="280"/>
      <c r="AU239" s="276"/>
      <c r="AV239" s="276"/>
      <c r="AW239" s="276"/>
      <c r="AX239" s="276"/>
      <c r="AY239" s="276"/>
      <c r="AZ239" s="276"/>
      <c r="BA239" s="276"/>
      <c r="BB239" s="276"/>
      <c r="BC239" s="276"/>
      <c r="BD239" s="276"/>
      <c r="BE239" s="276"/>
      <c r="BF239" s="276"/>
    </row>
    <row r="240" s="196" customFormat="1" ht="14" spans="1:58">
      <c r="A240" s="249"/>
      <c r="B240" s="250"/>
      <c r="C240" s="193"/>
      <c r="D240" s="249"/>
      <c r="G240" s="251"/>
      <c r="H240" s="251"/>
      <c r="I240" s="274"/>
      <c r="J240" s="251"/>
      <c r="K240" s="275"/>
      <c r="L240" s="253"/>
      <c r="M240" s="276"/>
      <c r="N240" s="277"/>
      <c r="O240" s="278"/>
      <c r="P240" s="277"/>
      <c r="Q240" s="277"/>
      <c r="R240" s="277"/>
      <c r="S240" s="278"/>
      <c r="T240" s="277"/>
      <c r="U240" s="277"/>
      <c r="V240" s="277"/>
      <c r="W240" s="278"/>
      <c r="X240" s="277"/>
      <c r="Y240" s="277"/>
      <c r="Z240" s="277"/>
      <c r="AA240" s="278"/>
      <c r="AB240" s="277"/>
      <c r="AC240" s="277"/>
      <c r="AD240" s="277"/>
      <c r="AE240" s="278"/>
      <c r="AF240" s="277"/>
      <c r="AG240" s="277"/>
      <c r="AH240" s="277"/>
      <c r="AI240" s="278"/>
      <c r="AJ240" s="277"/>
      <c r="AK240" s="277"/>
      <c r="AL240" s="277"/>
      <c r="AM240" s="278"/>
      <c r="AN240" s="277"/>
      <c r="AO240" s="277"/>
      <c r="AP240" s="277"/>
      <c r="AQ240" s="278"/>
      <c r="AR240" s="277"/>
      <c r="AS240" s="277"/>
      <c r="AT240" s="280"/>
      <c r="AU240" s="276"/>
      <c r="AV240" s="276"/>
      <c r="AW240" s="276"/>
      <c r="AX240" s="276"/>
      <c r="AY240" s="276"/>
      <c r="AZ240" s="276"/>
      <c r="BA240" s="276"/>
      <c r="BB240" s="276"/>
      <c r="BC240" s="276"/>
      <c r="BD240" s="276"/>
      <c r="BE240" s="276"/>
      <c r="BF240" s="276"/>
    </row>
    <row r="241" s="196" customFormat="1" ht="14" spans="1:58">
      <c r="A241" s="249"/>
      <c r="B241" s="250"/>
      <c r="C241" s="193"/>
      <c r="D241" s="249"/>
      <c r="G241" s="251"/>
      <c r="H241" s="251"/>
      <c r="I241" s="274"/>
      <c r="J241" s="251"/>
      <c r="K241" s="275"/>
      <c r="L241" s="253"/>
      <c r="M241" s="276"/>
      <c r="N241" s="277"/>
      <c r="O241" s="278"/>
      <c r="P241" s="277"/>
      <c r="Q241" s="277"/>
      <c r="R241" s="277"/>
      <c r="S241" s="278"/>
      <c r="T241" s="277"/>
      <c r="U241" s="277"/>
      <c r="V241" s="277"/>
      <c r="W241" s="278"/>
      <c r="X241" s="277"/>
      <c r="Y241" s="277"/>
      <c r="Z241" s="277"/>
      <c r="AA241" s="278"/>
      <c r="AB241" s="277"/>
      <c r="AC241" s="277"/>
      <c r="AD241" s="277"/>
      <c r="AE241" s="278"/>
      <c r="AF241" s="277"/>
      <c r="AG241" s="277"/>
      <c r="AH241" s="277"/>
      <c r="AI241" s="278"/>
      <c r="AJ241" s="277"/>
      <c r="AK241" s="277"/>
      <c r="AL241" s="277"/>
      <c r="AM241" s="278"/>
      <c r="AN241" s="277"/>
      <c r="AO241" s="277"/>
      <c r="AP241" s="277"/>
      <c r="AQ241" s="278"/>
      <c r="AR241" s="277"/>
      <c r="AS241" s="277"/>
      <c r="AT241" s="280"/>
      <c r="AU241" s="276"/>
      <c r="AV241" s="276"/>
      <c r="AW241" s="276"/>
      <c r="AX241" s="276"/>
      <c r="AY241" s="276"/>
      <c r="AZ241" s="276"/>
      <c r="BA241" s="276"/>
      <c r="BB241" s="276"/>
      <c r="BC241" s="276"/>
      <c r="BD241" s="276"/>
      <c r="BE241" s="276"/>
      <c r="BF241" s="276"/>
    </row>
    <row r="242" s="196" customFormat="1" ht="14" spans="1:58">
      <c r="A242" s="249"/>
      <c r="B242" s="250"/>
      <c r="C242" s="193"/>
      <c r="D242" s="249"/>
      <c r="G242" s="251"/>
      <c r="H242" s="251"/>
      <c r="I242" s="274"/>
      <c r="J242" s="251"/>
      <c r="K242" s="275"/>
      <c r="L242" s="253"/>
      <c r="M242" s="276"/>
      <c r="N242" s="277"/>
      <c r="O242" s="278"/>
      <c r="P242" s="277"/>
      <c r="Q242" s="277"/>
      <c r="R242" s="277"/>
      <c r="S242" s="278"/>
      <c r="T242" s="277"/>
      <c r="U242" s="277"/>
      <c r="V242" s="277"/>
      <c r="W242" s="278"/>
      <c r="X242" s="277"/>
      <c r="Y242" s="277"/>
      <c r="Z242" s="277"/>
      <c r="AA242" s="278"/>
      <c r="AB242" s="277"/>
      <c r="AC242" s="277"/>
      <c r="AD242" s="277"/>
      <c r="AE242" s="278"/>
      <c r="AF242" s="277"/>
      <c r="AG242" s="277"/>
      <c r="AH242" s="277"/>
      <c r="AI242" s="278"/>
      <c r="AJ242" s="277"/>
      <c r="AK242" s="277"/>
      <c r="AL242" s="277"/>
      <c r="AM242" s="278"/>
      <c r="AN242" s="277"/>
      <c r="AO242" s="277"/>
      <c r="AP242" s="277"/>
      <c r="AQ242" s="278"/>
      <c r="AR242" s="277"/>
      <c r="AS242" s="277"/>
      <c r="AT242" s="280"/>
      <c r="AU242" s="276"/>
      <c r="AV242" s="276"/>
      <c r="AW242" s="276"/>
      <c r="AX242" s="276"/>
      <c r="AY242" s="276"/>
      <c r="AZ242" s="276"/>
      <c r="BA242" s="276"/>
      <c r="BB242" s="276"/>
      <c r="BC242" s="276"/>
      <c r="BD242" s="276"/>
      <c r="BE242" s="276"/>
      <c r="BF242" s="276"/>
    </row>
    <row r="243" s="196" customFormat="1" ht="14" spans="1:58">
      <c r="A243" s="249"/>
      <c r="B243" s="250"/>
      <c r="C243" s="193"/>
      <c r="D243" s="249"/>
      <c r="G243" s="251"/>
      <c r="H243" s="251"/>
      <c r="I243" s="274"/>
      <c r="J243" s="251"/>
      <c r="K243" s="275"/>
      <c r="L243" s="253"/>
      <c r="M243" s="276"/>
      <c r="N243" s="277"/>
      <c r="O243" s="278"/>
      <c r="P243" s="277"/>
      <c r="Q243" s="277"/>
      <c r="R243" s="277"/>
      <c r="S243" s="278"/>
      <c r="T243" s="277"/>
      <c r="U243" s="277"/>
      <c r="V243" s="277"/>
      <c r="W243" s="278"/>
      <c r="X243" s="277"/>
      <c r="Y243" s="277"/>
      <c r="Z243" s="277"/>
      <c r="AA243" s="278"/>
      <c r="AB243" s="277"/>
      <c r="AC243" s="277"/>
      <c r="AD243" s="277"/>
      <c r="AE243" s="278"/>
      <c r="AF243" s="277"/>
      <c r="AG243" s="277"/>
      <c r="AH243" s="277"/>
      <c r="AI243" s="278"/>
      <c r="AJ243" s="277"/>
      <c r="AK243" s="277"/>
      <c r="AL243" s="277"/>
      <c r="AM243" s="278"/>
      <c r="AN243" s="277"/>
      <c r="AO243" s="277"/>
      <c r="AP243" s="277"/>
      <c r="AQ243" s="278"/>
      <c r="AR243" s="277"/>
      <c r="AS243" s="277"/>
      <c r="AT243" s="280"/>
      <c r="AU243" s="276"/>
      <c r="AV243" s="276"/>
      <c r="AW243" s="276"/>
      <c r="AX243" s="276"/>
      <c r="AY243" s="276"/>
      <c r="AZ243" s="276"/>
      <c r="BA243" s="276"/>
      <c r="BB243" s="276"/>
      <c r="BC243" s="276"/>
      <c r="BD243" s="276"/>
      <c r="BE243" s="276"/>
      <c r="BF243" s="276"/>
    </row>
    <row r="244" s="196" customFormat="1" ht="14" spans="1:58">
      <c r="A244" s="249"/>
      <c r="B244" s="250"/>
      <c r="C244" s="193"/>
      <c r="D244" s="249"/>
      <c r="G244" s="251"/>
      <c r="H244" s="251"/>
      <c r="I244" s="274"/>
      <c r="J244" s="251"/>
      <c r="K244" s="275"/>
      <c r="L244" s="253"/>
      <c r="M244" s="276"/>
      <c r="N244" s="277"/>
      <c r="O244" s="278"/>
      <c r="P244" s="277"/>
      <c r="Q244" s="277"/>
      <c r="R244" s="277"/>
      <c r="S244" s="278"/>
      <c r="T244" s="277"/>
      <c r="U244" s="277"/>
      <c r="V244" s="277"/>
      <c r="W244" s="278"/>
      <c r="X244" s="277"/>
      <c r="Y244" s="277"/>
      <c r="Z244" s="277"/>
      <c r="AA244" s="278"/>
      <c r="AB244" s="277"/>
      <c r="AC244" s="277"/>
      <c r="AD244" s="277"/>
      <c r="AE244" s="278"/>
      <c r="AF244" s="277"/>
      <c r="AG244" s="277"/>
      <c r="AH244" s="277"/>
      <c r="AI244" s="278"/>
      <c r="AJ244" s="277"/>
      <c r="AK244" s="277"/>
      <c r="AL244" s="277"/>
      <c r="AM244" s="278"/>
      <c r="AN244" s="277"/>
      <c r="AO244" s="277"/>
      <c r="AP244" s="277"/>
      <c r="AQ244" s="278"/>
      <c r="AR244" s="277"/>
      <c r="AS244" s="277"/>
      <c r="AT244" s="280"/>
      <c r="AU244" s="276"/>
      <c r="AV244" s="276"/>
      <c r="AW244" s="276"/>
      <c r="AX244" s="276"/>
      <c r="AY244" s="276"/>
      <c r="AZ244" s="276"/>
      <c r="BA244" s="276"/>
      <c r="BB244" s="276"/>
      <c r="BC244" s="276"/>
      <c r="BD244" s="276"/>
      <c r="BE244" s="276"/>
      <c r="BF244" s="276"/>
    </row>
    <row r="245" s="196" customFormat="1" ht="14" spans="1:58">
      <c r="A245" s="249"/>
      <c r="B245" s="250"/>
      <c r="C245" s="193"/>
      <c r="D245" s="249"/>
      <c r="G245" s="251"/>
      <c r="H245" s="251"/>
      <c r="I245" s="274"/>
      <c r="J245" s="251"/>
      <c r="K245" s="275"/>
      <c r="L245" s="253"/>
      <c r="M245" s="276"/>
      <c r="N245" s="277"/>
      <c r="O245" s="278"/>
      <c r="P245" s="277"/>
      <c r="Q245" s="277"/>
      <c r="R245" s="277"/>
      <c r="S245" s="278"/>
      <c r="T245" s="277"/>
      <c r="U245" s="277"/>
      <c r="V245" s="277"/>
      <c r="W245" s="278"/>
      <c r="X245" s="277"/>
      <c r="Y245" s="277"/>
      <c r="Z245" s="277"/>
      <c r="AA245" s="278"/>
      <c r="AB245" s="277"/>
      <c r="AC245" s="277"/>
      <c r="AD245" s="277"/>
      <c r="AE245" s="278"/>
      <c r="AF245" s="277"/>
      <c r="AG245" s="277"/>
      <c r="AH245" s="277"/>
      <c r="AI245" s="278"/>
      <c r="AJ245" s="277"/>
      <c r="AK245" s="277"/>
      <c r="AL245" s="277"/>
      <c r="AM245" s="278"/>
      <c r="AN245" s="277"/>
      <c r="AO245" s="277"/>
      <c r="AP245" s="277"/>
      <c r="AQ245" s="278"/>
      <c r="AR245" s="277"/>
      <c r="AS245" s="277"/>
      <c r="AT245" s="280"/>
      <c r="AU245" s="276"/>
      <c r="AV245" s="276"/>
      <c r="AW245" s="276"/>
      <c r="AX245" s="276"/>
      <c r="AY245" s="276"/>
      <c r="AZ245" s="276"/>
      <c r="BA245" s="276"/>
      <c r="BB245" s="276"/>
      <c r="BC245" s="276"/>
      <c r="BD245" s="276"/>
      <c r="BE245" s="276"/>
      <c r="BF245" s="276"/>
    </row>
    <row r="246" s="196" customFormat="1" ht="14" spans="1:58">
      <c r="A246" s="249"/>
      <c r="B246" s="250"/>
      <c r="C246" s="193"/>
      <c r="D246" s="249"/>
      <c r="G246" s="251"/>
      <c r="H246" s="251"/>
      <c r="I246" s="274"/>
      <c r="J246" s="251"/>
      <c r="K246" s="275"/>
      <c r="L246" s="253"/>
      <c r="M246" s="276"/>
      <c r="N246" s="277"/>
      <c r="O246" s="278"/>
      <c r="P246" s="277"/>
      <c r="Q246" s="277"/>
      <c r="R246" s="277"/>
      <c r="S246" s="278"/>
      <c r="T246" s="277"/>
      <c r="U246" s="277"/>
      <c r="V246" s="277"/>
      <c r="W246" s="278"/>
      <c r="X246" s="277"/>
      <c r="Y246" s="277"/>
      <c r="Z246" s="277"/>
      <c r="AA246" s="278"/>
      <c r="AB246" s="277"/>
      <c r="AC246" s="277"/>
      <c r="AD246" s="277"/>
      <c r="AE246" s="278"/>
      <c r="AF246" s="277"/>
      <c r="AG246" s="277"/>
      <c r="AH246" s="277"/>
      <c r="AI246" s="278"/>
      <c r="AJ246" s="277"/>
      <c r="AK246" s="277"/>
      <c r="AL246" s="277"/>
      <c r="AM246" s="278"/>
      <c r="AN246" s="277"/>
      <c r="AO246" s="277"/>
      <c r="AP246" s="277"/>
      <c r="AQ246" s="278"/>
      <c r="AR246" s="277"/>
      <c r="AS246" s="277"/>
      <c r="AT246" s="280"/>
      <c r="AU246" s="276"/>
      <c r="AV246" s="276"/>
      <c r="AW246" s="276"/>
      <c r="AX246" s="276"/>
      <c r="AY246" s="276"/>
      <c r="AZ246" s="276"/>
      <c r="BA246" s="276"/>
      <c r="BB246" s="276"/>
      <c r="BC246" s="276"/>
      <c r="BD246" s="276"/>
      <c r="BE246" s="276"/>
      <c r="BF246" s="276"/>
    </row>
    <row r="247" s="196" customFormat="1" ht="14" spans="1:58">
      <c r="A247" s="249"/>
      <c r="B247" s="250"/>
      <c r="C247" s="193"/>
      <c r="D247" s="249"/>
      <c r="G247" s="251"/>
      <c r="H247" s="251"/>
      <c r="I247" s="274"/>
      <c r="J247" s="251"/>
      <c r="K247" s="275"/>
      <c r="L247" s="253"/>
      <c r="M247" s="276"/>
      <c r="N247" s="277"/>
      <c r="O247" s="278"/>
      <c r="P247" s="277"/>
      <c r="Q247" s="277"/>
      <c r="R247" s="277"/>
      <c r="S247" s="278"/>
      <c r="T247" s="277"/>
      <c r="U247" s="277"/>
      <c r="V247" s="277"/>
      <c r="W247" s="278"/>
      <c r="X247" s="277"/>
      <c r="Y247" s="277"/>
      <c r="Z247" s="277"/>
      <c r="AA247" s="278"/>
      <c r="AB247" s="277"/>
      <c r="AC247" s="277"/>
      <c r="AD247" s="277"/>
      <c r="AE247" s="278"/>
      <c r="AF247" s="277"/>
      <c r="AG247" s="277"/>
      <c r="AH247" s="277"/>
      <c r="AI247" s="278"/>
      <c r="AJ247" s="277"/>
      <c r="AK247" s="277"/>
      <c r="AL247" s="277"/>
      <c r="AM247" s="278"/>
      <c r="AN247" s="277"/>
      <c r="AO247" s="277"/>
      <c r="AP247" s="277"/>
      <c r="AQ247" s="278"/>
      <c r="AR247" s="277"/>
      <c r="AS247" s="277"/>
      <c r="AT247" s="280"/>
      <c r="AU247" s="276"/>
      <c r="AV247" s="276"/>
      <c r="AW247" s="276"/>
      <c r="AX247" s="276"/>
      <c r="AY247" s="276"/>
      <c r="AZ247" s="276"/>
      <c r="BA247" s="276"/>
      <c r="BB247" s="276"/>
      <c r="BC247" s="276"/>
      <c r="BD247" s="276"/>
      <c r="BE247" s="276"/>
      <c r="BF247" s="276"/>
    </row>
    <row r="248" s="196" customFormat="1" ht="14" spans="1:58">
      <c r="A248" s="249"/>
      <c r="B248" s="250"/>
      <c r="C248" s="193"/>
      <c r="D248" s="249"/>
      <c r="G248" s="251"/>
      <c r="H248" s="251"/>
      <c r="I248" s="274"/>
      <c r="J248" s="251"/>
      <c r="K248" s="275"/>
      <c r="L248" s="253"/>
      <c r="M248" s="276"/>
      <c r="N248" s="277"/>
      <c r="O248" s="278"/>
      <c r="P248" s="277"/>
      <c r="Q248" s="277"/>
      <c r="R248" s="277"/>
      <c r="S248" s="278"/>
      <c r="T248" s="277"/>
      <c r="U248" s="277"/>
      <c r="V248" s="277"/>
      <c r="W248" s="278"/>
      <c r="X248" s="277"/>
      <c r="Y248" s="277"/>
      <c r="Z248" s="277"/>
      <c r="AA248" s="278"/>
      <c r="AB248" s="277"/>
      <c r="AC248" s="277"/>
      <c r="AD248" s="277"/>
      <c r="AE248" s="278"/>
      <c r="AF248" s="277"/>
      <c r="AG248" s="277"/>
      <c r="AH248" s="277"/>
      <c r="AI248" s="278"/>
      <c r="AJ248" s="277"/>
      <c r="AK248" s="277"/>
      <c r="AL248" s="277"/>
      <c r="AM248" s="278"/>
      <c r="AN248" s="277"/>
      <c r="AO248" s="277"/>
      <c r="AP248" s="277"/>
      <c r="AQ248" s="278"/>
      <c r="AR248" s="277"/>
      <c r="AS248" s="277"/>
      <c r="AT248" s="280"/>
      <c r="AU248" s="276"/>
      <c r="AV248" s="276"/>
      <c r="AW248" s="276"/>
      <c r="AX248" s="276"/>
      <c r="AY248" s="276"/>
      <c r="AZ248" s="276"/>
      <c r="BA248" s="276"/>
      <c r="BB248" s="276"/>
      <c r="BC248" s="276"/>
      <c r="BD248" s="276"/>
      <c r="BE248" s="276"/>
      <c r="BF248" s="276"/>
    </row>
    <row r="249" s="196" customFormat="1" ht="14" spans="1:58">
      <c r="A249" s="249"/>
      <c r="B249" s="250"/>
      <c r="C249" s="193"/>
      <c r="D249" s="249"/>
      <c r="G249" s="251"/>
      <c r="H249" s="251"/>
      <c r="I249" s="274"/>
      <c r="J249" s="251"/>
      <c r="K249" s="275"/>
      <c r="L249" s="253"/>
      <c r="M249" s="276"/>
      <c r="N249" s="277"/>
      <c r="O249" s="278"/>
      <c r="P249" s="277"/>
      <c r="Q249" s="277"/>
      <c r="R249" s="277"/>
      <c r="S249" s="278"/>
      <c r="T249" s="277"/>
      <c r="U249" s="277"/>
      <c r="V249" s="277"/>
      <c r="W249" s="278"/>
      <c r="X249" s="277"/>
      <c r="Y249" s="277"/>
      <c r="Z249" s="277"/>
      <c r="AA249" s="278"/>
      <c r="AB249" s="277"/>
      <c r="AC249" s="277"/>
      <c r="AD249" s="277"/>
      <c r="AE249" s="278"/>
      <c r="AF249" s="277"/>
      <c r="AG249" s="277"/>
      <c r="AH249" s="277"/>
      <c r="AI249" s="278"/>
      <c r="AJ249" s="277"/>
      <c r="AK249" s="277"/>
      <c r="AL249" s="277"/>
      <c r="AM249" s="278"/>
      <c r="AN249" s="277"/>
      <c r="AO249" s="277"/>
      <c r="AP249" s="277"/>
      <c r="AQ249" s="278"/>
      <c r="AR249" s="277"/>
      <c r="AS249" s="277"/>
      <c r="AT249" s="280"/>
      <c r="AU249" s="276"/>
      <c r="AV249" s="276"/>
      <c r="AW249" s="276"/>
      <c r="AX249" s="276"/>
      <c r="AY249" s="276"/>
      <c r="AZ249" s="276"/>
      <c r="BA249" s="276"/>
      <c r="BB249" s="276"/>
      <c r="BC249" s="276"/>
      <c r="BD249" s="276"/>
      <c r="BE249" s="276"/>
      <c r="BF249" s="276"/>
    </row>
    <row r="250" s="196" customFormat="1" ht="14" spans="1:58">
      <c r="A250" s="249"/>
      <c r="B250" s="250"/>
      <c r="C250" s="193"/>
      <c r="D250" s="249"/>
      <c r="G250" s="251"/>
      <c r="H250" s="251"/>
      <c r="I250" s="274"/>
      <c r="J250" s="251"/>
      <c r="K250" s="275"/>
      <c r="L250" s="253"/>
      <c r="M250" s="276"/>
      <c r="N250" s="277"/>
      <c r="O250" s="278"/>
      <c r="P250" s="277"/>
      <c r="Q250" s="277"/>
      <c r="R250" s="277"/>
      <c r="S250" s="278"/>
      <c r="T250" s="277"/>
      <c r="U250" s="277"/>
      <c r="V250" s="277"/>
      <c r="W250" s="278"/>
      <c r="X250" s="277"/>
      <c r="Y250" s="277"/>
      <c r="Z250" s="277"/>
      <c r="AA250" s="278"/>
      <c r="AB250" s="277"/>
      <c r="AC250" s="277"/>
      <c r="AD250" s="277"/>
      <c r="AE250" s="278"/>
      <c r="AF250" s="277"/>
      <c r="AG250" s="277"/>
      <c r="AH250" s="277"/>
      <c r="AI250" s="278"/>
      <c r="AJ250" s="277"/>
      <c r="AK250" s="277"/>
      <c r="AL250" s="277"/>
      <c r="AM250" s="278"/>
      <c r="AN250" s="277"/>
      <c r="AO250" s="277"/>
      <c r="AP250" s="277"/>
      <c r="AQ250" s="278"/>
      <c r="AR250" s="277"/>
      <c r="AS250" s="277"/>
      <c r="AT250" s="280"/>
      <c r="AU250" s="276"/>
      <c r="AV250" s="276"/>
      <c r="AW250" s="276"/>
      <c r="AX250" s="276"/>
      <c r="AY250" s="276"/>
      <c r="AZ250" s="276"/>
      <c r="BA250" s="276"/>
      <c r="BB250" s="276"/>
      <c r="BC250" s="276"/>
      <c r="BD250" s="276"/>
      <c r="BE250" s="276"/>
      <c r="BF250" s="276"/>
    </row>
    <row r="251" s="196" customFormat="1" ht="14" spans="1:58">
      <c r="A251" s="249"/>
      <c r="B251" s="250"/>
      <c r="C251" s="193"/>
      <c r="D251" s="249"/>
      <c r="G251" s="251"/>
      <c r="H251" s="251"/>
      <c r="I251" s="274"/>
      <c r="J251" s="251"/>
      <c r="K251" s="275"/>
      <c r="L251" s="253"/>
      <c r="M251" s="276"/>
      <c r="N251" s="277"/>
      <c r="O251" s="278"/>
      <c r="P251" s="277"/>
      <c r="Q251" s="277"/>
      <c r="R251" s="277"/>
      <c r="S251" s="278"/>
      <c r="T251" s="277"/>
      <c r="U251" s="277"/>
      <c r="V251" s="277"/>
      <c r="W251" s="278"/>
      <c r="X251" s="277"/>
      <c r="Y251" s="277"/>
      <c r="Z251" s="277"/>
      <c r="AA251" s="278"/>
      <c r="AB251" s="277"/>
      <c r="AC251" s="277"/>
      <c r="AD251" s="277"/>
      <c r="AE251" s="278"/>
      <c r="AF251" s="277"/>
      <c r="AG251" s="277"/>
      <c r="AH251" s="277"/>
      <c r="AI251" s="278"/>
      <c r="AJ251" s="277"/>
      <c r="AK251" s="277"/>
      <c r="AL251" s="277"/>
      <c r="AM251" s="278"/>
      <c r="AN251" s="277"/>
      <c r="AO251" s="277"/>
      <c r="AP251" s="277"/>
      <c r="AQ251" s="278"/>
      <c r="AR251" s="277"/>
      <c r="AS251" s="277"/>
      <c r="AT251" s="280"/>
      <c r="AU251" s="276"/>
      <c r="AV251" s="276"/>
      <c r="AW251" s="276"/>
      <c r="AX251" s="276"/>
      <c r="AY251" s="276"/>
      <c r="AZ251" s="276"/>
      <c r="BA251" s="276"/>
      <c r="BB251" s="276"/>
      <c r="BC251" s="276"/>
      <c r="BD251" s="276"/>
      <c r="BE251" s="276"/>
      <c r="BF251" s="276"/>
    </row>
    <row r="252" s="196" customFormat="1" ht="14" spans="1:58">
      <c r="A252" s="249"/>
      <c r="B252" s="250"/>
      <c r="C252" s="193"/>
      <c r="D252" s="249"/>
      <c r="G252" s="251"/>
      <c r="H252" s="251"/>
      <c r="I252" s="274"/>
      <c r="J252" s="251"/>
      <c r="K252" s="275"/>
      <c r="L252" s="253"/>
      <c r="M252" s="276"/>
      <c r="N252" s="277"/>
      <c r="O252" s="278"/>
      <c r="P252" s="277"/>
      <c r="Q252" s="277"/>
      <c r="R252" s="277"/>
      <c r="S252" s="278"/>
      <c r="T252" s="277"/>
      <c r="U252" s="277"/>
      <c r="V252" s="277"/>
      <c r="W252" s="278"/>
      <c r="X252" s="277"/>
      <c r="Y252" s="277"/>
      <c r="Z252" s="277"/>
      <c r="AA252" s="278"/>
      <c r="AB252" s="277"/>
      <c r="AC252" s="277"/>
      <c r="AD252" s="277"/>
      <c r="AE252" s="278"/>
      <c r="AF252" s="277"/>
      <c r="AG252" s="277"/>
      <c r="AH252" s="277"/>
      <c r="AI252" s="278"/>
      <c r="AJ252" s="277"/>
      <c r="AK252" s="277"/>
      <c r="AL252" s="277"/>
      <c r="AM252" s="278"/>
      <c r="AN252" s="277"/>
      <c r="AO252" s="277"/>
      <c r="AP252" s="277"/>
      <c r="AQ252" s="278"/>
      <c r="AR252" s="277"/>
      <c r="AS252" s="277"/>
      <c r="AT252" s="280"/>
      <c r="AU252" s="276"/>
      <c r="AV252" s="276"/>
      <c r="AW252" s="276"/>
      <c r="AX252" s="276"/>
      <c r="AY252" s="276"/>
      <c r="AZ252" s="276"/>
      <c r="BA252" s="276"/>
      <c r="BB252" s="276"/>
      <c r="BC252" s="276"/>
      <c r="BD252" s="276"/>
      <c r="BE252" s="276"/>
      <c r="BF252" s="276"/>
    </row>
    <row r="253" s="196" customFormat="1" ht="14" spans="1:58">
      <c r="A253" s="249"/>
      <c r="B253" s="250"/>
      <c r="C253" s="193"/>
      <c r="D253" s="249"/>
      <c r="G253" s="251"/>
      <c r="H253" s="251"/>
      <c r="I253" s="274"/>
      <c r="J253" s="251"/>
      <c r="K253" s="275"/>
      <c r="L253" s="253"/>
      <c r="M253" s="276"/>
      <c r="N253" s="277"/>
      <c r="O253" s="278"/>
      <c r="P253" s="277"/>
      <c r="Q253" s="277"/>
      <c r="R253" s="277"/>
      <c r="S253" s="278"/>
      <c r="T253" s="277"/>
      <c r="U253" s="277"/>
      <c r="V253" s="277"/>
      <c r="W253" s="278"/>
      <c r="X253" s="277"/>
      <c r="Y253" s="277"/>
      <c r="Z253" s="277"/>
      <c r="AA253" s="278"/>
      <c r="AB253" s="277"/>
      <c r="AC253" s="277"/>
      <c r="AD253" s="277"/>
      <c r="AE253" s="278"/>
      <c r="AF253" s="277"/>
      <c r="AG253" s="277"/>
      <c r="AH253" s="277"/>
      <c r="AI253" s="278"/>
      <c r="AJ253" s="277"/>
      <c r="AK253" s="277"/>
      <c r="AL253" s="277"/>
      <c r="AM253" s="278"/>
      <c r="AN253" s="277"/>
      <c r="AO253" s="277"/>
      <c r="AP253" s="277"/>
      <c r="AQ253" s="278"/>
      <c r="AR253" s="277"/>
      <c r="AS253" s="277"/>
      <c r="AT253" s="280"/>
      <c r="AU253" s="276"/>
      <c r="AV253" s="276"/>
      <c r="AW253" s="276"/>
      <c r="AX253" s="276"/>
      <c r="AY253" s="276"/>
      <c r="AZ253" s="276"/>
      <c r="BA253" s="276"/>
      <c r="BB253" s="276"/>
      <c r="BC253" s="276"/>
      <c r="BD253" s="276"/>
      <c r="BE253" s="276"/>
      <c r="BF253" s="276"/>
    </row>
    <row r="254" s="196" customFormat="1" ht="14" spans="1:58">
      <c r="A254" s="249"/>
      <c r="B254" s="250"/>
      <c r="C254" s="193"/>
      <c r="D254" s="249"/>
      <c r="G254" s="251"/>
      <c r="H254" s="251"/>
      <c r="I254" s="274"/>
      <c r="J254" s="251"/>
      <c r="K254" s="275"/>
      <c r="L254" s="253"/>
      <c r="M254" s="276"/>
      <c r="N254" s="277"/>
      <c r="O254" s="278"/>
      <c r="P254" s="277"/>
      <c r="Q254" s="277"/>
      <c r="R254" s="277"/>
      <c r="S254" s="278"/>
      <c r="T254" s="277"/>
      <c r="U254" s="277"/>
      <c r="V254" s="277"/>
      <c r="W254" s="278"/>
      <c r="X254" s="277"/>
      <c r="Y254" s="277"/>
      <c r="Z254" s="277"/>
      <c r="AA254" s="278"/>
      <c r="AB254" s="277"/>
      <c r="AC254" s="277"/>
      <c r="AD254" s="277"/>
      <c r="AE254" s="278"/>
      <c r="AF254" s="277"/>
      <c r="AG254" s="277"/>
      <c r="AH254" s="277"/>
      <c r="AI254" s="278"/>
      <c r="AJ254" s="277"/>
      <c r="AK254" s="277"/>
      <c r="AL254" s="277"/>
      <c r="AM254" s="278"/>
      <c r="AN254" s="277"/>
      <c r="AO254" s="277"/>
      <c r="AP254" s="277"/>
      <c r="AQ254" s="278"/>
      <c r="AR254" s="277"/>
      <c r="AS254" s="277"/>
      <c r="AT254" s="280"/>
      <c r="AU254" s="276"/>
      <c r="AV254" s="276"/>
      <c r="AW254" s="276"/>
      <c r="AX254" s="276"/>
      <c r="AY254" s="276"/>
      <c r="AZ254" s="276"/>
      <c r="BA254" s="276"/>
      <c r="BB254" s="276"/>
      <c r="BC254" s="276"/>
      <c r="BD254" s="276"/>
      <c r="BE254" s="276"/>
      <c r="BF254" s="276"/>
    </row>
    <row r="255" s="196" customFormat="1" ht="14" spans="1:58">
      <c r="A255" s="249"/>
      <c r="B255" s="250"/>
      <c r="C255" s="193"/>
      <c r="D255" s="249"/>
      <c r="G255" s="251"/>
      <c r="H255" s="251"/>
      <c r="I255" s="274"/>
      <c r="J255" s="251"/>
      <c r="K255" s="275"/>
      <c r="L255" s="253"/>
      <c r="M255" s="276"/>
      <c r="N255" s="277"/>
      <c r="O255" s="278"/>
      <c r="P255" s="277"/>
      <c r="Q255" s="277"/>
      <c r="R255" s="277"/>
      <c r="S255" s="278"/>
      <c r="T255" s="277"/>
      <c r="U255" s="277"/>
      <c r="V255" s="277"/>
      <c r="W255" s="278"/>
      <c r="X255" s="277"/>
      <c r="Y255" s="277"/>
      <c r="Z255" s="277"/>
      <c r="AA255" s="278"/>
      <c r="AB255" s="277"/>
      <c r="AC255" s="277"/>
      <c r="AD255" s="277"/>
      <c r="AE255" s="278"/>
      <c r="AF255" s="277"/>
      <c r="AG255" s="277"/>
      <c r="AH255" s="277"/>
      <c r="AI255" s="278"/>
      <c r="AJ255" s="277"/>
      <c r="AK255" s="277"/>
      <c r="AL255" s="277"/>
      <c r="AM255" s="278"/>
      <c r="AN255" s="277"/>
      <c r="AO255" s="277"/>
      <c r="AP255" s="277"/>
      <c r="AQ255" s="278"/>
      <c r="AR255" s="277"/>
      <c r="AS255" s="277"/>
      <c r="AT255" s="280"/>
      <c r="AU255" s="276"/>
      <c r="AV255" s="276"/>
      <c r="AW255" s="276"/>
      <c r="AX255" s="276"/>
      <c r="AY255" s="276"/>
      <c r="AZ255" s="276"/>
      <c r="BA255" s="276"/>
      <c r="BB255" s="276"/>
      <c r="BC255" s="276"/>
      <c r="BD255" s="276"/>
      <c r="BE255" s="276"/>
      <c r="BF255" s="276"/>
    </row>
    <row r="256" s="196" customFormat="1" ht="14" spans="1:58">
      <c r="A256" s="249"/>
      <c r="B256" s="250"/>
      <c r="C256" s="193"/>
      <c r="D256" s="249"/>
      <c r="G256" s="251"/>
      <c r="H256" s="251"/>
      <c r="I256" s="274"/>
      <c r="J256" s="251"/>
      <c r="K256" s="275"/>
      <c r="L256" s="253"/>
      <c r="M256" s="276"/>
      <c r="N256" s="277"/>
      <c r="O256" s="278"/>
      <c r="P256" s="277"/>
      <c r="Q256" s="277"/>
      <c r="R256" s="277"/>
      <c r="S256" s="278"/>
      <c r="T256" s="277"/>
      <c r="U256" s="277"/>
      <c r="V256" s="277"/>
      <c r="W256" s="278"/>
      <c r="X256" s="277"/>
      <c r="Y256" s="277"/>
      <c r="Z256" s="277"/>
      <c r="AA256" s="278"/>
      <c r="AB256" s="277"/>
      <c r="AC256" s="277"/>
      <c r="AD256" s="277"/>
      <c r="AE256" s="278"/>
      <c r="AF256" s="277"/>
      <c r="AG256" s="277"/>
      <c r="AH256" s="277"/>
      <c r="AI256" s="278"/>
      <c r="AJ256" s="277"/>
      <c r="AK256" s="277"/>
      <c r="AL256" s="277"/>
      <c r="AM256" s="278"/>
      <c r="AN256" s="277"/>
      <c r="AO256" s="277"/>
      <c r="AP256" s="277"/>
      <c r="AQ256" s="278"/>
      <c r="AR256" s="277"/>
      <c r="AS256" s="277"/>
      <c r="AT256" s="280"/>
      <c r="AU256" s="276"/>
      <c r="AV256" s="276"/>
      <c r="AW256" s="276"/>
      <c r="AX256" s="276"/>
      <c r="AY256" s="276"/>
      <c r="AZ256" s="276"/>
      <c r="BA256" s="276"/>
      <c r="BB256" s="276"/>
      <c r="BC256" s="276"/>
      <c r="BD256" s="276"/>
      <c r="BE256" s="276"/>
      <c r="BF256" s="276"/>
    </row>
    <row r="257" s="196" customFormat="1" ht="14" spans="1:58">
      <c r="A257" s="249"/>
      <c r="B257" s="250"/>
      <c r="C257" s="193"/>
      <c r="D257" s="249"/>
      <c r="G257" s="251"/>
      <c r="H257" s="251"/>
      <c r="I257" s="274"/>
      <c r="J257" s="251"/>
      <c r="K257" s="275"/>
      <c r="L257" s="253"/>
      <c r="M257" s="276"/>
      <c r="N257" s="277"/>
      <c r="O257" s="278"/>
      <c r="P257" s="277"/>
      <c r="Q257" s="277"/>
      <c r="R257" s="277"/>
      <c r="S257" s="278"/>
      <c r="T257" s="277"/>
      <c r="U257" s="277"/>
      <c r="V257" s="277"/>
      <c r="W257" s="278"/>
      <c r="X257" s="277"/>
      <c r="Y257" s="277"/>
      <c r="Z257" s="277"/>
      <c r="AA257" s="278"/>
      <c r="AB257" s="277"/>
      <c r="AC257" s="277"/>
      <c r="AD257" s="277"/>
      <c r="AE257" s="278"/>
      <c r="AF257" s="277"/>
      <c r="AG257" s="277"/>
      <c r="AH257" s="277"/>
      <c r="AI257" s="278"/>
      <c r="AJ257" s="277"/>
      <c r="AK257" s="277"/>
      <c r="AL257" s="277"/>
      <c r="AM257" s="278"/>
      <c r="AN257" s="277"/>
      <c r="AO257" s="277"/>
      <c r="AP257" s="277"/>
      <c r="AQ257" s="278"/>
      <c r="AR257" s="277"/>
      <c r="AS257" s="277"/>
      <c r="AT257" s="280"/>
      <c r="AU257" s="276"/>
      <c r="AV257" s="276"/>
      <c r="AW257" s="276"/>
      <c r="AX257" s="276"/>
      <c r="AY257" s="276"/>
      <c r="AZ257" s="276"/>
      <c r="BA257" s="276"/>
      <c r="BB257" s="276"/>
      <c r="BC257" s="276"/>
      <c r="BD257" s="276"/>
      <c r="BE257" s="276"/>
      <c r="BF257" s="276"/>
    </row>
    <row r="258" s="196" customFormat="1" ht="14" spans="1:58">
      <c r="A258" s="249"/>
      <c r="B258" s="250"/>
      <c r="C258" s="193"/>
      <c r="D258" s="249"/>
      <c r="G258" s="251"/>
      <c r="H258" s="251"/>
      <c r="I258" s="274"/>
      <c r="J258" s="251"/>
      <c r="K258" s="275"/>
      <c r="L258" s="253"/>
      <c r="M258" s="276"/>
      <c r="N258" s="277"/>
      <c r="O258" s="278"/>
      <c r="P258" s="277"/>
      <c r="Q258" s="277"/>
      <c r="R258" s="277"/>
      <c r="S258" s="278"/>
      <c r="T258" s="277"/>
      <c r="U258" s="277"/>
      <c r="V258" s="277"/>
      <c r="W258" s="278"/>
      <c r="X258" s="277"/>
      <c r="Y258" s="277"/>
      <c r="Z258" s="277"/>
      <c r="AA258" s="278"/>
      <c r="AB258" s="277"/>
      <c r="AC258" s="277"/>
      <c r="AD258" s="277"/>
      <c r="AE258" s="278"/>
      <c r="AF258" s="277"/>
      <c r="AG258" s="277"/>
      <c r="AH258" s="277"/>
      <c r="AI258" s="278"/>
      <c r="AJ258" s="277"/>
      <c r="AK258" s="277"/>
      <c r="AL258" s="277"/>
      <c r="AM258" s="278"/>
      <c r="AN258" s="277"/>
      <c r="AO258" s="277"/>
      <c r="AP258" s="277"/>
      <c r="AQ258" s="278"/>
      <c r="AR258" s="277"/>
      <c r="AS258" s="277"/>
      <c r="AT258" s="280"/>
      <c r="AU258" s="276"/>
      <c r="AV258" s="276"/>
      <c r="AW258" s="276"/>
      <c r="AX258" s="276"/>
      <c r="AY258" s="276"/>
      <c r="AZ258" s="276"/>
      <c r="BA258" s="276"/>
      <c r="BB258" s="276"/>
      <c r="BC258" s="276"/>
      <c r="BD258" s="276"/>
      <c r="BE258" s="276"/>
      <c r="BF258" s="276"/>
    </row>
    <row r="259" s="196" customFormat="1" ht="14" spans="1:58">
      <c r="A259" s="249"/>
      <c r="B259" s="250"/>
      <c r="C259" s="193"/>
      <c r="D259" s="249"/>
      <c r="G259" s="251"/>
      <c r="H259" s="251"/>
      <c r="I259" s="274"/>
      <c r="J259" s="251"/>
      <c r="K259" s="275"/>
      <c r="L259" s="253"/>
      <c r="M259" s="276"/>
      <c r="N259" s="277"/>
      <c r="O259" s="278"/>
      <c r="P259" s="277"/>
      <c r="Q259" s="277"/>
      <c r="R259" s="277"/>
      <c r="S259" s="278"/>
      <c r="T259" s="277"/>
      <c r="U259" s="277"/>
      <c r="V259" s="277"/>
      <c r="W259" s="278"/>
      <c r="X259" s="277"/>
      <c r="Y259" s="277"/>
      <c r="Z259" s="277"/>
      <c r="AA259" s="278"/>
      <c r="AB259" s="277"/>
      <c r="AC259" s="277"/>
      <c r="AD259" s="277"/>
      <c r="AE259" s="278"/>
      <c r="AF259" s="277"/>
      <c r="AG259" s="277"/>
      <c r="AH259" s="277"/>
      <c r="AI259" s="278"/>
      <c r="AJ259" s="277"/>
      <c r="AK259" s="277"/>
      <c r="AL259" s="277"/>
      <c r="AM259" s="278"/>
      <c r="AN259" s="277"/>
      <c r="AO259" s="277"/>
      <c r="AP259" s="277"/>
      <c r="AQ259" s="278"/>
      <c r="AR259" s="277"/>
      <c r="AS259" s="277"/>
      <c r="AT259" s="280"/>
      <c r="AU259" s="276"/>
      <c r="AV259" s="276"/>
      <c r="AW259" s="276"/>
      <c r="AX259" s="276"/>
      <c r="AY259" s="276"/>
      <c r="AZ259" s="276"/>
      <c r="BA259" s="276"/>
      <c r="BB259" s="276"/>
      <c r="BC259" s="276"/>
      <c r="BD259" s="276"/>
      <c r="BE259" s="276"/>
      <c r="BF259" s="276"/>
    </row>
    <row r="260" s="196" customFormat="1" ht="14" spans="1:58">
      <c r="A260" s="249"/>
      <c r="B260" s="250"/>
      <c r="C260" s="193"/>
      <c r="D260" s="249"/>
      <c r="G260" s="251"/>
      <c r="H260" s="251"/>
      <c r="I260" s="274"/>
      <c r="J260" s="251"/>
      <c r="K260" s="275"/>
      <c r="L260" s="253"/>
      <c r="M260" s="276"/>
      <c r="N260" s="277"/>
      <c r="O260" s="278"/>
      <c r="P260" s="277"/>
      <c r="Q260" s="277"/>
      <c r="R260" s="277"/>
      <c r="S260" s="278"/>
      <c r="T260" s="277"/>
      <c r="U260" s="277"/>
      <c r="V260" s="277"/>
      <c r="W260" s="278"/>
      <c r="X260" s="277"/>
      <c r="Y260" s="277"/>
      <c r="Z260" s="277"/>
      <c r="AA260" s="278"/>
      <c r="AB260" s="277"/>
      <c r="AC260" s="277"/>
      <c r="AD260" s="277"/>
      <c r="AE260" s="278"/>
      <c r="AF260" s="277"/>
      <c r="AG260" s="277"/>
      <c r="AH260" s="277"/>
      <c r="AI260" s="278"/>
      <c r="AJ260" s="277"/>
      <c r="AK260" s="277"/>
      <c r="AL260" s="277"/>
      <c r="AM260" s="278"/>
      <c r="AN260" s="277"/>
      <c r="AO260" s="277"/>
      <c r="AP260" s="277"/>
      <c r="AQ260" s="278"/>
      <c r="AR260" s="277"/>
      <c r="AS260" s="277"/>
      <c r="AT260" s="280"/>
      <c r="AU260" s="276"/>
      <c r="AV260" s="276"/>
      <c r="AW260" s="276"/>
      <c r="AX260" s="276"/>
      <c r="AY260" s="276"/>
      <c r="AZ260" s="276"/>
      <c r="BA260" s="276"/>
      <c r="BB260" s="276"/>
      <c r="BC260" s="276"/>
      <c r="BD260" s="276"/>
      <c r="BE260" s="276"/>
      <c r="BF260" s="276"/>
    </row>
    <row r="261" s="196" customFormat="1" ht="14" spans="1:58">
      <c r="A261" s="249"/>
      <c r="B261" s="250"/>
      <c r="C261" s="193"/>
      <c r="D261" s="249"/>
      <c r="G261" s="251"/>
      <c r="H261" s="251"/>
      <c r="I261" s="274"/>
      <c r="J261" s="251"/>
      <c r="K261" s="275"/>
      <c r="L261" s="253"/>
      <c r="M261" s="276"/>
      <c r="N261" s="277"/>
      <c r="O261" s="278"/>
      <c r="P261" s="277"/>
      <c r="Q261" s="277"/>
      <c r="R261" s="277"/>
      <c r="S261" s="278"/>
      <c r="T261" s="277"/>
      <c r="U261" s="277"/>
      <c r="V261" s="277"/>
      <c r="W261" s="278"/>
      <c r="X261" s="277"/>
      <c r="Y261" s="277"/>
      <c r="Z261" s="277"/>
      <c r="AA261" s="278"/>
      <c r="AB261" s="277"/>
      <c r="AC261" s="277"/>
      <c r="AD261" s="277"/>
      <c r="AE261" s="278"/>
      <c r="AF261" s="277"/>
      <c r="AG261" s="277"/>
      <c r="AH261" s="277"/>
      <c r="AI261" s="278"/>
      <c r="AJ261" s="277"/>
      <c r="AK261" s="277"/>
      <c r="AL261" s="277"/>
      <c r="AM261" s="278"/>
      <c r="AN261" s="277"/>
      <c r="AO261" s="277"/>
      <c r="AP261" s="277"/>
      <c r="AQ261" s="278"/>
      <c r="AR261" s="277"/>
      <c r="AS261" s="277"/>
      <c r="AT261" s="280"/>
      <c r="AU261" s="276"/>
      <c r="AV261" s="276"/>
      <c r="AW261" s="276"/>
      <c r="AX261" s="276"/>
      <c r="AY261" s="276"/>
      <c r="AZ261" s="276"/>
      <c r="BA261" s="276"/>
      <c r="BB261" s="276"/>
      <c r="BC261" s="276"/>
      <c r="BD261" s="276"/>
      <c r="BE261" s="276"/>
      <c r="BF261" s="276"/>
    </row>
    <row r="262" s="196" customFormat="1" ht="14" spans="1:58">
      <c r="A262" s="249"/>
      <c r="B262" s="250"/>
      <c r="C262" s="193"/>
      <c r="D262" s="249"/>
      <c r="G262" s="251"/>
      <c r="H262" s="251"/>
      <c r="I262" s="274"/>
      <c r="J262" s="251"/>
      <c r="K262" s="275"/>
      <c r="L262" s="253"/>
      <c r="M262" s="276"/>
      <c r="N262" s="277"/>
      <c r="O262" s="278"/>
      <c r="P262" s="277"/>
      <c r="Q262" s="277"/>
      <c r="R262" s="277"/>
      <c r="S262" s="278"/>
      <c r="T262" s="277"/>
      <c r="U262" s="277"/>
      <c r="V262" s="277"/>
      <c r="W262" s="278"/>
      <c r="X262" s="277"/>
      <c r="Y262" s="277"/>
      <c r="Z262" s="277"/>
      <c r="AA262" s="278"/>
      <c r="AB262" s="277"/>
      <c r="AC262" s="277"/>
      <c r="AD262" s="277"/>
      <c r="AE262" s="278"/>
      <c r="AF262" s="277"/>
      <c r="AG262" s="277"/>
      <c r="AH262" s="277"/>
      <c r="AI262" s="278"/>
      <c r="AJ262" s="277"/>
      <c r="AK262" s="277"/>
      <c r="AL262" s="277"/>
      <c r="AM262" s="278"/>
      <c r="AN262" s="277"/>
      <c r="AO262" s="277"/>
      <c r="AP262" s="277"/>
      <c r="AQ262" s="278"/>
      <c r="AR262" s="277"/>
      <c r="AS262" s="277"/>
      <c r="AT262" s="280"/>
      <c r="AU262" s="276"/>
      <c r="AV262" s="276"/>
      <c r="AW262" s="276"/>
      <c r="AX262" s="276"/>
      <c r="AY262" s="276"/>
      <c r="AZ262" s="276"/>
      <c r="BA262" s="276"/>
      <c r="BB262" s="276"/>
      <c r="BC262" s="276"/>
      <c r="BD262" s="276"/>
      <c r="BE262" s="276"/>
      <c r="BF262" s="276"/>
    </row>
    <row r="263" s="196" customFormat="1" ht="14" spans="1:58">
      <c r="A263" s="249"/>
      <c r="B263" s="250"/>
      <c r="C263" s="193"/>
      <c r="D263" s="249"/>
      <c r="G263" s="251"/>
      <c r="H263" s="251"/>
      <c r="I263" s="274"/>
      <c r="J263" s="251"/>
      <c r="K263" s="275"/>
      <c r="L263" s="253"/>
      <c r="M263" s="276"/>
      <c r="N263" s="277"/>
      <c r="O263" s="278"/>
      <c r="P263" s="277"/>
      <c r="Q263" s="277"/>
      <c r="R263" s="277"/>
      <c r="S263" s="278"/>
      <c r="T263" s="277"/>
      <c r="U263" s="277"/>
      <c r="V263" s="277"/>
      <c r="W263" s="278"/>
      <c r="X263" s="277"/>
      <c r="Y263" s="277"/>
      <c r="Z263" s="277"/>
      <c r="AA263" s="278"/>
      <c r="AB263" s="277"/>
      <c r="AC263" s="277"/>
      <c r="AD263" s="277"/>
      <c r="AE263" s="278"/>
      <c r="AF263" s="277"/>
      <c r="AG263" s="277"/>
      <c r="AH263" s="277"/>
      <c r="AI263" s="278"/>
      <c r="AJ263" s="277"/>
      <c r="AK263" s="277"/>
      <c r="AL263" s="277"/>
      <c r="AM263" s="278"/>
      <c r="AN263" s="277"/>
      <c r="AO263" s="277"/>
      <c r="AP263" s="277"/>
      <c r="AQ263" s="278"/>
      <c r="AR263" s="277"/>
      <c r="AS263" s="277"/>
      <c r="AT263" s="280"/>
      <c r="AU263" s="276"/>
      <c r="AV263" s="276"/>
      <c r="AW263" s="276"/>
      <c r="AX263" s="276"/>
      <c r="AY263" s="276"/>
      <c r="AZ263" s="276"/>
      <c r="BA263" s="276"/>
      <c r="BB263" s="276"/>
      <c r="BC263" s="276"/>
      <c r="BD263" s="276"/>
      <c r="BE263" s="276"/>
      <c r="BF263" s="276"/>
    </row>
    <row r="264" s="196" customFormat="1" ht="14" spans="1:58">
      <c r="A264" s="249"/>
      <c r="B264" s="250"/>
      <c r="C264" s="193"/>
      <c r="D264" s="249"/>
      <c r="G264" s="251"/>
      <c r="H264" s="251"/>
      <c r="I264" s="274"/>
      <c r="J264" s="251"/>
      <c r="K264" s="275"/>
      <c r="L264" s="253"/>
      <c r="M264" s="276"/>
      <c r="N264" s="277"/>
      <c r="O264" s="278"/>
      <c r="P264" s="277"/>
      <c r="Q264" s="277"/>
      <c r="R264" s="277"/>
      <c r="S264" s="278"/>
      <c r="T264" s="277"/>
      <c r="U264" s="277"/>
      <c r="V264" s="277"/>
      <c r="W264" s="278"/>
      <c r="X264" s="277"/>
      <c r="Y264" s="277"/>
      <c r="Z264" s="277"/>
      <c r="AA264" s="278"/>
      <c r="AB264" s="277"/>
      <c r="AC264" s="277"/>
      <c r="AD264" s="277"/>
      <c r="AE264" s="278"/>
      <c r="AF264" s="277"/>
      <c r="AG264" s="277"/>
      <c r="AH264" s="277"/>
      <c r="AI264" s="278"/>
      <c r="AJ264" s="277"/>
      <c r="AK264" s="277"/>
      <c r="AL264" s="277"/>
      <c r="AM264" s="278"/>
      <c r="AN264" s="277"/>
      <c r="AO264" s="277"/>
      <c r="AP264" s="277"/>
      <c r="AQ264" s="278"/>
      <c r="AR264" s="277"/>
      <c r="AS264" s="277"/>
      <c r="AT264" s="280"/>
      <c r="AU264" s="276"/>
      <c r="AV264" s="276"/>
      <c r="AW264" s="276"/>
      <c r="AX264" s="276"/>
      <c r="AY264" s="276"/>
      <c r="AZ264" s="276"/>
      <c r="BA264" s="276"/>
      <c r="BB264" s="276"/>
      <c r="BC264" s="276"/>
      <c r="BD264" s="276"/>
      <c r="BE264" s="276"/>
      <c r="BF264" s="276"/>
    </row>
    <row r="265" s="196" customFormat="1" ht="14" spans="1:58">
      <c r="A265" s="249"/>
      <c r="B265" s="250"/>
      <c r="C265" s="193"/>
      <c r="D265" s="249"/>
      <c r="G265" s="251"/>
      <c r="H265" s="251"/>
      <c r="I265" s="274"/>
      <c r="J265" s="251"/>
      <c r="K265" s="275"/>
      <c r="L265" s="253"/>
      <c r="M265" s="276"/>
      <c r="N265" s="277"/>
      <c r="O265" s="278"/>
      <c r="P265" s="277"/>
      <c r="Q265" s="277"/>
      <c r="R265" s="277"/>
      <c r="S265" s="278"/>
      <c r="T265" s="277"/>
      <c r="U265" s="277"/>
      <c r="V265" s="277"/>
      <c r="W265" s="278"/>
      <c r="X265" s="277"/>
      <c r="Y265" s="277"/>
      <c r="Z265" s="277"/>
      <c r="AA265" s="278"/>
      <c r="AB265" s="277"/>
      <c r="AC265" s="277"/>
      <c r="AD265" s="277"/>
      <c r="AE265" s="278"/>
      <c r="AF265" s="277"/>
      <c r="AG265" s="277"/>
      <c r="AH265" s="277"/>
      <c r="AI265" s="278"/>
      <c r="AJ265" s="277"/>
      <c r="AK265" s="277"/>
      <c r="AL265" s="277"/>
      <c r="AM265" s="278"/>
      <c r="AN265" s="277"/>
      <c r="AO265" s="277"/>
      <c r="AP265" s="277"/>
      <c r="AQ265" s="278"/>
      <c r="AR265" s="277"/>
      <c r="AS265" s="277"/>
      <c r="AT265" s="280"/>
      <c r="AU265" s="276"/>
      <c r="AV265" s="276"/>
      <c r="AW265" s="276"/>
      <c r="AX265" s="276"/>
      <c r="AY265" s="276"/>
      <c r="AZ265" s="276"/>
      <c r="BA265" s="276"/>
      <c r="BB265" s="276"/>
      <c r="BC265" s="276"/>
      <c r="BD265" s="276"/>
      <c r="BE265" s="276"/>
      <c r="BF265" s="276"/>
    </row>
    <row r="266" s="196" customFormat="1" ht="14" spans="1:58">
      <c r="A266" s="249"/>
      <c r="B266" s="250"/>
      <c r="C266" s="193"/>
      <c r="D266" s="249"/>
      <c r="G266" s="251"/>
      <c r="H266" s="251"/>
      <c r="I266" s="274"/>
      <c r="J266" s="251"/>
      <c r="K266" s="275"/>
      <c r="L266" s="253"/>
      <c r="M266" s="276"/>
      <c r="N266" s="277"/>
      <c r="O266" s="278"/>
      <c r="P266" s="277"/>
      <c r="Q266" s="277"/>
      <c r="R266" s="277"/>
      <c r="S266" s="278"/>
      <c r="T266" s="277"/>
      <c r="U266" s="277"/>
      <c r="V266" s="277"/>
      <c r="W266" s="278"/>
      <c r="X266" s="277"/>
      <c r="Y266" s="277"/>
      <c r="Z266" s="277"/>
      <c r="AA266" s="278"/>
      <c r="AB266" s="277"/>
      <c r="AC266" s="277"/>
      <c r="AD266" s="277"/>
      <c r="AE266" s="278"/>
      <c r="AF266" s="277"/>
      <c r="AG266" s="277"/>
      <c r="AH266" s="277"/>
      <c r="AI266" s="278"/>
      <c r="AJ266" s="277"/>
      <c r="AK266" s="277"/>
      <c r="AL266" s="277"/>
      <c r="AM266" s="278"/>
      <c r="AN266" s="277"/>
      <c r="AO266" s="277"/>
      <c r="AP266" s="277"/>
      <c r="AQ266" s="278"/>
      <c r="AR266" s="277"/>
      <c r="AS266" s="277"/>
      <c r="AT266" s="280"/>
      <c r="AU266" s="276"/>
      <c r="AV266" s="276"/>
      <c r="AW266" s="276"/>
      <c r="AX266" s="276"/>
      <c r="AY266" s="276"/>
      <c r="AZ266" s="276"/>
      <c r="BA266" s="276"/>
      <c r="BB266" s="276"/>
      <c r="BC266" s="276"/>
      <c r="BD266" s="276"/>
      <c r="BE266" s="276"/>
      <c r="BF266" s="276"/>
    </row>
    <row r="267" s="196" customFormat="1" ht="14" spans="1:58">
      <c r="A267" s="249"/>
      <c r="B267" s="250"/>
      <c r="C267" s="193"/>
      <c r="D267" s="249"/>
      <c r="G267" s="251"/>
      <c r="H267" s="251"/>
      <c r="I267" s="274"/>
      <c r="J267" s="251"/>
      <c r="K267" s="275"/>
      <c r="L267" s="253"/>
      <c r="M267" s="276"/>
      <c r="N267" s="277"/>
      <c r="O267" s="278"/>
      <c r="P267" s="277"/>
      <c r="Q267" s="277"/>
      <c r="R267" s="277"/>
      <c r="S267" s="278"/>
      <c r="T267" s="277"/>
      <c r="U267" s="277"/>
      <c r="V267" s="277"/>
      <c r="W267" s="278"/>
      <c r="X267" s="277"/>
      <c r="Y267" s="277"/>
      <c r="Z267" s="277"/>
      <c r="AA267" s="278"/>
      <c r="AB267" s="277"/>
      <c r="AC267" s="277"/>
      <c r="AD267" s="277"/>
      <c r="AE267" s="278"/>
      <c r="AF267" s="277"/>
      <c r="AG267" s="277"/>
      <c r="AH267" s="277"/>
      <c r="AI267" s="278"/>
      <c r="AJ267" s="277"/>
      <c r="AK267" s="277"/>
      <c r="AL267" s="277"/>
      <c r="AM267" s="278"/>
      <c r="AN267" s="277"/>
      <c r="AO267" s="277"/>
      <c r="AP267" s="277"/>
      <c r="AQ267" s="278"/>
      <c r="AR267" s="277"/>
      <c r="AS267" s="277"/>
      <c r="AT267" s="280"/>
      <c r="AU267" s="276"/>
      <c r="AV267" s="276"/>
      <c r="AW267" s="276"/>
      <c r="AX267" s="276"/>
      <c r="AY267" s="276"/>
      <c r="AZ267" s="276"/>
      <c r="BA267" s="276"/>
      <c r="BB267" s="276"/>
      <c r="BC267" s="276"/>
      <c r="BD267" s="276"/>
      <c r="BE267" s="276"/>
      <c r="BF267" s="276"/>
    </row>
    <row r="268" s="196" customFormat="1" ht="14" spans="1:58">
      <c r="A268" s="249"/>
      <c r="B268" s="250"/>
      <c r="C268" s="193"/>
      <c r="D268" s="249"/>
      <c r="G268" s="251"/>
      <c r="H268" s="251"/>
      <c r="I268" s="274"/>
      <c r="J268" s="251"/>
      <c r="K268" s="275"/>
      <c r="L268" s="253"/>
      <c r="M268" s="276"/>
      <c r="N268" s="277"/>
      <c r="O268" s="278"/>
      <c r="P268" s="277"/>
      <c r="Q268" s="277"/>
      <c r="R268" s="277"/>
      <c r="S268" s="278"/>
      <c r="T268" s="277"/>
      <c r="U268" s="277"/>
      <c r="V268" s="277"/>
      <c r="W268" s="278"/>
      <c r="X268" s="277"/>
      <c r="Y268" s="277"/>
      <c r="Z268" s="277"/>
      <c r="AA268" s="278"/>
      <c r="AB268" s="277"/>
      <c r="AC268" s="277"/>
      <c r="AD268" s="277"/>
      <c r="AE268" s="278"/>
      <c r="AF268" s="277"/>
      <c r="AG268" s="277"/>
      <c r="AH268" s="277"/>
      <c r="AI268" s="278"/>
      <c r="AJ268" s="277"/>
      <c r="AK268" s="277"/>
      <c r="AL268" s="277"/>
      <c r="AM268" s="278"/>
      <c r="AN268" s="277"/>
      <c r="AO268" s="277"/>
      <c r="AP268" s="277"/>
      <c r="AQ268" s="278"/>
      <c r="AR268" s="277"/>
      <c r="AS268" s="277"/>
      <c r="AT268" s="280"/>
      <c r="AU268" s="276"/>
      <c r="AV268" s="276"/>
      <c r="AW268" s="276"/>
      <c r="AX268" s="276"/>
      <c r="AY268" s="276"/>
      <c r="AZ268" s="276"/>
      <c r="BA268" s="276"/>
      <c r="BB268" s="276"/>
      <c r="BC268" s="276"/>
      <c r="BD268" s="276"/>
      <c r="BE268" s="276"/>
      <c r="BF268" s="276"/>
    </row>
    <row r="269" s="196" customFormat="1" ht="14" spans="1:58">
      <c r="A269" s="249"/>
      <c r="B269" s="250"/>
      <c r="C269" s="193"/>
      <c r="D269" s="249"/>
      <c r="G269" s="251"/>
      <c r="H269" s="251"/>
      <c r="I269" s="274"/>
      <c r="J269" s="251"/>
      <c r="K269" s="275"/>
      <c r="L269" s="253"/>
      <c r="M269" s="276"/>
      <c r="N269" s="277"/>
      <c r="O269" s="278"/>
      <c r="P269" s="277"/>
      <c r="Q269" s="277"/>
      <c r="R269" s="277"/>
      <c r="S269" s="278"/>
      <c r="T269" s="277"/>
      <c r="U269" s="277"/>
      <c r="V269" s="277"/>
      <c r="W269" s="278"/>
      <c r="X269" s="277"/>
      <c r="Y269" s="277"/>
      <c r="Z269" s="277"/>
      <c r="AA269" s="278"/>
      <c r="AB269" s="277"/>
      <c r="AC269" s="277"/>
      <c r="AD269" s="277"/>
      <c r="AE269" s="278"/>
      <c r="AF269" s="277"/>
      <c r="AG269" s="277"/>
      <c r="AH269" s="277"/>
      <c r="AI269" s="278"/>
      <c r="AJ269" s="277"/>
      <c r="AK269" s="277"/>
      <c r="AL269" s="277"/>
      <c r="AM269" s="278"/>
      <c r="AN269" s="277"/>
      <c r="AO269" s="277"/>
      <c r="AP269" s="277"/>
      <c r="AQ269" s="278"/>
      <c r="AR269" s="277"/>
      <c r="AS269" s="277"/>
      <c r="AT269" s="280"/>
      <c r="AU269" s="276"/>
      <c r="AV269" s="276"/>
      <c r="AW269" s="276"/>
      <c r="AX269" s="276"/>
      <c r="AY269" s="276"/>
      <c r="AZ269" s="276"/>
      <c r="BA269" s="276"/>
      <c r="BB269" s="276"/>
      <c r="BC269" s="276"/>
      <c r="BD269" s="276"/>
      <c r="BE269" s="276"/>
      <c r="BF269" s="276"/>
    </row>
    <row r="270" s="196" customFormat="1" ht="14" spans="1:58">
      <c r="A270" s="249"/>
      <c r="B270" s="250"/>
      <c r="C270" s="193"/>
      <c r="D270" s="249"/>
      <c r="G270" s="251"/>
      <c r="H270" s="251"/>
      <c r="I270" s="274"/>
      <c r="J270" s="251"/>
      <c r="K270" s="275"/>
      <c r="L270" s="253"/>
      <c r="M270" s="276"/>
      <c r="N270" s="277"/>
      <c r="O270" s="278"/>
      <c r="P270" s="277"/>
      <c r="Q270" s="277"/>
      <c r="R270" s="277"/>
      <c r="S270" s="278"/>
      <c r="T270" s="277"/>
      <c r="U270" s="277"/>
      <c r="V270" s="277"/>
      <c r="W270" s="278"/>
      <c r="X270" s="277"/>
      <c r="Y270" s="277"/>
      <c r="Z270" s="277"/>
      <c r="AA270" s="278"/>
      <c r="AB270" s="277"/>
      <c r="AC270" s="277"/>
      <c r="AD270" s="277"/>
      <c r="AE270" s="278"/>
      <c r="AF270" s="277"/>
      <c r="AG270" s="277"/>
      <c r="AH270" s="277"/>
      <c r="AI270" s="278"/>
      <c r="AJ270" s="277"/>
      <c r="AK270" s="277"/>
      <c r="AL270" s="277"/>
      <c r="AM270" s="278"/>
      <c r="AN270" s="277"/>
      <c r="AO270" s="277"/>
      <c r="AP270" s="277"/>
      <c r="AQ270" s="278"/>
      <c r="AR270" s="277"/>
      <c r="AS270" s="277"/>
      <c r="AT270" s="280"/>
      <c r="AU270" s="276"/>
      <c r="AV270" s="276"/>
      <c r="AW270" s="276"/>
      <c r="AX270" s="276"/>
      <c r="AY270" s="276"/>
      <c r="AZ270" s="276"/>
      <c r="BA270" s="276"/>
      <c r="BB270" s="276"/>
      <c r="BC270" s="276"/>
      <c r="BD270" s="276"/>
      <c r="BE270" s="276"/>
      <c r="BF270" s="276"/>
    </row>
    <row r="271" s="196" customFormat="1" ht="14" spans="1:58">
      <c r="A271" s="249"/>
      <c r="B271" s="250"/>
      <c r="C271" s="193"/>
      <c r="D271" s="249"/>
      <c r="G271" s="251"/>
      <c r="H271" s="251"/>
      <c r="I271" s="274"/>
      <c r="J271" s="251"/>
      <c r="K271" s="275"/>
      <c r="L271" s="253"/>
      <c r="M271" s="276"/>
      <c r="N271" s="277"/>
      <c r="O271" s="278"/>
      <c r="P271" s="277"/>
      <c r="Q271" s="277"/>
      <c r="R271" s="277"/>
      <c r="S271" s="278"/>
      <c r="T271" s="277"/>
      <c r="U271" s="277"/>
      <c r="V271" s="277"/>
      <c r="W271" s="278"/>
      <c r="X271" s="277"/>
      <c r="Y271" s="277"/>
      <c r="Z271" s="277"/>
      <c r="AA271" s="278"/>
      <c r="AB271" s="277"/>
      <c r="AC271" s="277"/>
      <c r="AD271" s="277"/>
      <c r="AE271" s="278"/>
      <c r="AF271" s="277"/>
      <c r="AG271" s="277"/>
      <c r="AH271" s="277"/>
      <c r="AI271" s="278"/>
      <c r="AJ271" s="277"/>
      <c r="AK271" s="277"/>
      <c r="AL271" s="277"/>
      <c r="AM271" s="278"/>
      <c r="AN271" s="277"/>
      <c r="AO271" s="277"/>
      <c r="AP271" s="277"/>
      <c r="AQ271" s="278"/>
      <c r="AR271" s="277"/>
      <c r="AS271" s="277"/>
      <c r="AT271" s="280"/>
      <c r="AU271" s="276"/>
      <c r="AV271" s="276"/>
      <c r="AW271" s="276"/>
      <c r="AX271" s="276"/>
      <c r="AY271" s="276"/>
      <c r="AZ271" s="276"/>
      <c r="BA271" s="276"/>
      <c r="BB271" s="276"/>
      <c r="BC271" s="276"/>
      <c r="BD271" s="276"/>
      <c r="BE271" s="276"/>
      <c r="BF271" s="276"/>
    </row>
    <row r="272" s="196" customFormat="1" ht="14" spans="1:58">
      <c r="A272" s="249"/>
      <c r="B272" s="250"/>
      <c r="C272" s="193"/>
      <c r="D272" s="249"/>
      <c r="G272" s="251"/>
      <c r="H272" s="251"/>
      <c r="I272" s="274"/>
      <c r="J272" s="251"/>
      <c r="K272" s="275"/>
      <c r="L272" s="253"/>
      <c r="M272" s="276"/>
      <c r="N272" s="277"/>
      <c r="O272" s="278"/>
      <c r="P272" s="277"/>
      <c r="Q272" s="277"/>
      <c r="R272" s="277"/>
      <c r="S272" s="278"/>
      <c r="T272" s="277"/>
      <c r="U272" s="277"/>
      <c r="V272" s="277"/>
      <c r="W272" s="278"/>
      <c r="X272" s="277"/>
      <c r="Y272" s="277"/>
      <c r="Z272" s="277"/>
      <c r="AA272" s="278"/>
      <c r="AB272" s="277"/>
      <c r="AC272" s="277"/>
      <c r="AD272" s="277"/>
      <c r="AE272" s="278"/>
      <c r="AF272" s="277"/>
      <c r="AG272" s="277"/>
      <c r="AH272" s="277"/>
      <c r="AI272" s="278"/>
      <c r="AJ272" s="277"/>
      <c r="AK272" s="277"/>
      <c r="AL272" s="277"/>
      <c r="AM272" s="278"/>
      <c r="AN272" s="277"/>
      <c r="AO272" s="277"/>
      <c r="AP272" s="277"/>
      <c r="AQ272" s="278"/>
      <c r="AR272" s="277"/>
      <c r="AS272" s="277"/>
      <c r="AT272" s="280"/>
      <c r="AU272" s="276"/>
      <c r="AV272" s="276"/>
      <c r="AW272" s="276"/>
      <c r="AX272" s="276"/>
      <c r="AY272" s="276"/>
      <c r="AZ272" s="276"/>
      <c r="BA272" s="276"/>
      <c r="BB272" s="276"/>
      <c r="BC272" s="276"/>
      <c r="BD272" s="276"/>
      <c r="BE272" s="276"/>
      <c r="BF272" s="276"/>
    </row>
    <row r="273" s="196" customFormat="1" ht="14" spans="1:58">
      <c r="A273" s="249"/>
      <c r="B273" s="250"/>
      <c r="C273" s="193"/>
      <c r="D273" s="249"/>
      <c r="G273" s="251"/>
      <c r="H273" s="251"/>
      <c r="I273" s="274"/>
      <c r="J273" s="251"/>
      <c r="K273" s="275"/>
      <c r="L273" s="253"/>
      <c r="M273" s="276"/>
      <c r="N273" s="277"/>
      <c r="O273" s="278"/>
      <c r="P273" s="277"/>
      <c r="Q273" s="277"/>
      <c r="R273" s="277"/>
      <c r="S273" s="278"/>
      <c r="T273" s="277"/>
      <c r="U273" s="277"/>
      <c r="V273" s="277"/>
      <c r="W273" s="278"/>
      <c r="X273" s="277"/>
      <c r="Y273" s="277"/>
      <c r="Z273" s="277"/>
      <c r="AA273" s="278"/>
      <c r="AB273" s="277"/>
      <c r="AC273" s="277"/>
      <c r="AD273" s="277"/>
      <c r="AE273" s="278"/>
      <c r="AF273" s="277"/>
      <c r="AG273" s="277"/>
      <c r="AH273" s="277"/>
      <c r="AI273" s="278"/>
      <c r="AJ273" s="277"/>
      <c r="AK273" s="277"/>
      <c r="AL273" s="277"/>
      <c r="AM273" s="278"/>
      <c r="AN273" s="277"/>
      <c r="AO273" s="277"/>
      <c r="AP273" s="277"/>
      <c r="AQ273" s="278"/>
      <c r="AR273" s="277"/>
      <c r="AS273" s="277"/>
      <c r="AT273" s="280"/>
      <c r="AU273" s="276"/>
      <c r="AV273" s="276"/>
      <c r="AW273" s="276"/>
      <c r="AX273" s="276"/>
      <c r="AY273" s="276"/>
      <c r="AZ273" s="276"/>
      <c r="BA273" s="276"/>
      <c r="BB273" s="276"/>
      <c r="BC273" s="276"/>
      <c r="BD273" s="276"/>
      <c r="BE273" s="276"/>
      <c r="BF273" s="276"/>
    </row>
    <row r="274" s="196" customFormat="1" ht="14" spans="1:58">
      <c r="A274" s="249"/>
      <c r="B274" s="250"/>
      <c r="C274" s="193"/>
      <c r="D274" s="249"/>
      <c r="G274" s="251"/>
      <c r="H274" s="251"/>
      <c r="I274" s="274"/>
      <c r="J274" s="251"/>
      <c r="K274" s="275"/>
      <c r="L274" s="253"/>
      <c r="M274" s="276"/>
      <c r="N274" s="277"/>
      <c r="O274" s="278"/>
      <c r="P274" s="277"/>
      <c r="Q274" s="277"/>
      <c r="R274" s="277"/>
      <c r="S274" s="278"/>
      <c r="T274" s="277"/>
      <c r="U274" s="277"/>
      <c r="V274" s="277"/>
      <c r="W274" s="278"/>
      <c r="X274" s="277"/>
      <c r="Y274" s="277"/>
      <c r="Z274" s="277"/>
      <c r="AA274" s="278"/>
      <c r="AB274" s="277"/>
      <c r="AC274" s="277"/>
      <c r="AD274" s="277"/>
      <c r="AE274" s="278"/>
      <c r="AF274" s="277"/>
      <c r="AG274" s="277"/>
      <c r="AH274" s="277"/>
      <c r="AI274" s="278"/>
      <c r="AJ274" s="277"/>
      <c r="AK274" s="277"/>
      <c r="AL274" s="277"/>
      <c r="AM274" s="278"/>
      <c r="AN274" s="277"/>
      <c r="AO274" s="277"/>
      <c r="AP274" s="277"/>
      <c r="AQ274" s="278"/>
      <c r="AR274" s="277"/>
      <c r="AS274" s="277"/>
      <c r="AT274" s="280"/>
      <c r="AU274" s="276"/>
      <c r="AV274" s="276"/>
      <c r="AW274" s="276"/>
      <c r="AX274" s="276"/>
      <c r="AY274" s="276"/>
      <c r="AZ274" s="276"/>
      <c r="BA274" s="276"/>
      <c r="BB274" s="276"/>
      <c r="BC274" s="276"/>
      <c r="BD274" s="276"/>
      <c r="BE274" s="276"/>
      <c r="BF274" s="276"/>
    </row>
    <row r="275" s="196" customFormat="1" ht="14" spans="1:58">
      <c r="A275" s="249"/>
      <c r="B275" s="250"/>
      <c r="C275" s="193"/>
      <c r="D275" s="249"/>
      <c r="G275" s="251"/>
      <c r="H275" s="251"/>
      <c r="I275" s="274"/>
      <c r="J275" s="251"/>
      <c r="K275" s="275"/>
      <c r="L275" s="253"/>
      <c r="M275" s="276"/>
      <c r="N275" s="277"/>
      <c r="O275" s="278"/>
      <c r="P275" s="277"/>
      <c r="Q275" s="277"/>
      <c r="R275" s="277"/>
      <c r="S275" s="278"/>
      <c r="T275" s="277"/>
      <c r="U275" s="277"/>
      <c r="V275" s="277"/>
      <c r="W275" s="278"/>
      <c r="X275" s="277"/>
      <c r="Y275" s="277"/>
      <c r="Z275" s="277"/>
      <c r="AA275" s="278"/>
      <c r="AB275" s="277"/>
      <c r="AC275" s="277"/>
      <c r="AD275" s="277"/>
      <c r="AE275" s="278"/>
      <c r="AF275" s="277"/>
      <c r="AG275" s="277"/>
      <c r="AH275" s="277"/>
      <c r="AI275" s="278"/>
      <c r="AJ275" s="277"/>
      <c r="AK275" s="277"/>
      <c r="AL275" s="277"/>
      <c r="AM275" s="278"/>
      <c r="AN275" s="277"/>
      <c r="AO275" s="277"/>
      <c r="AP275" s="277"/>
      <c r="AQ275" s="278"/>
      <c r="AR275" s="277"/>
      <c r="AS275" s="277"/>
      <c r="AT275" s="280"/>
      <c r="AU275" s="276"/>
      <c r="AV275" s="276"/>
      <c r="AW275" s="276"/>
      <c r="AX275" s="276"/>
      <c r="AY275" s="276"/>
      <c r="AZ275" s="276"/>
      <c r="BA275" s="276"/>
      <c r="BB275" s="276"/>
      <c r="BC275" s="276"/>
      <c r="BD275" s="276"/>
      <c r="BE275" s="276"/>
      <c r="BF275" s="276"/>
    </row>
    <row r="276" s="196" customFormat="1" ht="14" spans="1:58">
      <c r="A276" s="249"/>
      <c r="B276" s="250"/>
      <c r="C276" s="193"/>
      <c r="D276" s="249"/>
      <c r="G276" s="251"/>
      <c r="H276" s="251"/>
      <c r="I276" s="274"/>
      <c r="J276" s="251"/>
      <c r="K276" s="275"/>
      <c r="L276" s="253"/>
      <c r="M276" s="276"/>
      <c r="N276" s="277"/>
      <c r="O276" s="278"/>
      <c r="P276" s="277"/>
      <c r="Q276" s="277"/>
      <c r="R276" s="277"/>
      <c r="S276" s="278"/>
      <c r="T276" s="277"/>
      <c r="U276" s="277"/>
      <c r="V276" s="277"/>
      <c r="W276" s="278"/>
      <c r="X276" s="277"/>
      <c r="Y276" s="277"/>
      <c r="Z276" s="277"/>
      <c r="AA276" s="278"/>
      <c r="AB276" s="277"/>
      <c r="AC276" s="277"/>
      <c r="AD276" s="277"/>
      <c r="AE276" s="278"/>
      <c r="AF276" s="277"/>
      <c r="AG276" s="277"/>
      <c r="AH276" s="277"/>
      <c r="AI276" s="278"/>
      <c r="AJ276" s="277"/>
      <c r="AK276" s="277"/>
      <c r="AL276" s="277"/>
      <c r="AM276" s="278"/>
      <c r="AN276" s="277"/>
      <c r="AO276" s="277"/>
      <c r="AP276" s="277"/>
      <c r="AQ276" s="278"/>
      <c r="AR276" s="277"/>
      <c r="AS276" s="277"/>
      <c r="AT276" s="280"/>
      <c r="AU276" s="276"/>
      <c r="AV276" s="276"/>
      <c r="AW276" s="276"/>
      <c r="AX276" s="276"/>
      <c r="AY276" s="276"/>
      <c r="AZ276" s="276"/>
      <c r="BA276" s="276"/>
      <c r="BB276" s="276"/>
      <c r="BC276" s="276"/>
      <c r="BD276" s="276"/>
      <c r="BE276" s="276"/>
      <c r="BF276" s="276"/>
    </row>
    <row r="277" s="196" customFormat="1" ht="14" spans="1:58">
      <c r="A277" s="249"/>
      <c r="B277" s="250"/>
      <c r="C277" s="193"/>
      <c r="D277" s="249"/>
      <c r="G277" s="251"/>
      <c r="H277" s="251"/>
      <c r="I277" s="274"/>
      <c r="J277" s="251"/>
      <c r="K277" s="275"/>
      <c r="L277" s="253"/>
      <c r="M277" s="276"/>
      <c r="N277" s="277"/>
      <c r="O277" s="278"/>
      <c r="P277" s="277"/>
      <c r="Q277" s="277"/>
      <c r="R277" s="277"/>
      <c r="S277" s="278"/>
      <c r="T277" s="277"/>
      <c r="U277" s="277"/>
      <c r="V277" s="277"/>
      <c r="W277" s="278"/>
      <c r="X277" s="277"/>
      <c r="Y277" s="277"/>
      <c r="Z277" s="277"/>
      <c r="AA277" s="278"/>
      <c r="AB277" s="277"/>
      <c r="AC277" s="277"/>
      <c r="AD277" s="277"/>
      <c r="AE277" s="278"/>
      <c r="AF277" s="277"/>
      <c r="AG277" s="277"/>
      <c r="AH277" s="277"/>
      <c r="AI277" s="278"/>
      <c r="AJ277" s="277"/>
      <c r="AK277" s="277"/>
      <c r="AL277" s="277"/>
      <c r="AM277" s="278"/>
      <c r="AN277" s="277"/>
      <c r="AO277" s="277"/>
      <c r="AP277" s="277"/>
      <c r="AQ277" s="278"/>
      <c r="AR277" s="277"/>
      <c r="AS277" s="277"/>
      <c r="AT277" s="280"/>
      <c r="AU277" s="276"/>
      <c r="AV277" s="276"/>
      <c r="AW277" s="276"/>
      <c r="AX277" s="276"/>
      <c r="AY277" s="276"/>
      <c r="AZ277" s="276"/>
      <c r="BA277" s="276"/>
      <c r="BB277" s="276"/>
      <c r="BC277" s="276"/>
      <c r="BD277" s="276"/>
      <c r="BE277" s="276"/>
      <c r="BF277" s="276"/>
    </row>
  </sheetData>
  <mergeCells count="9">
    <mergeCell ref="A2:B2"/>
    <mergeCell ref="A3:B3"/>
    <mergeCell ref="E4:H4"/>
    <mergeCell ref="E5:F5"/>
    <mergeCell ref="G5:H5"/>
    <mergeCell ref="A4:A5"/>
    <mergeCell ref="B4:B5"/>
    <mergeCell ref="D4:D5"/>
    <mergeCell ref="I4:I5"/>
  </mergeCells>
  <pageMargins left="0.708661417322835" right="0.708661417322835" top="0.748031496062992" bottom="1.53543307086614" header="0.31496062992126" footer="0.31496062992126"/>
  <pageSetup paperSize="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7"/>
  <sheetViews>
    <sheetView workbookViewId="0">
      <selection activeCell="C12" sqref="C12"/>
    </sheetView>
  </sheetViews>
  <sheetFormatPr defaultColWidth="9" defaultRowHeight="14.5"/>
  <cols>
    <col min="1" max="1" width="4" customWidth="1"/>
    <col min="2" max="2" width="12.2818181818182" customWidth="1"/>
    <col min="3" max="3" width="26.2818181818182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5" s="57" customFormat="1" spans="1:13">
      <c r="A5" s="64" t="s">
        <v>478</v>
      </c>
      <c r="B5" s="65" t="s">
        <v>700</v>
      </c>
      <c r="C5" s="65" t="s">
        <v>205</v>
      </c>
      <c r="D5" s="67" t="s">
        <v>950</v>
      </c>
      <c r="E5" s="68"/>
      <c r="F5" s="101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spans="1:13">
      <c r="A6" s="114"/>
      <c r="B6" s="115"/>
      <c r="C6" s="115"/>
      <c r="D6" s="102" t="s">
        <v>954</v>
      </c>
      <c r="E6" s="67" t="s">
        <v>941</v>
      </c>
      <c r="F6" s="101"/>
      <c r="G6" s="102" t="s">
        <v>954</v>
      </c>
      <c r="H6" s="67" t="s">
        <v>941</v>
      </c>
      <c r="I6" s="101"/>
      <c r="J6" s="119"/>
      <c r="K6" s="120"/>
      <c r="L6" s="121"/>
      <c r="M6" s="119"/>
    </row>
    <row r="7" s="57" customFormat="1" spans="1:13">
      <c r="A7" s="69"/>
      <c r="B7" s="70"/>
      <c r="C7" s="70"/>
      <c r="D7" s="72"/>
      <c r="E7" s="66" t="s">
        <v>940</v>
      </c>
      <c r="F7" s="66" t="s">
        <v>703</v>
      </c>
      <c r="G7" s="72"/>
      <c r="H7" s="66" t="s">
        <v>940</v>
      </c>
      <c r="I7" s="66" t="s">
        <v>703</v>
      </c>
      <c r="J7" s="72"/>
      <c r="K7" s="103" t="s">
        <v>955</v>
      </c>
      <c r="L7" s="103" t="s">
        <v>956</v>
      </c>
      <c r="M7" s="72"/>
    </row>
    <row r="8" s="58" customFormat="1" spans="1:13">
      <c r="A8" s="189">
        <v>1</v>
      </c>
      <c r="B8" s="190">
        <v>45627</v>
      </c>
      <c r="C8" s="74" t="s">
        <v>957</v>
      </c>
      <c r="D8" s="77">
        <v>100</v>
      </c>
      <c r="E8" s="75">
        <v>16500</v>
      </c>
      <c r="F8" s="76">
        <f>SUM(D8*E8)</f>
        <v>1650000</v>
      </c>
      <c r="G8" s="77">
        <v>80</v>
      </c>
      <c r="H8" s="75">
        <v>18500</v>
      </c>
      <c r="I8" s="76">
        <f>SUM(G8*H8)</f>
        <v>1480000</v>
      </c>
      <c r="J8" s="76">
        <f>SUM(G8*H8)-(G8*E8)</f>
        <v>160000</v>
      </c>
      <c r="K8" s="76">
        <f>SUM(J8*50%)</f>
        <v>80000</v>
      </c>
      <c r="L8" s="76">
        <f>SUM(J8*50%)</f>
        <v>80000</v>
      </c>
      <c r="M8" s="76">
        <f>SUM(D8-G8)</f>
        <v>20</v>
      </c>
    </row>
    <row r="9" spans="1:13">
      <c r="A9" s="79"/>
      <c r="B9" s="79"/>
      <c r="C9" s="79"/>
      <c r="D9" s="77"/>
      <c r="E9" s="80"/>
      <c r="F9" s="80"/>
      <c r="G9" s="77"/>
      <c r="H9" s="80"/>
      <c r="I9" s="80"/>
      <c r="J9" s="80"/>
      <c r="K9" s="80"/>
      <c r="L9" s="80"/>
      <c r="M9" s="80"/>
    </row>
    <row r="10" spans="1:13">
      <c r="A10" s="79"/>
      <c r="B10" s="79"/>
      <c r="C10" s="79"/>
      <c r="D10" s="77"/>
      <c r="E10" s="80"/>
      <c r="F10" s="80"/>
      <c r="G10" s="77"/>
      <c r="H10" s="80"/>
      <c r="I10" s="80"/>
      <c r="J10" s="80"/>
      <c r="K10" s="80"/>
      <c r="L10" s="80"/>
      <c r="M10" s="80"/>
    </row>
    <row r="11" spans="1:13">
      <c r="A11" s="79"/>
      <c r="B11" s="79"/>
      <c r="C11" s="79"/>
      <c r="D11" s="77"/>
      <c r="E11" s="80"/>
      <c r="F11" s="80"/>
      <c r="G11" s="77"/>
      <c r="H11" s="80"/>
      <c r="I11" s="80"/>
      <c r="J11" s="80"/>
      <c r="K11" s="80"/>
      <c r="L11" s="80"/>
      <c r="M11" s="80"/>
    </row>
    <row r="12" spans="1:13">
      <c r="A12" s="79"/>
      <c r="B12" s="79"/>
      <c r="C12" s="79"/>
      <c r="D12" s="77"/>
      <c r="E12" s="80"/>
      <c r="F12" s="80"/>
      <c r="G12" s="77"/>
      <c r="H12" s="80"/>
      <c r="I12" s="80"/>
      <c r="J12" s="80"/>
      <c r="K12" s="80"/>
      <c r="L12" s="80"/>
      <c r="M12" s="80"/>
    </row>
    <row r="13" spans="1:13">
      <c r="A13" s="79"/>
      <c r="B13" s="79"/>
      <c r="C13" s="79"/>
      <c r="D13" s="77"/>
      <c r="E13" s="80"/>
      <c r="F13" s="80"/>
      <c r="G13" s="77"/>
      <c r="H13" s="80"/>
      <c r="I13" s="80"/>
      <c r="J13" s="80"/>
      <c r="K13" s="80"/>
      <c r="L13" s="80"/>
      <c r="M13" s="80"/>
    </row>
    <row r="14" spans="1:13">
      <c r="A14" s="79"/>
      <c r="B14" s="79"/>
      <c r="C14" s="79"/>
      <c r="D14" s="77"/>
      <c r="E14" s="80"/>
      <c r="F14" s="80"/>
      <c r="G14" s="77"/>
      <c r="H14" s="80"/>
      <c r="I14" s="80"/>
      <c r="J14" s="80"/>
      <c r="K14" s="80"/>
      <c r="L14" s="80"/>
      <c r="M14" s="80"/>
    </row>
    <row r="15" spans="1:13">
      <c r="A15" s="79"/>
      <c r="B15" s="79"/>
      <c r="C15" s="79"/>
      <c r="D15" s="77"/>
      <c r="E15" s="80"/>
      <c r="F15" s="80"/>
      <c r="G15" s="77"/>
      <c r="H15" s="80"/>
      <c r="I15" s="80"/>
      <c r="J15" s="80"/>
      <c r="K15" s="80"/>
      <c r="L15" s="80"/>
      <c r="M15" s="80"/>
    </row>
    <row r="16" spans="1:13">
      <c r="A16" s="79"/>
      <c r="B16" s="79"/>
      <c r="C16" s="79"/>
      <c r="D16" s="77"/>
      <c r="E16" s="80"/>
      <c r="F16" s="80"/>
      <c r="G16" s="77"/>
      <c r="H16" s="80"/>
      <c r="I16" s="80"/>
      <c r="J16" s="80"/>
      <c r="K16" s="80"/>
      <c r="L16" s="80"/>
      <c r="M16" s="80"/>
    </row>
    <row r="17" s="59" customFormat="1" spans="1:13">
      <c r="A17" s="191"/>
      <c r="B17" s="191"/>
      <c r="C17" s="191"/>
      <c r="D17" s="66">
        <f>SUM(D8:D16)</f>
        <v>100</v>
      </c>
      <c r="E17" s="66">
        <f t="shared" ref="E17:M17" si="0">SUM(E8:E16)</f>
        <v>16500</v>
      </c>
      <c r="F17" s="66">
        <f t="shared" si="0"/>
        <v>1650000</v>
      </c>
      <c r="G17" s="66">
        <f t="shared" si="0"/>
        <v>80</v>
      </c>
      <c r="H17" s="66">
        <f t="shared" si="0"/>
        <v>18500</v>
      </c>
      <c r="I17" s="66">
        <f t="shared" si="0"/>
        <v>1480000</v>
      </c>
      <c r="J17" s="66">
        <f t="shared" si="0"/>
        <v>160000</v>
      </c>
      <c r="K17" s="66">
        <f t="shared" si="0"/>
        <v>80000</v>
      </c>
      <c r="L17" s="66">
        <f t="shared" si="0"/>
        <v>80000</v>
      </c>
      <c r="M17" s="66">
        <f t="shared" si="0"/>
        <v>20</v>
      </c>
    </row>
  </sheetData>
  <mergeCells count="12">
    <mergeCell ref="D5:F5"/>
    <mergeCell ref="G5:I5"/>
    <mergeCell ref="E6:F6"/>
    <mergeCell ref="H6:I6"/>
    <mergeCell ref="A5:A7"/>
    <mergeCell ref="B5:B7"/>
    <mergeCell ref="C5:C7"/>
    <mergeCell ref="D6:D7"/>
    <mergeCell ref="G6:G7"/>
    <mergeCell ref="J5:J7"/>
    <mergeCell ref="M5:M7"/>
    <mergeCell ref="K5:L6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110" zoomScalePageLayoutView="110" zoomScaleNormal="120" workbookViewId="0">
      <selection activeCell="A13" sqref="A13:H13"/>
    </sheetView>
  </sheetViews>
  <sheetFormatPr defaultColWidth="8.70909090909091" defaultRowHeight="14.5"/>
  <cols>
    <col min="1" max="1" width="8.28181818181818" style="166" customWidth="1"/>
    <col min="2" max="2" width="15.7090909090909" style="166" customWidth="1"/>
    <col min="3" max="3" width="14.4272727272727" style="166" customWidth="1"/>
    <col min="4" max="4" width="13.8545454545455" style="166" customWidth="1"/>
    <col min="5" max="7" width="12.7090909090909" style="166" customWidth="1"/>
    <col min="8" max="8" width="13.4272727272727" style="166" customWidth="1"/>
    <col min="9" max="16384" width="8.70909090909091" style="166"/>
  </cols>
  <sheetData>
    <row r="1" ht="18.5" spans="1:8">
      <c r="A1" s="167" t="s">
        <v>0</v>
      </c>
      <c r="B1" s="167"/>
      <c r="C1" s="167"/>
      <c r="D1" s="167"/>
      <c r="E1" s="167"/>
      <c r="F1" s="167"/>
      <c r="G1" s="167"/>
      <c r="H1" s="167"/>
    </row>
    <row r="2" ht="18.5" spans="1:8">
      <c r="A2" s="167" t="s">
        <v>958</v>
      </c>
      <c r="B2" s="167"/>
      <c r="C2" s="167"/>
      <c r="D2" s="167"/>
      <c r="E2" s="167"/>
      <c r="F2" s="167"/>
      <c r="G2" s="167"/>
      <c r="H2" s="167"/>
    </row>
    <row r="3" spans="1:8">
      <c r="A3" s="168"/>
      <c r="B3" s="168"/>
      <c r="C3" s="168"/>
      <c r="D3" s="168"/>
      <c r="E3" s="168"/>
      <c r="F3" s="168"/>
      <c r="G3" s="168"/>
      <c r="H3" s="168"/>
    </row>
    <row r="4" ht="21" customHeight="1" spans="1:8">
      <c r="A4" s="169" t="s">
        <v>959</v>
      </c>
      <c r="B4" s="170" t="s">
        <v>960</v>
      </c>
      <c r="C4" s="169" t="s">
        <v>207</v>
      </c>
      <c r="D4" s="169" t="s">
        <v>961</v>
      </c>
      <c r="E4" s="169" t="s">
        <v>962</v>
      </c>
      <c r="F4" s="169"/>
      <c r="G4" s="169"/>
      <c r="H4" s="169"/>
    </row>
    <row r="5" spans="1:8">
      <c r="A5" s="169"/>
      <c r="B5" s="170"/>
      <c r="C5" s="169"/>
      <c r="D5" s="169"/>
      <c r="E5" s="171" t="s">
        <v>963</v>
      </c>
      <c r="F5" s="171"/>
      <c r="G5" s="171"/>
      <c r="H5" s="172" t="s">
        <v>964</v>
      </c>
    </row>
    <row r="6" ht="21" customHeight="1" spans="1:9">
      <c r="A6" s="173">
        <v>1</v>
      </c>
      <c r="B6" s="174">
        <v>12900000</v>
      </c>
      <c r="C6" s="174">
        <f>'[44]mesin bor'!$G$30</f>
        <v>8202000</v>
      </c>
      <c r="D6" s="174">
        <f>B6-C6</f>
        <v>4698000</v>
      </c>
      <c r="E6" s="174">
        <v>428910</v>
      </c>
      <c r="F6" s="174">
        <v>428910</v>
      </c>
      <c r="G6" s="174">
        <v>706440</v>
      </c>
      <c r="H6" s="174">
        <f>958740+C32</f>
        <v>3133740</v>
      </c>
      <c r="I6" s="188">
        <f>E6+F6+G6</f>
        <v>1564260</v>
      </c>
    </row>
    <row r="7" ht="21" customHeight="1" spans="1:9">
      <c r="A7" s="173">
        <f>A6+1</f>
        <v>2</v>
      </c>
      <c r="B7" s="174">
        <v>12900000</v>
      </c>
      <c r="C7" s="174">
        <f>'[44]titik kedua'!$G$20</f>
        <v>5983000</v>
      </c>
      <c r="D7" s="174">
        <f>B7-C7</f>
        <v>6917000</v>
      </c>
      <c r="E7" s="174">
        <f>D7*17%</f>
        <v>1175890</v>
      </c>
      <c r="F7" s="174">
        <f>D7*17%</f>
        <v>1175890</v>
      </c>
      <c r="G7" s="174">
        <f>D7*28%</f>
        <v>1936760</v>
      </c>
      <c r="H7" s="174">
        <f>D7*38%</f>
        <v>2628460</v>
      </c>
      <c r="I7" s="179">
        <f>E7+F7+G7</f>
        <v>4288540</v>
      </c>
    </row>
    <row r="8" ht="21" customHeight="1" spans="1:11">
      <c r="A8" s="173" t="s">
        <v>965</v>
      </c>
      <c r="B8" s="174">
        <v>25800000</v>
      </c>
      <c r="C8" s="174">
        <f>'[44]titik ketiga &amp; keempat'!$G$31</f>
        <v>17610500</v>
      </c>
      <c r="D8" s="174">
        <f>B8-C8</f>
        <v>8189500</v>
      </c>
      <c r="E8" s="175">
        <v>5000000</v>
      </c>
      <c r="F8" s="175"/>
      <c r="G8" s="175"/>
      <c r="H8" s="174">
        <f>D8-E8</f>
        <v>3189500</v>
      </c>
      <c r="J8" s="179">
        <v>5000000</v>
      </c>
      <c r="K8" s="179">
        <f>D8-5000000</f>
        <v>3189500</v>
      </c>
    </row>
    <row r="9" ht="21" customHeight="1" spans="1:10">
      <c r="A9" s="176"/>
      <c r="B9" s="174"/>
      <c r="C9" s="174"/>
      <c r="D9" s="174"/>
      <c r="E9" s="174"/>
      <c r="F9" s="174"/>
      <c r="G9" s="174"/>
      <c r="H9" s="174"/>
      <c r="J9" s="179"/>
    </row>
    <row r="10" ht="21" customHeight="1" spans="1:8">
      <c r="A10" s="176"/>
      <c r="B10" s="174"/>
      <c r="C10" s="174"/>
      <c r="D10" s="174"/>
      <c r="E10" s="174"/>
      <c r="F10" s="174"/>
      <c r="G10" s="174"/>
      <c r="H10" s="174"/>
    </row>
    <row r="11" ht="15.5" spans="1:10">
      <c r="A11" s="177" t="s">
        <v>694</v>
      </c>
      <c r="B11" s="174">
        <f>SUM(B6:B10)</f>
        <v>51600000</v>
      </c>
      <c r="C11" s="174">
        <f>SUM(C6:C10)</f>
        <v>31795500</v>
      </c>
      <c r="D11" s="174">
        <f>SUM(D6:D10)</f>
        <v>19804500</v>
      </c>
      <c r="E11" s="178">
        <f>E6+F6+G6+E7+F7+G7+E8</f>
        <v>10852800</v>
      </c>
      <c r="F11" s="178"/>
      <c r="G11" s="178"/>
      <c r="H11" s="174">
        <f>SUM(H6:H10)</f>
        <v>8951700</v>
      </c>
      <c r="J11" s="179">
        <f>H6-C32</f>
        <v>958740</v>
      </c>
    </row>
    <row r="12" spans="7:7">
      <c r="G12" s="179"/>
    </row>
    <row r="13" spans="1:8">
      <c r="A13" s="180" t="s">
        <v>111</v>
      </c>
      <c r="B13" s="180"/>
      <c r="C13" s="180"/>
      <c r="D13" s="180"/>
      <c r="E13" s="180"/>
      <c r="F13" s="180"/>
      <c r="G13" s="180"/>
      <c r="H13" s="180"/>
    </row>
    <row r="14" spans="1:8">
      <c r="A14" s="180" t="s">
        <v>966</v>
      </c>
      <c r="B14" s="180"/>
      <c r="C14" s="180"/>
      <c r="D14" s="180"/>
      <c r="E14" s="180"/>
      <c r="F14" s="180"/>
      <c r="G14" s="180"/>
      <c r="H14" s="180"/>
    </row>
    <row r="15" spans="1:6">
      <c r="A15" s="181"/>
      <c r="B15" s="180"/>
      <c r="C15" s="181"/>
      <c r="D15" s="181"/>
      <c r="E15" s="181"/>
      <c r="F15" s="182"/>
    </row>
    <row r="16" spans="1:8">
      <c r="A16" s="182" t="s">
        <v>467</v>
      </c>
      <c r="B16" s="182"/>
      <c r="C16" s="182"/>
      <c r="D16" s="181"/>
      <c r="E16" s="181"/>
      <c r="F16" s="182" t="s">
        <v>468</v>
      </c>
      <c r="G16" s="182"/>
      <c r="H16" s="182"/>
    </row>
    <row r="17" spans="1:8">
      <c r="A17" s="182" t="s">
        <v>113</v>
      </c>
      <c r="B17" s="182"/>
      <c r="C17" s="182"/>
      <c r="F17" s="182" t="s">
        <v>685</v>
      </c>
      <c r="G17" s="182"/>
      <c r="H17" s="182"/>
    </row>
    <row r="18" spans="1:6">
      <c r="A18" s="181"/>
      <c r="B18" s="181"/>
      <c r="C18" s="181"/>
      <c r="D18" s="181"/>
      <c r="E18" s="181"/>
      <c r="F18" s="181"/>
    </row>
    <row r="19" spans="1:6">
      <c r="A19" s="181"/>
      <c r="B19" s="181"/>
      <c r="C19" s="181"/>
      <c r="D19" s="181"/>
      <c r="E19" s="181"/>
      <c r="F19" s="181"/>
    </row>
    <row r="20" spans="1:6">
      <c r="A20" s="181"/>
      <c r="B20" s="181"/>
      <c r="C20" s="181"/>
      <c r="D20" s="181"/>
      <c r="E20" s="183"/>
      <c r="F20" s="181"/>
    </row>
    <row r="21" spans="1:8">
      <c r="A21" s="184" t="s">
        <v>115</v>
      </c>
      <c r="B21" s="184"/>
      <c r="C21" s="184"/>
      <c r="E21" s="185"/>
      <c r="F21" s="184" t="s">
        <v>116</v>
      </c>
      <c r="G21" s="184"/>
      <c r="H21" s="184"/>
    </row>
    <row r="27" spans="2:2">
      <c r="B27" s="186" t="s">
        <v>967</v>
      </c>
    </row>
    <row r="28" spans="1:3">
      <c r="A28" s="166">
        <v>1</v>
      </c>
      <c r="B28" s="166" t="s">
        <v>968</v>
      </c>
      <c r="C28" s="187">
        <v>450000</v>
      </c>
    </row>
    <row r="29" spans="1:3">
      <c r="A29" s="166">
        <v>2</v>
      </c>
      <c r="B29" s="166" t="s">
        <v>969</v>
      </c>
      <c r="C29" s="187">
        <v>275000</v>
      </c>
    </row>
    <row r="30" spans="1:3">
      <c r="A30" s="166">
        <v>3</v>
      </c>
      <c r="B30" s="166" t="s">
        <v>906</v>
      </c>
      <c r="C30" s="187">
        <v>1050000</v>
      </c>
    </row>
    <row r="31" spans="1:3">
      <c r="A31" s="166">
        <v>4</v>
      </c>
      <c r="B31" s="166" t="s">
        <v>970</v>
      </c>
      <c r="C31" s="187">
        <v>400000</v>
      </c>
    </row>
    <row r="32" spans="2:3">
      <c r="B32" s="166" t="s">
        <v>971</v>
      </c>
      <c r="C32" s="179">
        <f>SUM(C28:C31)</f>
        <v>2175000</v>
      </c>
    </row>
  </sheetData>
  <mergeCells count="18">
    <mergeCell ref="A1:H1"/>
    <mergeCell ref="A2:H2"/>
    <mergeCell ref="E4:H4"/>
    <mergeCell ref="E5:G5"/>
    <mergeCell ref="E8:G8"/>
    <mergeCell ref="E11:G11"/>
    <mergeCell ref="A13:H13"/>
    <mergeCell ref="A14:H14"/>
    <mergeCell ref="A16:C16"/>
    <mergeCell ref="F16:H16"/>
    <mergeCell ref="A17:C17"/>
    <mergeCell ref="F17:H17"/>
    <mergeCell ref="A21:C21"/>
    <mergeCell ref="F21:H21"/>
    <mergeCell ref="A4:A5"/>
    <mergeCell ref="B4:B5"/>
    <mergeCell ref="C4:C5"/>
    <mergeCell ref="D4:D5"/>
  </mergeCells>
  <pageMargins left="0.395833333333333" right="0.75" top="1" bottom="1" header="0.5" footer="0.5"/>
  <pageSetup paperSize="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1" sqref="N11"/>
    </sheetView>
  </sheetViews>
  <sheetFormatPr defaultColWidth="8.72727272727273" defaultRowHeight="14.5"/>
  <cols>
    <col min="1" max="1" width="6.90909090909091" customWidth="1"/>
    <col min="2" max="2" width="22.7272727272727" customWidth="1"/>
    <col min="5" max="5" width="10.4545454545455" customWidth="1"/>
    <col min="6" max="6" width="15.5454545454545" customWidth="1"/>
    <col min="8" max="8" width="7.63636363636364" customWidth="1"/>
    <col min="9" max="9" width="18.8181818181818" customWidth="1"/>
    <col min="10" max="10" width="9.90909090909091" customWidth="1"/>
    <col min="11" max="11" width="7.72727272727273" customWidth="1"/>
    <col min="13" max="13" width="11.0909090909091" customWidth="1"/>
    <col min="14" max="14" width="15.5454545454545" customWidth="1"/>
  </cols>
  <sheetData>
    <row r="1" spans="1:14">
      <c r="A1" s="150" t="s">
        <v>0</v>
      </c>
      <c r="B1" s="150"/>
      <c r="C1" s="150"/>
      <c r="D1" s="150"/>
      <c r="E1" s="150"/>
      <c r="F1" s="150"/>
      <c r="G1" s="6"/>
      <c r="H1" s="150" t="s">
        <v>0</v>
      </c>
      <c r="I1" s="150"/>
      <c r="J1" s="150"/>
      <c r="K1" s="150"/>
      <c r="L1" s="150"/>
      <c r="M1" s="150"/>
      <c r="N1" s="150"/>
    </row>
    <row r="2" spans="1:14">
      <c r="A2" s="122" t="s">
        <v>972</v>
      </c>
      <c r="B2" s="122"/>
      <c r="C2" s="122"/>
      <c r="D2" s="122"/>
      <c r="E2" s="122"/>
      <c r="F2" s="122"/>
      <c r="G2" s="6"/>
      <c r="H2" s="122" t="s">
        <v>973</v>
      </c>
      <c r="I2" s="122"/>
      <c r="J2" s="122"/>
      <c r="K2" s="122"/>
      <c r="L2" s="122"/>
      <c r="M2" s="122"/>
      <c r="N2" s="122"/>
    </row>
    <row r="3" spans="1:14">
      <c r="A3" s="123" t="s">
        <v>201</v>
      </c>
      <c r="B3" s="123"/>
      <c r="C3" s="5" t="s">
        <v>120</v>
      </c>
      <c r="D3" s="5"/>
      <c r="E3" s="5"/>
      <c r="F3" s="6"/>
      <c r="G3" s="6"/>
      <c r="H3" s="123" t="s">
        <v>201</v>
      </c>
      <c r="I3" s="123"/>
      <c r="J3" s="123"/>
      <c r="K3" s="123"/>
      <c r="L3" s="123"/>
      <c r="M3" s="5"/>
      <c r="N3" s="6"/>
    </row>
    <row r="4" spans="1:14">
      <c r="A4" s="123" t="s">
        <v>121</v>
      </c>
      <c r="B4" s="123"/>
      <c r="C4" s="5" t="s">
        <v>122</v>
      </c>
      <c r="D4" s="6"/>
      <c r="E4" s="6"/>
      <c r="F4" s="6"/>
      <c r="G4" s="6"/>
      <c r="H4" s="123" t="s">
        <v>121</v>
      </c>
      <c r="I4" s="123"/>
      <c r="J4" s="123"/>
      <c r="K4" s="123"/>
      <c r="L4" s="123"/>
      <c r="M4" s="6"/>
      <c r="N4" s="6"/>
    </row>
    <row r="5" spans="1:14">
      <c r="A5" s="123" t="s">
        <v>123</v>
      </c>
      <c r="B5" s="123"/>
      <c r="C5" s="5" t="s">
        <v>124</v>
      </c>
      <c r="D5" s="6"/>
      <c r="E5" s="6"/>
      <c r="F5" s="6"/>
      <c r="G5" s="6"/>
      <c r="H5" s="123" t="s">
        <v>123</v>
      </c>
      <c r="I5" s="123"/>
      <c r="J5" s="123"/>
      <c r="K5" s="123"/>
      <c r="L5" s="123"/>
      <c r="M5" s="6"/>
      <c r="N5" s="6"/>
    </row>
    <row r="6" ht="29" spans="1:14">
      <c r="A6" s="125" t="s">
        <v>852</v>
      </c>
      <c r="B6" s="125" t="s">
        <v>974</v>
      </c>
      <c r="C6" s="146" t="s">
        <v>975</v>
      </c>
      <c r="D6" s="146" t="s">
        <v>976</v>
      </c>
      <c r="E6" s="146" t="s">
        <v>977</v>
      </c>
      <c r="F6" s="125" t="s">
        <v>978</v>
      </c>
      <c r="G6" s="6"/>
      <c r="H6" s="125" t="s">
        <v>852</v>
      </c>
      <c r="I6" s="125" t="s">
        <v>974</v>
      </c>
      <c r="J6" s="125" t="s">
        <v>204</v>
      </c>
      <c r="K6" s="146" t="s">
        <v>979</v>
      </c>
      <c r="L6" s="125" t="s">
        <v>980</v>
      </c>
      <c r="M6" s="146" t="s">
        <v>981</v>
      </c>
      <c r="N6" s="125" t="s">
        <v>978</v>
      </c>
    </row>
    <row r="7" spans="1:14">
      <c r="A7" s="135">
        <v>1</v>
      </c>
      <c r="B7" s="23" t="s">
        <v>982</v>
      </c>
      <c r="C7" s="158">
        <v>1</v>
      </c>
      <c r="D7" s="148" t="s">
        <v>983</v>
      </c>
      <c r="E7" s="148">
        <v>500000</v>
      </c>
      <c r="F7" s="152">
        <f t="shared" ref="F7:F17" si="0">E7*C7</f>
        <v>500000</v>
      </c>
      <c r="G7" s="6"/>
      <c r="H7" s="128"/>
      <c r="I7" s="128" t="s">
        <v>984</v>
      </c>
      <c r="J7" s="128"/>
      <c r="K7" s="128"/>
      <c r="L7" s="128"/>
      <c r="M7" s="161"/>
      <c r="N7" s="162">
        <f>SUM(F18)</f>
        <v>3050000</v>
      </c>
    </row>
    <row r="8" spans="1:14">
      <c r="A8" s="159">
        <v>2</v>
      </c>
      <c r="B8" s="23" t="s">
        <v>985</v>
      </c>
      <c r="C8" s="151">
        <v>1</v>
      </c>
      <c r="D8" s="148" t="s">
        <v>983</v>
      </c>
      <c r="E8" s="148">
        <v>1000000</v>
      </c>
      <c r="F8" s="152">
        <f t="shared" si="0"/>
        <v>1000000</v>
      </c>
      <c r="G8" s="160"/>
      <c r="H8" s="135">
        <v>1</v>
      </c>
      <c r="I8" s="23" t="s">
        <v>986</v>
      </c>
      <c r="J8" s="1106" t="s">
        <v>987</v>
      </c>
      <c r="K8" s="23">
        <v>2</v>
      </c>
      <c r="L8" s="163">
        <v>250000</v>
      </c>
      <c r="M8" s="148">
        <f t="shared" ref="M8:M10" si="1">L8*K8</f>
        <v>500000</v>
      </c>
      <c r="N8" s="152"/>
    </row>
    <row r="9" spans="1:14">
      <c r="A9" s="135">
        <v>3</v>
      </c>
      <c r="B9" s="23" t="s">
        <v>982</v>
      </c>
      <c r="C9" s="151">
        <v>1</v>
      </c>
      <c r="D9" s="148" t="s">
        <v>983</v>
      </c>
      <c r="E9" s="148">
        <v>200000</v>
      </c>
      <c r="F9" s="152">
        <f t="shared" si="0"/>
        <v>200000</v>
      </c>
      <c r="G9" s="6"/>
      <c r="H9" s="159">
        <v>2</v>
      </c>
      <c r="I9" s="23" t="s">
        <v>988</v>
      </c>
      <c r="J9" s="1106" t="s">
        <v>989</v>
      </c>
      <c r="K9" s="23">
        <v>6</v>
      </c>
      <c r="L9" s="163">
        <v>250000</v>
      </c>
      <c r="M9" s="148">
        <f t="shared" si="1"/>
        <v>1500000</v>
      </c>
      <c r="N9" s="152"/>
    </row>
    <row r="10" spans="1:14">
      <c r="A10" s="135">
        <v>4</v>
      </c>
      <c r="B10" s="23" t="s">
        <v>990</v>
      </c>
      <c r="C10" s="151">
        <v>1</v>
      </c>
      <c r="D10" s="148" t="s">
        <v>983</v>
      </c>
      <c r="E10" s="148">
        <v>200000</v>
      </c>
      <c r="F10" s="152">
        <f t="shared" si="0"/>
        <v>200000</v>
      </c>
      <c r="G10" s="6"/>
      <c r="H10" s="135">
        <v>3</v>
      </c>
      <c r="I10" s="23" t="s">
        <v>986</v>
      </c>
      <c r="J10" s="1107" t="s">
        <v>991</v>
      </c>
      <c r="K10" s="23">
        <v>30</v>
      </c>
      <c r="L10" s="163">
        <v>230000</v>
      </c>
      <c r="M10" s="148">
        <f t="shared" si="1"/>
        <v>6900000</v>
      </c>
      <c r="N10" s="152"/>
    </row>
    <row r="11" spans="1:14">
      <c r="A11" s="135">
        <v>5</v>
      </c>
      <c r="B11" s="23" t="s">
        <v>992</v>
      </c>
      <c r="C11" s="151">
        <v>20</v>
      </c>
      <c r="D11" s="148" t="s">
        <v>993</v>
      </c>
      <c r="E11" s="148">
        <v>10000</v>
      </c>
      <c r="F11" s="152">
        <f t="shared" si="0"/>
        <v>200000</v>
      </c>
      <c r="G11" s="6"/>
      <c r="H11" s="135">
        <v>4</v>
      </c>
      <c r="I11" s="23"/>
      <c r="J11" s="23"/>
      <c r="K11" s="23"/>
      <c r="L11" s="23"/>
      <c r="M11" s="148"/>
      <c r="N11" s="152"/>
    </row>
    <row r="12" spans="1:14">
      <c r="A12" s="135">
        <v>6</v>
      </c>
      <c r="B12" s="23" t="s">
        <v>994</v>
      </c>
      <c r="C12" s="151">
        <v>1</v>
      </c>
      <c r="D12" s="148" t="s">
        <v>983</v>
      </c>
      <c r="E12" s="148">
        <v>250000</v>
      </c>
      <c r="F12" s="152">
        <f t="shared" si="0"/>
        <v>250000</v>
      </c>
      <c r="G12" s="6"/>
      <c r="H12" s="135">
        <v>5</v>
      </c>
      <c r="I12" s="23"/>
      <c r="J12" s="23"/>
      <c r="K12" s="23"/>
      <c r="L12" s="23"/>
      <c r="M12" s="148"/>
      <c r="N12" s="152"/>
    </row>
    <row r="13" spans="1:14">
      <c r="A13" s="135">
        <v>7</v>
      </c>
      <c r="B13" s="23" t="s">
        <v>992</v>
      </c>
      <c r="C13" s="151">
        <v>10</v>
      </c>
      <c r="D13" s="148" t="s">
        <v>993</v>
      </c>
      <c r="E13" s="148">
        <v>10000</v>
      </c>
      <c r="F13" s="152">
        <f t="shared" si="0"/>
        <v>100000</v>
      </c>
      <c r="G13" s="6"/>
      <c r="H13" s="135">
        <v>6</v>
      </c>
      <c r="I13" s="23"/>
      <c r="J13" s="23"/>
      <c r="K13" s="23"/>
      <c r="L13" s="23"/>
      <c r="M13" s="148"/>
      <c r="N13" s="152"/>
    </row>
    <row r="14" spans="1:14">
      <c r="A14" s="135">
        <v>9</v>
      </c>
      <c r="B14" s="23" t="s">
        <v>992</v>
      </c>
      <c r="C14" s="151">
        <v>20</v>
      </c>
      <c r="D14" s="148" t="s">
        <v>993</v>
      </c>
      <c r="E14" s="148">
        <v>10000</v>
      </c>
      <c r="F14" s="152">
        <f t="shared" si="0"/>
        <v>200000</v>
      </c>
      <c r="G14" s="6"/>
      <c r="H14" s="135">
        <v>7</v>
      </c>
      <c r="I14" s="23"/>
      <c r="J14" s="23"/>
      <c r="K14" s="23"/>
      <c r="L14" s="23"/>
      <c r="M14" s="148"/>
      <c r="N14" s="152"/>
    </row>
    <row r="15" spans="1:14">
      <c r="A15" s="135">
        <v>10</v>
      </c>
      <c r="B15" s="23" t="s">
        <v>992</v>
      </c>
      <c r="C15" s="151">
        <v>10</v>
      </c>
      <c r="D15" s="148" t="s">
        <v>993</v>
      </c>
      <c r="E15" s="148">
        <v>10000</v>
      </c>
      <c r="F15" s="152">
        <f t="shared" si="0"/>
        <v>100000</v>
      </c>
      <c r="G15" s="6"/>
      <c r="H15" s="135">
        <v>8</v>
      </c>
      <c r="I15" s="23"/>
      <c r="J15" s="23"/>
      <c r="K15" s="23"/>
      <c r="L15" s="23"/>
      <c r="M15" s="148"/>
      <c r="N15" s="152"/>
    </row>
    <row r="16" spans="1:14">
      <c r="A16" s="135">
        <v>11</v>
      </c>
      <c r="B16" s="23" t="s">
        <v>992</v>
      </c>
      <c r="C16" s="151">
        <v>20</v>
      </c>
      <c r="D16" s="148" t="s">
        <v>993</v>
      </c>
      <c r="E16" s="148">
        <v>10000</v>
      </c>
      <c r="F16" s="152">
        <f t="shared" si="0"/>
        <v>200000</v>
      </c>
      <c r="G16" s="6"/>
      <c r="H16" s="135"/>
      <c r="I16" s="154" t="s">
        <v>109</v>
      </c>
      <c r="J16" s="154"/>
      <c r="K16" s="154"/>
      <c r="L16" s="154"/>
      <c r="M16" s="165">
        <f>SUM(M8:M15)</f>
        <v>8900000</v>
      </c>
      <c r="N16" s="155">
        <f>M16-N7</f>
        <v>5850000</v>
      </c>
    </row>
    <row r="17" spans="1:14">
      <c r="A17" s="135">
        <v>12</v>
      </c>
      <c r="B17" s="23" t="s">
        <v>992</v>
      </c>
      <c r="C17" s="151">
        <v>10</v>
      </c>
      <c r="D17" s="148" t="s">
        <v>995</v>
      </c>
      <c r="E17" s="148">
        <v>10000</v>
      </c>
      <c r="F17" s="152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135"/>
      <c r="B18" s="154" t="s">
        <v>109</v>
      </c>
      <c r="C18" s="154"/>
      <c r="D18" s="154"/>
      <c r="E18" s="154"/>
      <c r="F18" s="155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56" t="s">
        <v>111</v>
      </c>
      <c r="B19" s="156"/>
      <c r="C19" s="156"/>
      <c r="D19" s="156"/>
      <c r="E19" s="156"/>
      <c r="F19" s="156"/>
      <c r="G19" s="6"/>
      <c r="H19" s="6"/>
      <c r="I19" s="6"/>
      <c r="J19" s="6"/>
      <c r="K19" s="6"/>
      <c r="L19" s="6"/>
      <c r="M19" s="6"/>
      <c r="N19" s="6"/>
    </row>
    <row r="20" spans="1:14">
      <c r="A20" s="5" t="s">
        <v>966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124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124"/>
      <c r="C22" s="6"/>
      <c r="D22" s="124" t="s">
        <v>996</v>
      </c>
      <c r="E22" s="124"/>
      <c r="F22" s="124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124" t="s">
        <v>113</v>
      </c>
      <c r="C23" s="6"/>
      <c r="D23" s="124" t="s">
        <v>685</v>
      </c>
      <c r="E23" s="124"/>
      <c r="F23" s="124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57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98" t="s">
        <v>115</v>
      </c>
      <c r="C27" s="95"/>
      <c r="D27" s="98" t="s">
        <v>116</v>
      </c>
      <c r="E27" s="98"/>
      <c r="F27" s="98"/>
      <c r="G27" s="6"/>
      <c r="H27" s="6"/>
      <c r="I27" s="6"/>
      <c r="J27" s="6"/>
      <c r="K27" s="6"/>
      <c r="L27" s="6"/>
      <c r="M27" s="6"/>
      <c r="N27" s="6"/>
    </row>
  </sheetData>
  <mergeCells count="16">
    <mergeCell ref="A1:F1"/>
    <mergeCell ref="H1:N1"/>
    <mergeCell ref="A2:F2"/>
    <mergeCell ref="H2:N2"/>
    <mergeCell ref="A3:B3"/>
    <mergeCell ref="C3:E3"/>
    <mergeCell ref="H3:I3"/>
    <mergeCell ref="A4:B4"/>
    <mergeCell ref="H4:I4"/>
    <mergeCell ref="A5:B5"/>
    <mergeCell ref="H5:I5"/>
    <mergeCell ref="A19:F19"/>
    <mergeCell ref="A20:F20"/>
    <mergeCell ref="D22:F22"/>
    <mergeCell ref="D23:F23"/>
    <mergeCell ref="D27:F27"/>
  </mergeCells>
  <pageMargins left="0.75" right="0.75" top="1" bottom="1" header="0.5" footer="0.5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topLeftCell="A5" workbookViewId="0">
      <selection activeCell="F10" sqref="F10"/>
    </sheetView>
  </sheetViews>
  <sheetFormatPr defaultColWidth="8.72727272727273" defaultRowHeight="14.5" outlineLevelCol="5"/>
  <cols>
    <col min="1" max="1" width="7" customWidth="1"/>
    <col min="2" max="2" width="38.4545454545455" customWidth="1"/>
    <col min="5" max="5" width="11.4545454545455" customWidth="1"/>
    <col min="6" max="6" width="15.5454545454545" customWidth="1"/>
  </cols>
  <sheetData>
    <row r="2" spans="1:6">
      <c r="A2" s="150" t="s">
        <v>0</v>
      </c>
      <c r="B2" s="150"/>
      <c r="C2" s="150"/>
      <c r="D2" s="150"/>
      <c r="E2" s="150"/>
      <c r="F2" s="150"/>
    </row>
    <row r="3" spans="1:6">
      <c r="A3" s="122" t="s">
        <v>997</v>
      </c>
      <c r="B3" s="122"/>
      <c r="C3" s="122"/>
      <c r="D3" s="122"/>
      <c r="E3" s="122"/>
      <c r="F3" s="122"/>
    </row>
    <row r="4" spans="1:6">
      <c r="A4" s="123" t="s">
        <v>201</v>
      </c>
      <c r="B4" s="123"/>
      <c r="C4" s="5" t="s">
        <v>120</v>
      </c>
      <c r="D4" s="5"/>
      <c r="E4" s="5"/>
      <c r="F4" s="6"/>
    </row>
    <row r="5" spans="1:6">
      <c r="A5" s="123" t="s">
        <v>121</v>
      </c>
      <c r="B5" s="123"/>
      <c r="C5" s="5" t="s">
        <v>122</v>
      </c>
      <c r="D5" s="6"/>
      <c r="E5" s="6"/>
      <c r="F5" s="6"/>
    </row>
    <row r="6" spans="1:6">
      <c r="A6" s="123" t="s">
        <v>123</v>
      </c>
      <c r="B6" s="123"/>
      <c r="C6" s="5" t="s">
        <v>124</v>
      </c>
      <c r="D6" s="6"/>
      <c r="E6" s="6"/>
      <c r="F6" s="6"/>
    </row>
    <row r="7" ht="29" spans="1:6">
      <c r="A7" s="125" t="s">
        <v>852</v>
      </c>
      <c r="B7" s="125" t="s">
        <v>974</v>
      </c>
      <c r="C7" s="146" t="s">
        <v>975</v>
      </c>
      <c r="D7" s="146" t="s">
        <v>976</v>
      </c>
      <c r="E7" s="146" t="s">
        <v>977</v>
      </c>
      <c r="F7" s="125" t="s">
        <v>978</v>
      </c>
    </row>
    <row r="8" spans="1:6">
      <c r="A8" s="135">
        <v>1</v>
      </c>
      <c r="B8" s="23" t="s">
        <v>267</v>
      </c>
      <c r="C8" s="151">
        <v>1</v>
      </c>
      <c r="D8" s="148" t="s">
        <v>983</v>
      </c>
      <c r="E8" s="148">
        <v>200000</v>
      </c>
      <c r="F8" s="152">
        <f>SUM(E8*C8)</f>
        <v>200000</v>
      </c>
    </row>
    <row r="9" spans="1:6">
      <c r="A9" s="135">
        <v>2</v>
      </c>
      <c r="B9" s="23" t="s">
        <v>998</v>
      </c>
      <c r="C9" s="151">
        <v>1</v>
      </c>
      <c r="D9" s="148" t="s">
        <v>999</v>
      </c>
      <c r="E9" s="148">
        <v>100000</v>
      </c>
      <c r="F9" s="152">
        <f>SUM(E9*C9)</f>
        <v>100000</v>
      </c>
    </row>
    <row r="10" spans="1:6">
      <c r="A10" s="135">
        <v>3</v>
      </c>
      <c r="B10" s="23" t="s">
        <v>275</v>
      </c>
      <c r="C10" s="151">
        <v>1</v>
      </c>
      <c r="D10" s="148" t="s">
        <v>983</v>
      </c>
      <c r="E10" s="148">
        <v>100000</v>
      </c>
      <c r="F10" s="152">
        <f>SUM(E10*C10)</f>
        <v>100000</v>
      </c>
    </row>
    <row r="11" spans="1:6">
      <c r="A11" s="135">
        <v>4</v>
      </c>
      <c r="B11" s="23" t="s">
        <v>1000</v>
      </c>
      <c r="C11" s="151">
        <v>1</v>
      </c>
      <c r="D11" s="148" t="s">
        <v>983</v>
      </c>
      <c r="E11" s="148">
        <v>150000</v>
      </c>
      <c r="F11" s="152">
        <f>SUM(E11*C11)</f>
        <v>150000</v>
      </c>
    </row>
    <row r="12" spans="1:6">
      <c r="A12" s="135">
        <v>5</v>
      </c>
      <c r="B12" s="23" t="s">
        <v>315</v>
      </c>
      <c r="C12" s="151">
        <v>1</v>
      </c>
      <c r="D12" s="148" t="s">
        <v>983</v>
      </c>
      <c r="E12" s="148">
        <v>50000</v>
      </c>
      <c r="F12" s="152">
        <f>SUM(E12*C12)</f>
        <v>50000</v>
      </c>
    </row>
    <row r="13" spans="1:6">
      <c r="A13" s="135">
        <v>6</v>
      </c>
      <c r="B13" s="23" t="s">
        <v>340</v>
      </c>
      <c r="C13" s="151">
        <v>1</v>
      </c>
      <c r="D13" s="148" t="s">
        <v>983</v>
      </c>
      <c r="E13" s="148">
        <v>45000</v>
      </c>
      <c r="F13" s="152">
        <f>SUM(E13*C13)</f>
        <v>45000</v>
      </c>
    </row>
    <row r="14" spans="1:6">
      <c r="A14" s="135">
        <v>7</v>
      </c>
      <c r="B14" s="23" t="s">
        <v>345</v>
      </c>
      <c r="C14" s="151">
        <v>1</v>
      </c>
      <c r="D14" s="148" t="s">
        <v>983</v>
      </c>
      <c r="E14" s="148">
        <v>100000</v>
      </c>
      <c r="F14" s="152">
        <f>SUM(E14*C14)</f>
        <v>100000</v>
      </c>
    </row>
    <row r="15" spans="1:6">
      <c r="A15" s="135">
        <v>8</v>
      </c>
      <c r="B15" s="23" t="s">
        <v>1001</v>
      </c>
      <c r="C15" s="151">
        <v>1</v>
      </c>
      <c r="D15" s="148" t="s">
        <v>983</v>
      </c>
      <c r="E15" s="148">
        <v>150000</v>
      </c>
      <c r="F15" s="152">
        <f>SUM(E15*C15)</f>
        <v>150000</v>
      </c>
    </row>
    <row r="16" spans="1:6">
      <c r="A16" s="135">
        <v>9</v>
      </c>
      <c r="B16" s="153" t="s">
        <v>366</v>
      </c>
      <c r="C16" s="151">
        <v>1</v>
      </c>
      <c r="D16" s="148" t="s">
        <v>983</v>
      </c>
      <c r="E16" s="148">
        <v>50000</v>
      </c>
      <c r="F16" s="152">
        <f>SUM(E16*C16)</f>
        <v>50000</v>
      </c>
    </row>
    <row r="17" spans="1:6">
      <c r="A17" s="135">
        <v>10</v>
      </c>
      <c r="B17" s="23" t="s">
        <v>1002</v>
      </c>
      <c r="C17" s="151">
        <v>1</v>
      </c>
      <c r="D17" s="148" t="s">
        <v>983</v>
      </c>
      <c r="E17" s="148">
        <v>150000</v>
      </c>
      <c r="F17" s="152">
        <f>SUM(E17*C17)</f>
        <v>150000</v>
      </c>
    </row>
    <row r="18" spans="1:6">
      <c r="A18" s="135">
        <v>11</v>
      </c>
      <c r="B18" s="23" t="s">
        <v>1003</v>
      </c>
      <c r="C18" s="151">
        <v>1</v>
      </c>
      <c r="D18" s="148" t="s">
        <v>983</v>
      </c>
      <c r="E18" s="148">
        <v>50000</v>
      </c>
      <c r="F18" s="152">
        <f>SUM(E18*C18)</f>
        <v>50000</v>
      </c>
    </row>
    <row r="19" spans="1:6">
      <c r="A19" s="135">
        <v>12</v>
      </c>
      <c r="B19" s="23" t="s">
        <v>1004</v>
      </c>
      <c r="C19" s="151">
        <v>1</v>
      </c>
      <c r="D19" s="148" t="s">
        <v>983</v>
      </c>
      <c r="E19" s="148">
        <v>100000</v>
      </c>
      <c r="F19" s="152">
        <f>SUM(E19*C19)</f>
        <v>100000</v>
      </c>
    </row>
    <row r="20" spans="1:6">
      <c r="A20" s="135">
        <v>13</v>
      </c>
      <c r="B20" s="23" t="s">
        <v>1005</v>
      </c>
      <c r="C20" s="151">
        <v>1</v>
      </c>
      <c r="D20" s="148" t="s">
        <v>983</v>
      </c>
      <c r="E20" s="148">
        <v>100000</v>
      </c>
      <c r="F20" s="152">
        <f>SUM(E20*C20)</f>
        <v>100000</v>
      </c>
    </row>
    <row r="21" spans="1:6">
      <c r="A21" s="135"/>
      <c r="B21" s="154" t="s">
        <v>109</v>
      </c>
      <c r="C21" s="154"/>
      <c r="D21" s="154"/>
      <c r="E21" s="154"/>
      <c r="F21" s="155">
        <f>SUM(F8:F20)</f>
        <v>1345000</v>
      </c>
    </row>
    <row r="22" spans="1:6">
      <c r="A22" s="156" t="s">
        <v>111</v>
      </c>
      <c r="B22" s="156"/>
      <c r="C22" s="156"/>
      <c r="D22" s="156"/>
      <c r="E22" s="156"/>
      <c r="F22" s="156"/>
    </row>
    <row r="23" spans="1:6">
      <c r="A23" s="5" t="s">
        <v>966</v>
      </c>
      <c r="B23" s="5"/>
      <c r="C23" s="5"/>
      <c r="D23" s="5"/>
      <c r="E23" s="5"/>
      <c r="F23" s="5"/>
    </row>
    <row r="24" spans="1:6">
      <c r="A24" s="6"/>
      <c r="B24" s="5"/>
      <c r="C24" s="6"/>
      <c r="D24" s="6"/>
      <c r="E24" s="6"/>
      <c r="F24" s="124"/>
    </row>
    <row r="25" spans="1:6">
      <c r="A25" s="6"/>
      <c r="B25" s="124"/>
      <c r="C25" s="6"/>
      <c r="D25" s="124" t="s">
        <v>996</v>
      </c>
      <c r="E25" s="124"/>
      <c r="F25" s="124"/>
    </row>
    <row r="26" spans="1:6">
      <c r="A26" s="6"/>
      <c r="B26" s="124" t="s">
        <v>113</v>
      </c>
      <c r="C26" s="6"/>
      <c r="D26" s="124" t="s">
        <v>685</v>
      </c>
      <c r="E26" s="124"/>
      <c r="F26" s="124"/>
    </row>
    <row r="27" spans="1:6">
      <c r="A27" s="6"/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6"/>
      <c r="F28" s="6"/>
    </row>
    <row r="29" spans="1:6">
      <c r="A29" s="6"/>
      <c r="B29" s="6"/>
      <c r="C29" s="6"/>
      <c r="D29" s="6"/>
      <c r="E29" s="157"/>
      <c r="F29" s="6"/>
    </row>
    <row r="30" spans="1:6">
      <c r="A30" s="6"/>
      <c r="B30" s="98" t="s">
        <v>115</v>
      </c>
      <c r="C30" s="95"/>
      <c r="D30" s="98" t="s">
        <v>116</v>
      </c>
      <c r="E30" s="98"/>
      <c r="F30" s="98"/>
    </row>
  </sheetData>
  <mergeCells count="11">
    <mergeCell ref="A2:F2"/>
    <mergeCell ref="A3:F3"/>
    <mergeCell ref="A4:B4"/>
    <mergeCell ref="C4:E4"/>
    <mergeCell ref="A5:B5"/>
    <mergeCell ref="A6:B6"/>
    <mergeCell ref="A22:F22"/>
    <mergeCell ref="A23:F23"/>
    <mergeCell ref="D25:F25"/>
    <mergeCell ref="D26:F26"/>
    <mergeCell ref="D30:F30"/>
  </mergeCells>
  <pageMargins left="0.75" right="0.75" top="1" bottom="1" header="0.5" footer="0.5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1"/>
  <sheetViews>
    <sheetView topLeftCell="A7" workbookViewId="0">
      <selection activeCell="F10" sqref="F10"/>
    </sheetView>
  </sheetViews>
  <sheetFormatPr defaultColWidth="8.72727272727273" defaultRowHeight="14.5" outlineLevelCol="5"/>
  <cols>
    <col min="2" max="2" width="6.45454545454545" customWidth="1"/>
    <col min="3" max="3" width="19.4545454545455" customWidth="1"/>
    <col min="4" max="4" width="17" customWidth="1"/>
    <col min="5" max="5" width="15.5454545454545" customWidth="1"/>
    <col min="6" max="6" width="17.4545454545455" customWidth="1"/>
  </cols>
  <sheetData>
    <row r="2" spans="2:6">
      <c r="B2" s="122" t="s">
        <v>1006</v>
      </c>
      <c r="C2" s="122"/>
      <c r="D2" s="122"/>
      <c r="E2" s="122"/>
      <c r="F2" s="122"/>
    </row>
    <row r="3" spans="2:6">
      <c r="B3" s="122" t="s">
        <v>1007</v>
      </c>
      <c r="C3" s="122"/>
      <c r="D3" s="122"/>
      <c r="E3" s="122"/>
      <c r="F3" s="122"/>
    </row>
    <row r="4" spans="2:6">
      <c r="B4" s="122" t="s">
        <v>1008</v>
      </c>
      <c r="C4" s="122"/>
      <c r="D4" s="122"/>
      <c r="E4" s="122"/>
      <c r="F4" s="122"/>
    </row>
    <row r="5" spans="2:6">
      <c r="B5" s="145" t="s">
        <v>1009</v>
      </c>
      <c r="C5" s="145"/>
      <c r="D5" s="145"/>
      <c r="E5" s="124"/>
      <c r="F5" s="124"/>
    </row>
    <row r="6" spans="2:6">
      <c r="B6" s="125" t="s">
        <v>478</v>
      </c>
      <c r="C6" s="125" t="s">
        <v>690</v>
      </c>
      <c r="D6" s="125" t="s">
        <v>1010</v>
      </c>
      <c r="E6" s="126" t="s">
        <v>109</v>
      </c>
      <c r="F6" s="146" t="s">
        <v>1011</v>
      </c>
    </row>
    <row r="7" ht="23" customHeight="1" spans="2:6">
      <c r="B7" s="125"/>
      <c r="C7" s="125"/>
      <c r="D7" s="125"/>
      <c r="E7" s="126"/>
      <c r="F7" s="146"/>
    </row>
    <row r="8" ht="68" customHeight="1" spans="2:6">
      <c r="B8" s="132">
        <v>1</v>
      </c>
      <c r="C8" s="133" t="s">
        <v>1012</v>
      </c>
      <c r="D8" s="128" t="s">
        <v>1013</v>
      </c>
      <c r="E8" s="134">
        <v>1600000</v>
      </c>
      <c r="F8" s="136" t="s">
        <v>5</v>
      </c>
    </row>
    <row r="9" ht="68" customHeight="1" spans="2:6">
      <c r="B9" s="132">
        <v>2</v>
      </c>
      <c r="C9" s="133" t="s">
        <v>1014</v>
      </c>
      <c r="D9" s="128" t="s">
        <v>1015</v>
      </c>
      <c r="E9" s="134">
        <v>660000</v>
      </c>
      <c r="F9" s="135" t="s">
        <v>7</v>
      </c>
    </row>
    <row r="10" ht="68" customHeight="1" spans="2:6">
      <c r="B10" s="147">
        <v>3</v>
      </c>
      <c r="C10" s="133" t="s">
        <v>1016</v>
      </c>
      <c r="D10" s="132" t="s">
        <v>1017</v>
      </c>
      <c r="E10" s="148">
        <v>440000</v>
      </c>
      <c r="F10" s="136">
        <v>3</v>
      </c>
    </row>
    <row r="11" ht="37" customHeight="1" spans="2:6">
      <c r="B11" s="147" t="s">
        <v>109</v>
      </c>
      <c r="C11" s="147"/>
      <c r="D11" s="147"/>
      <c r="E11" s="149">
        <f>SUM(E8:E10)</f>
        <v>2700000</v>
      </c>
      <c r="F11" s="136"/>
    </row>
    <row r="12" spans="2:6">
      <c r="B12" s="6"/>
      <c r="C12" s="6"/>
      <c r="D12" s="6"/>
      <c r="E12" s="6"/>
      <c r="F12" s="6"/>
    </row>
    <row r="13" spans="2:6">
      <c r="B13" s="122" t="s">
        <v>466</v>
      </c>
      <c r="C13" s="122"/>
      <c r="D13" s="122"/>
      <c r="E13" s="122"/>
      <c r="F13" s="122"/>
    </row>
    <row r="14" spans="2:6">
      <c r="B14" s="122" t="s">
        <v>111</v>
      </c>
      <c r="C14" s="122"/>
      <c r="D14" s="122"/>
      <c r="E14" s="122"/>
      <c r="F14" s="122"/>
    </row>
    <row r="15" spans="2:6">
      <c r="B15" s="6"/>
      <c r="C15" s="6"/>
      <c r="D15" s="6"/>
      <c r="E15" s="6"/>
      <c r="F15" s="6"/>
    </row>
    <row r="16" spans="2:6">
      <c r="B16" s="6"/>
      <c r="C16" s="6"/>
      <c r="D16" s="124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95"/>
      <c r="E18" s="95"/>
      <c r="F18" s="95"/>
    </row>
    <row r="19" spans="2:6">
      <c r="B19" s="6"/>
      <c r="C19" s="6"/>
      <c r="D19" s="124"/>
      <c r="E19" s="124"/>
      <c r="F19" s="124"/>
    </row>
    <row r="20" spans="2:6">
      <c r="B20" s="98" t="s">
        <v>115</v>
      </c>
      <c r="C20" s="98"/>
      <c r="D20" s="141"/>
      <c r="E20" s="142" t="s">
        <v>470</v>
      </c>
      <c r="F20" s="142"/>
    </row>
    <row r="21" spans="2:6">
      <c r="B21" s="124" t="s">
        <v>274</v>
      </c>
      <c r="C21" s="6"/>
      <c r="D21" s="143"/>
      <c r="E21" s="144" t="s">
        <v>472</v>
      </c>
      <c r="F21" s="144"/>
    </row>
  </sheetData>
  <mergeCells count="16">
    <mergeCell ref="B2:F2"/>
    <mergeCell ref="B3:F3"/>
    <mergeCell ref="B4:F4"/>
    <mergeCell ref="B5:D5"/>
    <mergeCell ref="B11:D11"/>
    <mergeCell ref="B13:F13"/>
    <mergeCell ref="B14:F14"/>
    <mergeCell ref="B20:C20"/>
    <mergeCell ref="E20:F20"/>
    <mergeCell ref="B21:C21"/>
    <mergeCell ref="E21:F21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3"/>
  <sheetViews>
    <sheetView topLeftCell="A11" workbookViewId="0">
      <selection activeCell="G18" sqref="G18"/>
    </sheetView>
  </sheetViews>
  <sheetFormatPr defaultColWidth="8.72727272727273" defaultRowHeight="14.5" outlineLevelCol="5"/>
  <cols>
    <col min="3" max="3" width="21.0909090909091" customWidth="1"/>
    <col min="4" max="4" width="15.7272727272727" customWidth="1"/>
    <col min="5" max="5" width="15.4545454545455" customWidth="1"/>
    <col min="6" max="6" width="19" customWidth="1"/>
  </cols>
  <sheetData>
    <row r="2" spans="2:6">
      <c r="B2" s="122" t="s">
        <v>1018</v>
      </c>
      <c r="C2" s="122"/>
      <c r="D2" s="122"/>
      <c r="E2" s="122"/>
      <c r="F2" s="122"/>
    </row>
    <row r="3" spans="2:6">
      <c r="B3" s="122" t="s">
        <v>1007</v>
      </c>
      <c r="C3" s="122"/>
      <c r="D3" s="122"/>
      <c r="E3" s="122"/>
      <c r="F3" s="122"/>
    </row>
    <row r="4" spans="2:6">
      <c r="B4" s="122" t="s">
        <v>1008</v>
      </c>
      <c r="C4" s="122"/>
      <c r="D4" s="122"/>
      <c r="E4" s="122"/>
      <c r="F4" s="122"/>
    </row>
    <row r="5" spans="2:6">
      <c r="B5" s="123" t="s">
        <v>1019</v>
      </c>
      <c r="C5" s="123"/>
      <c r="D5" s="123"/>
      <c r="E5" s="124"/>
      <c r="F5" s="124"/>
    </row>
    <row r="6" spans="2:6">
      <c r="B6" s="125" t="s">
        <v>852</v>
      </c>
      <c r="C6" s="125" t="s">
        <v>690</v>
      </c>
      <c r="D6" s="125" t="s">
        <v>1010</v>
      </c>
      <c r="E6" s="126" t="s">
        <v>109</v>
      </c>
      <c r="F6" s="127" t="s">
        <v>1011</v>
      </c>
    </row>
    <row r="7" ht="19" customHeight="1" spans="2:6">
      <c r="B7" s="125"/>
      <c r="C7" s="125"/>
      <c r="D7" s="125"/>
      <c r="E7" s="126"/>
      <c r="F7" s="127"/>
    </row>
    <row r="8" ht="64" customHeight="1" spans="2:6">
      <c r="B8" s="128">
        <v>1</v>
      </c>
      <c r="C8" s="129" t="s">
        <v>115</v>
      </c>
      <c r="D8" s="128" t="s">
        <v>113</v>
      </c>
      <c r="E8" s="130">
        <v>1600000</v>
      </c>
      <c r="F8" s="131">
        <v>1</v>
      </c>
    </row>
    <row r="9" ht="64" customHeight="1" spans="2:6">
      <c r="B9" s="132">
        <v>2</v>
      </c>
      <c r="C9" s="133" t="s">
        <v>1020</v>
      </c>
      <c r="D9" s="128" t="s">
        <v>1021</v>
      </c>
      <c r="E9" s="134">
        <v>1550000</v>
      </c>
      <c r="F9" s="135" t="s">
        <v>7</v>
      </c>
    </row>
    <row r="10" ht="64" customHeight="1" spans="2:6">
      <c r="B10" s="132">
        <v>3</v>
      </c>
      <c r="C10" s="133" t="s">
        <v>176</v>
      </c>
      <c r="D10" s="128" t="s">
        <v>114</v>
      </c>
      <c r="E10" s="134">
        <v>1600000</v>
      </c>
      <c r="F10" s="136" t="s">
        <v>25</v>
      </c>
    </row>
    <row r="11" ht="64" customHeight="1" spans="2:6">
      <c r="B11" s="132">
        <v>4</v>
      </c>
      <c r="C11" s="133" t="s">
        <v>1022</v>
      </c>
      <c r="D11" s="128" t="s">
        <v>1023</v>
      </c>
      <c r="E11" s="134">
        <v>1550000</v>
      </c>
      <c r="F11" s="135" t="s">
        <v>1024</v>
      </c>
    </row>
    <row r="12" ht="64" customHeight="1" spans="2:6">
      <c r="B12" s="132">
        <v>5</v>
      </c>
      <c r="C12" s="133" t="s">
        <v>686</v>
      </c>
      <c r="D12" s="128" t="s">
        <v>1023</v>
      </c>
      <c r="E12" s="134">
        <v>1550000</v>
      </c>
      <c r="F12" s="136">
        <v>5</v>
      </c>
    </row>
    <row r="13" ht="44" customHeight="1" spans="2:6">
      <c r="B13" s="137" t="s">
        <v>109</v>
      </c>
      <c r="C13" s="138"/>
      <c r="D13" s="138"/>
      <c r="E13" s="139">
        <f>SUM(E8:E12)</f>
        <v>7850000</v>
      </c>
      <c r="F13" s="140"/>
    </row>
    <row r="14" spans="2:6">
      <c r="B14" s="6"/>
      <c r="C14" s="6"/>
      <c r="D14" s="6"/>
      <c r="E14" s="6"/>
      <c r="F14" s="6"/>
    </row>
    <row r="15" spans="2:6">
      <c r="B15" s="122" t="s">
        <v>466</v>
      </c>
      <c r="C15" s="122"/>
      <c r="D15" s="122"/>
      <c r="E15" s="122"/>
      <c r="F15" s="122"/>
    </row>
    <row r="16" spans="2:6">
      <c r="B16" s="122" t="s">
        <v>111</v>
      </c>
      <c r="C16" s="122"/>
      <c r="D16" s="122"/>
      <c r="E16" s="122"/>
      <c r="F16" s="122"/>
    </row>
    <row r="17" spans="2:6">
      <c r="B17" s="6"/>
      <c r="C17" s="6"/>
      <c r="D17" s="6"/>
      <c r="E17" s="6"/>
      <c r="F17" s="6"/>
    </row>
    <row r="18" spans="2:6">
      <c r="B18" s="6"/>
      <c r="C18" s="6"/>
      <c r="D18" s="124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95"/>
      <c r="E20" s="95"/>
      <c r="F20" s="95"/>
    </row>
    <row r="21" spans="2:6">
      <c r="B21" s="6"/>
      <c r="C21" s="6"/>
      <c r="D21" s="124"/>
      <c r="E21" s="124"/>
      <c r="F21" s="124"/>
    </row>
    <row r="22" spans="2:6">
      <c r="B22" s="98" t="s">
        <v>115</v>
      </c>
      <c r="C22" s="98"/>
      <c r="D22" s="141"/>
      <c r="E22" s="142" t="s">
        <v>470</v>
      </c>
      <c r="F22" s="142"/>
    </row>
    <row r="23" spans="2:6">
      <c r="B23" s="124" t="s">
        <v>274</v>
      </c>
      <c r="C23" s="6"/>
      <c r="D23" s="143"/>
      <c r="E23" s="144" t="s">
        <v>472</v>
      </c>
      <c r="F23" s="144"/>
    </row>
  </sheetData>
  <mergeCells count="16">
    <mergeCell ref="B2:F2"/>
    <mergeCell ref="B3:F3"/>
    <mergeCell ref="B4:F4"/>
    <mergeCell ref="B5:D5"/>
    <mergeCell ref="B13:D13"/>
    <mergeCell ref="B15:F15"/>
    <mergeCell ref="B16:F16"/>
    <mergeCell ref="B22:C22"/>
    <mergeCell ref="E22:F22"/>
    <mergeCell ref="B23:C23"/>
    <mergeCell ref="E23:F23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view="pageBreakPreview" zoomScaleNormal="100" topLeftCell="A4" workbookViewId="0">
      <selection activeCell="F16" sqref="F16"/>
    </sheetView>
  </sheetViews>
  <sheetFormatPr defaultColWidth="9" defaultRowHeight="14.5"/>
  <cols>
    <col min="1" max="1" width="4" style="60" customWidth="1"/>
    <col min="2" max="2" width="13.8545454545455" customWidth="1"/>
    <col min="3" max="3" width="26.2818181818182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1" spans="1:13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3" t="s">
        <v>1026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1027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="57" customFormat="1" ht="19.5" customHeight="1" spans="1:13">
      <c r="A5" s="64" t="s">
        <v>478</v>
      </c>
      <c r="B5" s="65" t="s">
        <v>700</v>
      </c>
      <c r="C5" s="65" t="s">
        <v>205</v>
      </c>
      <c r="D5" s="67" t="s">
        <v>950</v>
      </c>
      <c r="E5" s="68"/>
      <c r="F5" s="101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ht="19.5" customHeight="1" spans="1:13">
      <c r="A6" s="114"/>
      <c r="B6" s="115"/>
      <c r="C6" s="115"/>
      <c r="D6" s="102" t="s">
        <v>954</v>
      </c>
      <c r="E6" s="67" t="s">
        <v>941</v>
      </c>
      <c r="F6" s="101"/>
      <c r="G6" s="102" t="s">
        <v>954</v>
      </c>
      <c r="H6" s="67" t="s">
        <v>941</v>
      </c>
      <c r="I6" s="101"/>
      <c r="J6" s="119"/>
      <c r="K6" s="120"/>
      <c r="L6" s="121"/>
      <c r="M6" s="119"/>
    </row>
    <row r="7" s="57" customFormat="1" ht="19.5" customHeight="1" spans="1:13">
      <c r="A7" s="69"/>
      <c r="B7" s="70"/>
      <c r="C7" s="70"/>
      <c r="D7" s="72"/>
      <c r="E7" s="66" t="s">
        <v>940</v>
      </c>
      <c r="F7" s="66" t="s">
        <v>703</v>
      </c>
      <c r="G7" s="72"/>
      <c r="H7" s="66" t="s">
        <v>940</v>
      </c>
      <c r="I7" s="66" t="s">
        <v>703</v>
      </c>
      <c r="J7" s="72"/>
      <c r="K7" s="103" t="s">
        <v>1028</v>
      </c>
      <c r="L7" s="103" t="s">
        <v>1029</v>
      </c>
      <c r="M7" s="72"/>
    </row>
    <row r="8" s="58" customFormat="1" ht="23.25" customHeight="1" spans="1:13">
      <c r="A8" s="73">
        <v>1</v>
      </c>
      <c r="B8" s="1108" t="s">
        <v>1030</v>
      </c>
      <c r="C8" s="74" t="s">
        <v>1031</v>
      </c>
      <c r="D8" s="77">
        <v>5</v>
      </c>
      <c r="E8" s="75">
        <v>370000</v>
      </c>
      <c r="F8" s="76">
        <f>SUM(D8*E8)</f>
        <v>1850000</v>
      </c>
      <c r="G8" s="77">
        <v>5</v>
      </c>
      <c r="H8" s="75">
        <v>420000</v>
      </c>
      <c r="I8" s="76">
        <f>SUM(G8*H8)</f>
        <v>2100000</v>
      </c>
      <c r="J8" s="77">
        <f>SUM(I16-F16)</f>
        <v>1461000</v>
      </c>
      <c r="K8" s="77">
        <f>SUM(J8*20%)</f>
        <v>292200</v>
      </c>
      <c r="L8" s="77">
        <f>SUM(J8*80%)</f>
        <v>1168800</v>
      </c>
      <c r="M8" s="76">
        <v>15</v>
      </c>
    </row>
    <row r="9" ht="23.25" customHeight="1" spans="1:13">
      <c r="A9" s="73">
        <v>2</v>
      </c>
      <c r="B9" s="117"/>
      <c r="C9" s="79" t="s">
        <v>1032</v>
      </c>
      <c r="D9" s="77">
        <v>13</v>
      </c>
      <c r="E9" s="80">
        <v>360000</v>
      </c>
      <c r="F9" s="76">
        <f t="shared" ref="F9:F15" si="0">SUM(D9*E9)</f>
        <v>4680000</v>
      </c>
      <c r="G9" s="77">
        <v>13</v>
      </c>
      <c r="H9" s="80">
        <v>410000</v>
      </c>
      <c r="I9" s="76">
        <f t="shared" ref="I9:I15" si="1">SUM(G9*H9)</f>
        <v>5330000</v>
      </c>
      <c r="J9" s="77"/>
      <c r="K9" s="77"/>
      <c r="L9" s="77"/>
      <c r="M9" s="80">
        <v>7</v>
      </c>
    </row>
    <row r="10" ht="23.25" customHeight="1" spans="1:13">
      <c r="A10" s="73">
        <v>3</v>
      </c>
      <c r="B10" s="117"/>
      <c r="C10" s="79" t="s">
        <v>1033</v>
      </c>
      <c r="D10" s="77">
        <v>1</v>
      </c>
      <c r="E10" s="80">
        <v>143000</v>
      </c>
      <c r="F10" s="76">
        <f t="shared" si="0"/>
        <v>143000</v>
      </c>
      <c r="G10" s="77">
        <v>1</v>
      </c>
      <c r="H10" s="80">
        <v>165000</v>
      </c>
      <c r="I10" s="76">
        <f t="shared" si="1"/>
        <v>165000</v>
      </c>
      <c r="J10" s="77"/>
      <c r="K10" s="77"/>
      <c r="L10" s="77"/>
      <c r="M10" s="80">
        <v>19</v>
      </c>
    </row>
    <row r="11" ht="23.25" customHeight="1" spans="1:13">
      <c r="A11" s="73">
        <v>4</v>
      </c>
      <c r="B11" s="117"/>
      <c r="C11" s="79" t="s">
        <v>1034</v>
      </c>
      <c r="D11" s="77">
        <v>7</v>
      </c>
      <c r="E11" s="80">
        <v>140000</v>
      </c>
      <c r="F11" s="76">
        <f t="shared" si="0"/>
        <v>980000</v>
      </c>
      <c r="G11" s="77">
        <v>7</v>
      </c>
      <c r="H11" s="80">
        <v>160000</v>
      </c>
      <c r="I11" s="76">
        <f t="shared" si="1"/>
        <v>1120000</v>
      </c>
      <c r="J11" s="77"/>
      <c r="K11" s="77"/>
      <c r="L11" s="77"/>
      <c r="M11" s="80">
        <v>13</v>
      </c>
    </row>
    <row r="12" ht="23.25" customHeight="1" spans="1:13">
      <c r="A12" s="73">
        <v>5</v>
      </c>
      <c r="B12" s="117"/>
      <c r="C12" s="79" t="s">
        <v>1035</v>
      </c>
      <c r="D12" s="77">
        <v>5</v>
      </c>
      <c r="E12" s="80">
        <v>94000</v>
      </c>
      <c r="F12" s="76">
        <f t="shared" si="0"/>
        <v>470000</v>
      </c>
      <c r="G12" s="77">
        <v>5</v>
      </c>
      <c r="H12" s="80">
        <v>110000</v>
      </c>
      <c r="I12" s="76">
        <f t="shared" si="1"/>
        <v>550000</v>
      </c>
      <c r="J12" s="77"/>
      <c r="K12" s="77"/>
      <c r="L12" s="77"/>
      <c r="M12" s="80">
        <v>0</v>
      </c>
    </row>
    <row r="13" ht="23.25" customHeight="1" spans="1:13">
      <c r="A13" s="73">
        <v>6</v>
      </c>
      <c r="B13" s="117"/>
      <c r="C13" s="79" t="s">
        <v>1036</v>
      </c>
      <c r="D13" s="77">
        <v>5</v>
      </c>
      <c r="E13" s="80">
        <v>180000</v>
      </c>
      <c r="F13" s="76">
        <f t="shared" si="0"/>
        <v>900000</v>
      </c>
      <c r="G13" s="77">
        <v>5</v>
      </c>
      <c r="H13" s="80">
        <v>210000</v>
      </c>
      <c r="I13" s="76">
        <f t="shared" si="1"/>
        <v>1050000</v>
      </c>
      <c r="J13" s="77"/>
      <c r="K13" s="77"/>
      <c r="L13" s="77"/>
      <c r="M13" s="80">
        <v>0</v>
      </c>
    </row>
    <row r="14" ht="23.25" customHeight="1" spans="1:13">
      <c r="A14" s="73">
        <v>7</v>
      </c>
      <c r="B14" s="117"/>
      <c r="C14" s="79" t="s">
        <v>1037</v>
      </c>
      <c r="D14" s="77">
        <v>5</v>
      </c>
      <c r="E14" s="80">
        <v>160000</v>
      </c>
      <c r="F14" s="76">
        <f t="shared" si="0"/>
        <v>800000</v>
      </c>
      <c r="G14" s="77">
        <v>5</v>
      </c>
      <c r="H14" s="80">
        <v>185000</v>
      </c>
      <c r="I14" s="76">
        <f t="shared" si="1"/>
        <v>925000</v>
      </c>
      <c r="J14" s="77"/>
      <c r="K14" s="77"/>
      <c r="L14" s="77"/>
      <c r="M14" s="80">
        <v>0</v>
      </c>
    </row>
    <row r="15" ht="23.25" customHeight="1" spans="1:13">
      <c r="A15" s="73">
        <v>8</v>
      </c>
      <c r="B15" s="118"/>
      <c r="C15" s="79" t="s">
        <v>1038</v>
      </c>
      <c r="D15" s="77">
        <v>1</v>
      </c>
      <c r="E15" s="80">
        <v>86000</v>
      </c>
      <c r="F15" s="76">
        <f t="shared" si="0"/>
        <v>86000</v>
      </c>
      <c r="G15" s="77">
        <v>1</v>
      </c>
      <c r="H15" s="80">
        <v>130000</v>
      </c>
      <c r="I15" s="76">
        <f t="shared" si="1"/>
        <v>130000</v>
      </c>
      <c r="J15" s="77"/>
      <c r="K15" s="77"/>
      <c r="L15" s="77"/>
      <c r="M15" s="80">
        <v>19</v>
      </c>
    </row>
    <row r="16" ht="23.25" customHeight="1" spans="1:13">
      <c r="A16" s="73"/>
      <c r="B16" s="79"/>
      <c r="C16" s="79"/>
      <c r="D16" s="77"/>
      <c r="E16" s="80"/>
      <c r="F16" s="80">
        <f>SUM(F8:F15)</f>
        <v>9909000</v>
      </c>
      <c r="G16" s="77"/>
      <c r="H16" s="80"/>
      <c r="I16" s="80">
        <f>SUM(I8:I15)</f>
        <v>11370000</v>
      </c>
      <c r="J16" s="80"/>
      <c r="K16" s="80"/>
      <c r="L16" s="80"/>
      <c r="M16" s="80"/>
    </row>
  </sheetData>
  <mergeCells count="19">
    <mergeCell ref="A1:M1"/>
    <mergeCell ref="A2:M2"/>
    <mergeCell ref="A3:M3"/>
    <mergeCell ref="D5:F5"/>
    <mergeCell ref="G5:I5"/>
    <mergeCell ref="E6:F6"/>
    <mergeCell ref="H6:I6"/>
    <mergeCell ref="A5:A7"/>
    <mergeCell ref="B5:B7"/>
    <mergeCell ref="B8:B15"/>
    <mergeCell ref="C5:C7"/>
    <mergeCell ref="D6:D7"/>
    <mergeCell ref="G6:G7"/>
    <mergeCell ref="J5:J7"/>
    <mergeCell ref="J8:J15"/>
    <mergeCell ref="K8:K15"/>
    <mergeCell ref="L8:L15"/>
    <mergeCell ref="M5:M7"/>
    <mergeCell ref="K5:L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view="pageLayout" zoomScaleSheetLayoutView="110" zoomScaleNormal="100" topLeftCell="A25" workbookViewId="0">
      <selection activeCell="B31" sqref="B31"/>
    </sheetView>
  </sheetViews>
  <sheetFormatPr defaultColWidth="9" defaultRowHeight="14.5"/>
  <cols>
    <col min="1" max="1" width="4" style="60" customWidth="1"/>
    <col min="2" max="2" width="31.1818181818182" customWidth="1"/>
    <col min="3" max="3" width="10.3636363636364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1" spans="1:13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3" t="s">
        <v>1039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1040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="57" customFormat="1" ht="19.5" customHeight="1" spans="1:13">
      <c r="A5" s="64" t="s">
        <v>478</v>
      </c>
      <c r="B5" s="65" t="s">
        <v>205</v>
      </c>
      <c r="C5" s="66" t="s">
        <v>950</v>
      </c>
      <c r="D5" s="66"/>
      <c r="E5" s="66"/>
      <c r="F5" s="66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ht="32" customHeight="1" spans="1:13">
      <c r="A6" s="69"/>
      <c r="B6" s="70"/>
      <c r="C6" s="70" t="s">
        <v>976</v>
      </c>
      <c r="D6" s="71" t="s">
        <v>1041</v>
      </c>
      <c r="E6" s="72" t="s">
        <v>941</v>
      </c>
      <c r="F6" s="72" t="s">
        <v>694</v>
      </c>
      <c r="G6" s="72" t="s">
        <v>1041</v>
      </c>
      <c r="H6" s="66" t="s">
        <v>941</v>
      </c>
      <c r="I6" s="66" t="s">
        <v>694</v>
      </c>
      <c r="J6" s="72"/>
      <c r="K6" s="103" t="s">
        <v>1028</v>
      </c>
      <c r="L6" s="103" t="s">
        <v>1029</v>
      </c>
      <c r="M6" s="72"/>
    </row>
    <row r="7" s="58" customFormat="1" ht="23.25" customHeight="1" spans="1:13">
      <c r="A7" s="73">
        <v>1</v>
      </c>
      <c r="B7" s="74" t="s">
        <v>1031</v>
      </c>
      <c r="C7" s="74" t="s">
        <v>1042</v>
      </c>
      <c r="D7" s="76">
        <v>15</v>
      </c>
      <c r="E7" s="75">
        <v>370000</v>
      </c>
      <c r="F7" s="76">
        <f t="shared" ref="F7:F14" si="0">SUM(D7*E7)</f>
        <v>5550000</v>
      </c>
      <c r="G7" s="76">
        <v>15</v>
      </c>
      <c r="H7" s="75">
        <v>420000</v>
      </c>
      <c r="I7" s="76">
        <f>SUM(G7*H7)</f>
        <v>6300000</v>
      </c>
      <c r="J7" s="76"/>
      <c r="K7" s="76"/>
      <c r="L7" s="76"/>
      <c r="M7" s="76"/>
    </row>
    <row r="8" ht="23.25" customHeight="1" spans="1:13">
      <c r="A8" s="73">
        <v>2</v>
      </c>
      <c r="B8" s="79" t="s">
        <v>1032</v>
      </c>
      <c r="C8" s="79" t="s">
        <v>1042</v>
      </c>
      <c r="D8" s="80">
        <v>7</v>
      </c>
      <c r="E8" s="80">
        <v>360000</v>
      </c>
      <c r="F8" s="76">
        <f t="shared" si="0"/>
        <v>2520000</v>
      </c>
      <c r="G8" s="80">
        <v>7</v>
      </c>
      <c r="H8" s="80">
        <v>410000</v>
      </c>
      <c r="I8" s="76">
        <f t="shared" ref="I7:I14" si="1">SUM(G8*H8)</f>
        <v>2870000</v>
      </c>
      <c r="J8" s="80"/>
      <c r="K8" s="80"/>
      <c r="L8" s="80"/>
      <c r="M8" s="80"/>
    </row>
    <row r="9" ht="23.25" customHeight="1" spans="1:13">
      <c r="A9" s="73">
        <v>3</v>
      </c>
      <c r="B9" s="79" t="s">
        <v>1033</v>
      </c>
      <c r="C9" s="79" t="s">
        <v>1042</v>
      </c>
      <c r="D9" s="80">
        <v>19</v>
      </c>
      <c r="E9" s="80">
        <v>143000</v>
      </c>
      <c r="F9" s="76">
        <f t="shared" si="0"/>
        <v>2717000</v>
      </c>
      <c r="G9" s="80">
        <v>19</v>
      </c>
      <c r="H9" s="80">
        <v>165000</v>
      </c>
      <c r="I9" s="76">
        <f t="shared" si="1"/>
        <v>3135000</v>
      </c>
      <c r="J9" s="80"/>
      <c r="K9" s="80"/>
      <c r="L9" s="80"/>
      <c r="M9" s="80"/>
    </row>
    <row r="10" ht="23.25" customHeight="1" spans="1:13">
      <c r="A10" s="73">
        <v>4</v>
      </c>
      <c r="B10" s="79" t="s">
        <v>1034</v>
      </c>
      <c r="C10" s="79" t="s">
        <v>1042</v>
      </c>
      <c r="D10" s="80">
        <v>13</v>
      </c>
      <c r="E10" s="80">
        <v>140000</v>
      </c>
      <c r="F10" s="76">
        <f t="shared" si="0"/>
        <v>1820000</v>
      </c>
      <c r="G10" s="80">
        <v>13</v>
      </c>
      <c r="H10" s="80">
        <v>160000</v>
      </c>
      <c r="I10" s="76">
        <f t="shared" si="1"/>
        <v>2080000</v>
      </c>
      <c r="J10" s="80"/>
      <c r="K10" s="80"/>
      <c r="L10" s="80"/>
      <c r="M10" s="80"/>
    </row>
    <row r="11" ht="23.25" customHeight="1" spans="1:13">
      <c r="A11" s="73">
        <v>5</v>
      </c>
      <c r="B11" s="79" t="s">
        <v>1035</v>
      </c>
      <c r="C11" s="79" t="s">
        <v>1042</v>
      </c>
      <c r="D11" s="80">
        <v>0</v>
      </c>
      <c r="E11" s="80">
        <v>94000</v>
      </c>
      <c r="F11" s="76">
        <f t="shared" si="0"/>
        <v>0</v>
      </c>
      <c r="G11" s="80">
        <v>0</v>
      </c>
      <c r="H11" s="80">
        <v>110000</v>
      </c>
      <c r="I11" s="76">
        <f t="shared" si="1"/>
        <v>0</v>
      </c>
      <c r="J11" s="80"/>
      <c r="K11" s="80"/>
      <c r="L11" s="80"/>
      <c r="M11" s="80"/>
    </row>
    <row r="12" ht="23.25" customHeight="1" spans="1:13">
      <c r="A12" s="73">
        <v>6</v>
      </c>
      <c r="B12" s="79" t="s">
        <v>1036</v>
      </c>
      <c r="C12" s="79" t="s">
        <v>1042</v>
      </c>
      <c r="D12" s="80">
        <v>0</v>
      </c>
      <c r="E12" s="80">
        <v>180000</v>
      </c>
      <c r="F12" s="76">
        <f t="shared" si="0"/>
        <v>0</v>
      </c>
      <c r="G12" s="80">
        <v>0</v>
      </c>
      <c r="H12" s="80">
        <v>210000</v>
      </c>
      <c r="I12" s="76">
        <f t="shared" si="1"/>
        <v>0</v>
      </c>
      <c r="J12" s="80"/>
      <c r="K12" s="80"/>
      <c r="L12" s="80"/>
      <c r="M12" s="80"/>
    </row>
    <row r="13" ht="23.25" customHeight="1" spans="1:13">
      <c r="A13" s="73">
        <v>7</v>
      </c>
      <c r="B13" s="79" t="s">
        <v>1037</v>
      </c>
      <c r="C13" s="79" t="s">
        <v>1042</v>
      </c>
      <c r="D13" s="80">
        <v>0</v>
      </c>
      <c r="E13" s="80">
        <v>160000</v>
      </c>
      <c r="F13" s="76">
        <f t="shared" si="0"/>
        <v>0</v>
      </c>
      <c r="G13" s="80">
        <v>0</v>
      </c>
      <c r="H13" s="80">
        <v>185000</v>
      </c>
      <c r="I13" s="76">
        <f t="shared" si="1"/>
        <v>0</v>
      </c>
      <c r="J13" s="80"/>
      <c r="K13" s="80"/>
      <c r="L13" s="80"/>
      <c r="M13" s="80"/>
    </row>
    <row r="14" ht="23.25" customHeight="1" spans="1:13">
      <c r="A14" s="73">
        <v>8</v>
      </c>
      <c r="B14" s="79" t="s">
        <v>1038</v>
      </c>
      <c r="C14" s="79" t="s">
        <v>1043</v>
      </c>
      <c r="D14" s="80">
        <v>380</v>
      </c>
      <c r="E14" s="80">
        <v>4300</v>
      </c>
      <c r="F14" s="76">
        <f t="shared" si="0"/>
        <v>1634000</v>
      </c>
      <c r="G14" s="80">
        <v>19</v>
      </c>
      <c r="H14" s="80">
        <v>130000</v>
      </c>
      <c r="I14" s="76">
        <f t="shared" si="1"/>
        <v>2470000</v>
      </c>
      <c r="J14" s="80"/>
      <c r="K14" s="80"/>
      <c r="L14" s="80"/>
      <c r="M14" s="80"/>
    </row>
    <row r="15" customFormat="1" ht="23.25" customHeight="1" spans="1:13">
      <c r="A15" s="73">
        <v>9</v>
      </c>
      <c r="B15" s="113" t="s">
        <v>1044</v>
      </c>
      <c r="C15" s="113" t="s">
        <v>1042</v>
      </c>
      <c r="D15" s="80">
        <v>10</v>
      </c>
      <c r="E15" s="80">
        <v>82000</v>
      </c>
      <c r="F15" s="76">
        <f t="shared" ref="F15:F34" si="2">SUM(D15*E15)</f>
        <v>820000</v>
      </c>
      <c r="G15" s="80"/>
      <c r="H15" s="80"/>
      <c r="I15" s="76">
        <f t="shared" ref="I15:I34" si="3">SUM(G15*H15)</f>
        <v>0</v>
      </c>
      <c r="J15" s="80"/>
      <c r="K15" s="80"/>
      <c r="L15" s="80"/>
      <c r="M15" s="80"/>
    </row>
    <row r="16" customFormat="1" ht="23.25" customHeight="1" spans="1:13">
      <c r="A16" s="73">
        <v>10</v>
      </c>
      <c r="B16" s="113" t="s">
        <v>1045</v>
      </c>
      <c r="C16" s="113" t="s">
        <v>1043</v>
      </c>
      <c r="D16" s="80">
        <v>10</v>
      </c>
      <c r="E16" s="80">
        <v>60000</v>
      </c>
      <c r="F16" s="76">
        <f t="shared" si="2"/>
        <v>600000</v>
      </c>
      <c r="G16" s="80"/>
      <c r="H16" s="80"/>
      <c r="I16" s="76">
        <f t="shared" si="3"/>
        <v>0</v>
      </c>
      <c r="J16" s="80"/>
      <c r="K16" s="80"/>
      <c r="L16" s="80"/>
      <c r="M16" s="80"/>
    </row>
    <row r="17" customFormat="1" ht="23.25" customHeight="1" spans="1:13">
      <c r="A17" s="73">
        <v>11</v>
      </c>
      <c r="B17" s="113" t="s">
        <v>1046</v>
      </c>
      <c r="C17" s="113" t="s">
        <v>1042</v>
      </c>
      <c r="D17" s="80">
        <v>20</v>
      </c>
      <c r="E17" s="80">
        <v>65000</v>
      </c>
      <c r="F17" s="76">
        <f t="shared" si="2"/>
        <v>1300000</v>
      </c>
      <c r="G17" s="80"/>
      <c r="H17" s="80"/>
      <c r="I17" s="76">
        <f t="shared" si="3"/>
        <v>0</v>
      </c>
      <c r="J17" s="80"/>
      <c r="K17" s="80"/>
      <c r="L17" s="80"/>
      <c r="M17" s="80"/>
    </row>
    <row r="18" customFormat="1" ht="23.25" customHeight="1" spans="1:13">
      <c r="A18" s="73">
        <v>12</v>
      </c>
      <c r="B18" s="113" t="s">
        <v>1047</v>
      </c>
      <c r="C18" s="113" t="s">
        <v>1042</v>
      </c>
      <c r="D18" s="80">
        <v>20</v>
      </c>
      <c r="E18" s="80">
        <v>52000</v>
      </c>
      <c r="F18" s="76">
        <f t="shared" si="2"/>
        <v>1040000</v>
      </c>
      <c r="G18" s="80"/>
      <c r="H18" s="80"/>
      <c r="I18" s="76">
        <f t="shared" si="3"/>
        <v>0</v>
      </c>
      <c r="J18" s="80"/>
      <c r="K18" s="80"/>
      <c r="L18" s="80"/>
      <c r="M18" s="80"/>
    </row>
    <row r="19" customFormat="1" ht="23.25" customHeight="1" spans="1:13">
      <c r="A19" s="73">
        <v>13</v>
      </c>
      <c r="B19" s="113" t="s">
        <v>1048</v>
      </c>
      <c r="C19" s="113" t="s">
        <v>1042</v>
      </c>
      <c r="D19" s="80">
        <v>10</v>
      </c>
      <c r="E19" s="80">
        <v>45000</v>
      </c>
      <c r="F19" s="76">
        <f t="shared" si="2"/>
        <v>450000</v>
      </c>
      <c r="G19" s="80"/>
      <c r="H19" s="80"/>
      <c r="I19" s="76">
        <f t="shared" si="3"/>
        <v>0</v>
      </c>
      <c r="J19" s="80"/>
      <c r="K19" s="80"/>
      <c r="L19" s="80"/>
      <c r="M19" s="80"/>
    </row>
    <row r="20" customFormat="1" ht="23.25" customHeight="1" spans="1:13">
      <c r="A20" s="73">
        <v>14</v>
      </c>
      <c r="B20" s="113" t="s">
        <v>1049</v>
      </c>
      <c r="C20" s="113" t="s">
        <v>1042</v>
      </c>
      <c r="D20" s="80">
        <v>10</v>
      </c>
      <c r="E20" s="80">
        <v>65500</v>
      </c>
      <c r="F20" s="76">
        <f t="shared" si="2"/>
        <v>655000</v>
      </c>
      <c r="G20" s="80"/>
      <c r="H20" s="80"/>
      <c r="I20" s="76">
        <f t="shared" si="3"/>
        <v>0</v>
      </c>
      <c r="J20" s="80"/>
      <c r="K20" s="80"/>
      <c r="L20" s="80"/>
      <c r="M20" s="80"/>
    </row>
    <row r="21" customFormat="1" ht="23.25" customHeight="1" spans="1:13">
      <c r="A21" s="73">
        <v>15</v>
      </c>
      <c r="B21" s="113" t="s">
        <v>1050</v>
      </c>
      <c r="C21" s="113" t="s">
        <v>1042</v>
      </c>
      <c r="D21" s="80">
        <v>12</v>
      </c>
      <c r="E21" s="80">
        <v>91500</v>
      </c>
      <c r="F21" s="76">
        <f>SUM(D21*E21-40000)</f>
        <v>1058000</v>
      </c>
      <c r="G21" s="80"/>
      <c r="H21" s="80"/>
      <c r="I21" s="76">
        <f t="shared" si="3"/>
        <v>0</v>
      </c>
      <c r="J21" s="80"/>
      <c r="K21" s="80"/>
      <c r="L21" s="80"/>
      <c r="M21" s="80"/>
    </row>
    <row r="22" customFormat="1" ht="23.25" customHeight="1" spans="1:13">
      <c r="A22" s="73">
        <v>16</v>
      </c>
      <c r="B22" s="113" t="s">
        <v>1051</v>
      </c>
      <c r="C22" s="113" t="s">
        <v>1043</v>
      </c>
      <c r="D22" s="80">
        <v>10</v>
      </c>
      <c r="E22" s="80">
        <v>12500</v>
      </c>
      <c r="F22" s="76">
        <f t="shared" si="2"/>
        <v>125000</v>
      </c>
      <c r="G22" s="80"/>
      <c r="H22" s="80"/>
      <c r="I22" s="76">
        <f t="shared" si="3"/>
        <v>0</v>
      </c>
      <c r="J22" s="80"/>
      <c r="K22" s="80"/>
      <c r="L22" s="80"/>
      <c r="M22" s="80"/>
    </row>
    <row r="23" customFormat="1" ht="23.25" customHeight="1" spans="1:13">
      <c r="A23" s="73">
        <v>17</v>
      </c>
      <c r="B23" s="113" t="s">
        <v>1052</v>
      </c>
      <c r="C23" s="113" t="s">
        <v>1043</v>
      </c>
      <c r="D23" s="80">
        <v>20</v>
      </c>
      <c r="E23" s="80">
        <v>34800</v>
      </c>
      <c r="F23" s="76">
        <f t="shared" si="2"/>
        <v>696000</v>
      </c>
      <c r="G23" s="80"/>
      <c r="H23" s="80"/>
      <c r="I23" s="76">
        <f t="shared" si="3"/>
        <v>0</v>
      </c>
      <c r="J23" s="80"/>
      <c r="K23" s="80"/>
      <c r="L23" s="80"/>
      <c r="M23" s="80"/>
    </row>
    <row r="24" customFormat="1" ht="23.25" customHeight="1" spans="1:13">
      <c r="A24" s="73">
        <v>18</v>
      </c>
      <c r="B24" s="113" t="s">
        <v>1053</v>
      </c>
      <c r="C24" s="113" t="s">
        <v>1043</v>
      </c>
      <c r="D24" s="80">
        <v>40</v>
      </c>
      <c r="E24" s="80">
        <v>6750</v>
      </c>
      <c r="F24" s="76">
        <f t="shared" si="2"/>
        <v>270000</v>
      </c>
      <c r="G24" s="80"/>
      <c r="H24" s="80"/>
      <c r="I24" s="76">
        <f t="shared" si="3"/>
        <v>0</v>
      </c>
      <c r="J24" s="80"/>
      <c r="K24" s="80"/>
      <c r="L24" s="80"/>
      <c r="M24" s="80"/>
    </row>
    <row r="25" customFormat="1" ht="23.25" customHeight="1" spans="1:13">
      <c r="A25" s="73">
        <v>19</v>
      </c>
      <c r="B25" s="113" t="s">
        <v>1054</v>
      </c>
      <c r="C25" s="113" t="s">
        <v>1042</v>
      </c>
      <c r="D25" s="80">
        <v>10</v>
      </c>
      <c r="E25" s="80">
        <v>55000</v>
      </c>
      <c r="F25" s="76">
        <f t="shared" si="2"/>
        <v>550000</v>
      </c>
      <c r="G25" s="80"/>
      <c r="H25" s="80"/>
      <c r="I25" s="76">
        <f t="shared" si="3"/>
        <v>0</v>
      </c>
      <c r="J25" s="80"/>
      <c r="K25" s="80"/>
      <c r="L25" s="80"/>
      <c r="M25" s="80"/>
    </row>
    <row r="26" customFormat="1" ht="23.25" customHeight="1" spans="1:13">
      <c r="A26" s="73">
        <v>20</v>
      </c>
      <c r="B26" s="113" t="s">
        <v>1055</v>
      </c>
      <c r="C26" s="113" t="s">
        <v>1042</v>
      </c>
      <c r="D26" s="80">
        <v>20</v>
      </c>
      <c r="E26" s="80">
        <v>365000</v>
      </c>
      <c r="F26" s="76">
        <f>SUM(D26*E26-300000)</f>
        <v>7000000</v>
      </c>
      <c r="G26" s="80"/>
      <c r="H26" s="80"/>
      <c r="I26" s="76">
        <f t="shared" si="3"/>
        <v>0</v>
      </c>
      <c r="J26" s="80"/>
      <c r="K26" s="80"/>
      <c r="L26" s="80"/>
      <c r="M26" s="80"/>
    </row>
    <row r="27" customFormat="1" ht="23.25" customHeight="1" spans="1:13">
      <c r="A27" s="73">
        <v>21</v>
      </c>
      <c r="B27" s="113" t="s">
        <v>1056</v>
      </c>
      <c r="C27" s="113" t="s">
        <v>1042</v>
      </c>
      <c r="D27" s="80">
        <v>10</v>
      </c>
      <c r="E27" s="80">
        <v>292000</v>
      </c>
      <c r="F27" s="76">
        <f t="shared" si="2"/>
        <v>2920000</v>
      </c>
      <c r="G27" s="80"/>
      <c r="H27" s="80"/>
      <c r="I27" s="76">
        <f t="shared" si="3"/>
        <v>0</v>
      </c>
      <c r="J27" s="80"/>
      <c r="K27" s="80"/>
      <c r="L27" s="80"/>
      <c r="M27" s="80"/>
    </row>
    <row r="28" customFormat="1" ht="23.25" customHeight="1" spans="1:13">
      <c r="A28" s="73">
        <v>22</v>
      </c>
      <c r="B28" s="113" t="s">
        <v>1057</v>
      </c>
      <c r="C28" s="113" t="s">
        <v>1043</v>
      </c>
      <c r="D28" s="80">
        <v>10</v>
      </c>
      <c r="E28" s="80">
        <v>58000</v>
      </c>
      <c r="F28" s="76">
        <f t="shared" si="2"/>
        <v>580000</v>
      </c>
      <c r="G28" s="80"/>
      <c r="H28" s="80"/>
      <c r="I28" s="76">
        <f t="shared" si="3"/>
        <v>0</v>
      </c>
      <c r="J28" s="80"/>
      <c r="K28" s="80"/>
      <c r="L28" s="80"/>
      <c r="M28" s="80"/>
    </row>
    <row r="29" customFormat="1" ht="23.25" customHeight="1" spans="1:13">
      <c r="A29" s="73">
        <v>23</v>
      </c>
      <c r="B29" s="113" t="s">
        <v>1058</v>
      </c>
      <c r="C29" s="113" t="s">
        <v>1042</v>
      </c>
      <c r="D29" s="80">
        <v>20</v>
      </c>
      <c r="E29" s="80">
        <v>30000</v>
      </c>
      <c r="F29" s="76">
        <f t="shared" si="2"/>
        <v>600000</v>
      </c>
      <c r="G29" s="80"/>
      <c r="H29" s="80"/>
      <c r="I29" s="76">
        <f t="shared" si="3"/>
        <v>0</v>
      </c>
      <c r="J29" s="80"/>
      <c r="K29" s="80"/>
      <c r="L29" s="80"/>
      <c r="M29" s="80"/>
    </row>
    <row r="30" customFormat="1" ht="23.25" customHeight="1" spans="1:13">
      <c r="A30" s="73">
        <v>24</v>
      </c>
      <c r="B30" s="113" t="s">
        <v>1058</v>
      </c>
      <c r="C30" s="113" t="s">
        <v>1042</v>
      </c>
      <c r="D30" s="80">
        <v>3</v>
      </c>
      <c r="E30" s="80">
        <v>30000</v>
      </c>
      <c r="F30" s="76">
        <f>SUM(D30*E30-90000)</f>
        <v>0</v>
      </c>
      <c r="G30" s="80"/>
      <c r="H30" s="80"/>
      <c r="I30" s="76">
        <f t="shared" si="3"/>
        <v>0</v>
      </c>
      <c r="J30" s="80"/>
      <c r="K30" s="80"/>
      <c r="L30" s="80"/>
      <c r="M30" s="80"/>
    </row>
    <row r="31" customFormat="1" ht="23.25" customHeight="1" spans="1:13">
      <c r="A31" s="73">
        <v>25</v>
      </c>
      <c r="B31" s="113" t="s">
        <v>1059</v>
      </c>
      <c r="C31" s="113" t="s">
        <v>1042</v>
      </c>
      <c r="D31" s="80">
        <v>10</v>
      </c>
      <c r="E31" s="80">
        <v>77000</v>
      </c>
      <c r="F31" s="76">
        <f t="shared" si="2"/>
        <v>770000</v>
      </c>
      <c r="G31" s="80"/>
      <c r="H31" s="80"/>
      <c r="I31" s="76">
        <f t="shared" si="3"/>
        <v>0</v>
      </c>
      <c r="J31" s="80"/>
      <c r="K31" s="80"/>
      <c r="L31" s="80"/>
      <c r="M31" s="80"/>
    </row>
    <row r="32" customFormat="1" ht="23.25" customHeight="1" spans="1:13">
      <c r="A32" s="73">
        <v>26</v>
      </c>
      <c r="B32" s="113" t="s">
        <v>1060</v>
      </c>
      <c r="C32" s="113" t="s">
        <v>1042</v>
      </c>
      <c r="D32" s="80">
        <v>10</v>
      </c>
      <c r="E32" s="80">
        <v>55000</v>
      </c>
      <c r="F32" s="76">
        <f t="shared" si="2"/>
        <v>550000</v>
      </c>
      <c r="G32" s="80"/>
      <c r="H32" s="80"/>
      <c r="I32" s="76">
        <f t="shared" si="3"/>
        <v>0</v>
      </c>
      <c r="J32" s="80"/>
      <c r="K32" s="80"/>
      <c r="L32" s="80"/>
      <c r="M32" s="80"/>
    </row>
    <row r="33" customFormat="1" ht="23.25" customHeight="1" spans="1:13">
      <c r="A33" s="73">
        <v>27</v>
      </c>
      <c r="B33" s="113" t="s">
        <v>1061</v>
      </c>
      <c r="C33" s="113" t="s">
        <v>1062</v>
      </c>
      <c r="D33" s="80">
        <v>10</v>
      </c>
      <c r="E33" s="80">
        <v>134500</v>
      </c>
      <c r="F33" s="76">
        <f t="shared" si="2"/>
        <v>1345000</v>
      </c>
      <c r="G33" s="80"/>
      <c r="H33" s="80"/>
      <c r="I33" s="76">
        <f t="shared" si="3"/>
        <v>0</v>
      </c>
      <c r="J33" s="80"/>
      <c r="K33" s="80"/>
      <c r="L33" s="80"/>
      <c r="M33" s="80"/>
    </row>
    <row r="34" customFormat="1" ht="23.25" customHeight="1" spans="1:13">
      <c r="A34" s="73">
        <v>28</v>
      </c>
      <c r="B34" s="113"/>
      <c r="C34" s="113"/>
      <c r="D34" s="80">
        <f>SUM(D7:D33)</f>
        <v>699</v>
      </c>
      <c r="E34" s="80"/>
      <c r="F34" s="76">
        <f t="shared" si="2"/>
        <v>0</v>
      </c>
      <c r="G34" s="80"/>
      <c r="H34" s="80"/>
      <c r="I34" s="76">
        <f t="shared" si="3"/>
        <v>0</v>
      </c>
      <c r="J34" s="80"/>
      <c r="K34" s="80"/>
      <c r="L34" s="80"/>
      <c r="M34" s="80"/>
    </row>
    <row r="35" s="59" customFormat="1" ht="23.25" customHeight="1" spans="1:13">
      <c r="A35" s="85" t="s">
        <v>109</v>
      </c>
      <c r="B35" s="86"/>
      <c r="C35" s="86"/>
      <c r="D35" s="66"/>
      <c r="E35" s="87"/>
      <c r="F35" s="87">
        <f>SUM(F7:F34)</f>
        <v>35570000</v>
      </c>
      <c r="G35" s="66"/>
      <c r="H35" s="87"/>
      <c r="I35" s="87">
        <f>SUM(I7:I14)</f>
        <v>16855000</v>
      </c>
      <c r="J35" s="87">
        <f>I35-F35</f>
        <v>-18715000</v>
      </c>
      <c r="K35" s="87">
        <f>J35*20%</f>
        <v>-3743000</v>
      </c>
      <c r="L35" s="87"/>
      <c r="M35" s="87"/>
    </row>
    <row r="36" spans="9:9">
      <c r="I36" s="62">
        <f>I35-F35</f>
        <v>-18715000</v>
      </c>
    </row>
  </sheetData>
  <mergeCells count="11">
    <mergeCell ref="A1:M1"/>
    <mergeCell ref="A2:M2"/>
    <mergeCell ref="A3:M3"/>
    <mergeCell ref="C5:F5"/>
    <mergeCell ref="G5:I5"/>
    <mergeCell ref="K5:L5"/>
    <mergeCell ref="A35:B35"/>
    <mergeCell ref="A5:A6"/>
    <mergeCell ref="B5:B6"/>
    <mergeCell ref="J5:J6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60" zoomScaleNormal="60" zoomScaleSheetLayoutView="110" topLeftCell="A8" workbookViewId="0">
      <selection activeCell="E9" sqref="E9"/>
    </sheetView>
  </sheetViews>
  <sheetFormatPr defaultColWidth="9" defaultRowHeight="14.5"/>
  <cols>
    <col min="1" max="1" width="4" style="60" customWidth="1"/>
    <col min="2" max="2" width="31.1818181818182" customWidth="1"/>
    <col min="3" max="3" width="10.3636363636364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1" spans="1:13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3" t="s">
        <v>1039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1040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="57" customFormat="1" ht="19.5" customHeight="1" spans="1:13">
      <c r="A5" s="64" t="s">
        <v>478</v>
      </c>
      <c r="B5" s="65" t="s">
        <v>205</v>
      </c>
      <c r="C5" s="66" t="s">
        <v>950</v>
      </c>
      <c r="D5" s="66"/>
      <c r="E5" s="66"/>
      <c r="F5" s="66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ht="32" customHeight="1" spans="1:13">
      <c r="A6" s="69"/>
      <c r="B6" s="70"/>
      <c r="C6" s="70" t="s">
        <v>976</v>
      </c>
      <c r="D6" s="71" t="s">
        <v>1041</v>
      </c>
      <c r="E6" s="72" t="s">
        <v>941</v>
      </c>
      <c r="F6" s="72" t="s">
        <v>694</v>
      </c>
      <c r="G6" s="72" t="s">
        <v>941</v>
      </c>
      <c r="H6" s="66" t="s">
        <v>1041</v>
      </c>
      <c r="I6" s="66" t="s">
        <v>694</v>
      </c>
      <c r="J6" s="72"/>
      <c r="K6" s="103" t="s">
        <v>1028</v>
      </c>
      <c r="L6" s="103" t="s">
        <v>1029</v>
      </c>
      <c r="M6" s="72"/>
    </row>
    <row r="7" s="58" customFormat="1" ht="23.25" customHeight="1" spans="1:13">
      <c r="A7" s="73">
        <v>1</v>
      </c>
      <c r="B7" s="23" t="s">
        <v>1031</v>
      </c>
      <c r="C7" s="74" t="s">
        <v>1042</v>
      </c>
      <c r="D7" s="75">
        <v>9</v>
      </c>
      <c r="E7" s="75">
        <v>370000</v>
      </c>
      <c r="F7" s="76">
        <f>SUM(D7*E7)</f>
        <v>3330000</v>
      </c>
      <c r="G7" s="76">
        <v>420000</v>
      </c>
      <c r="H7" s="75">
        <v>9</v>
      </c>
      <c r="I7" s="76">
        <f>SUM(G7*H7)</f>
        <v>3780000</v>
      </c>
      <c r="J7" s="77">
        <f>SUM(I34-F34)</f>
        <v>4299700</v>
      </c>
      <c r="K7" s="77">
        <f>SUM(J7*20%)</f>
        <v>859940</v>
      </c>
      <c r="L7" s="77">
        <f>SUM(J7*80%)</f>
        <v>3439760</v>
      </c>
      <c r="M7" s="76"/>
    </row>
    <row r="8" ht="23.25" customHeight="1" spans="1:13">
      <c r="A8" s="73">
        <v>2</v>
      </c>
      <c r="B8" s="78" t="s">
        <v>1033</v>
      </c>
      <c r="C8" s="79" t="s">
        <v>1042</v>
      </c>
      <c r="D8" s="80">
        <v>5</v>
      </c>
      <c r="E8" s="80">
        <v>143000</v>
      </c>
      <c r="F8" s="76">
        <f t="shared" ref="F8:F19" si="0">SUM(D8*E8)</f>
        <v>715000</v>
      </c>
      <c r="G8" s="80">
        <v>165000</v>
      </c>
      <c r="H8" s="80">
        <v>5</v>
      </c>
      <c r="I8" s="76">
        <f t="shared" ref="I8:I33" si="1">SUM(G8*H8)</f>
        <v>825000</v>
      </c>
      <c r="J8" s="77"/>
      <c r="K8" s="77"/>
      <c r="L8" s="77"/>
      <c r="M8" s="80"/>
    </row>
    <row r="9" ht="23.25" customHeight="1" spans="1:13">
      <c r="A9" s="73">
        <v>3</v>
      </c>
      <c r="B9" s="78" t="s">
        <v>1034</v>
      </c>
      <c r="C9" s="79" t="s">
        <v>1042</v>
      </c>
      <c r="D9" s="80">
        <v>1</v>
      </c>
      <c r="E9" s="80">
        <v>140000</v>
      </c>
      <c r="F9" s="76">
        <f t="shared" si="0"/>
        <v>140000</v>
      </c>
      <c r="G9" s="80">
        <v>160000</v>
      </c>
      <c r="H9" s="80">
        <v>1</v>
      </c>
      <c r="I9" s="76">
        <f t="shared" si="1"/>
        <v>160000</v>
      </c>
      <c r="J9" s="77"/>
      <c r="K9" s="77"/>
      <c r="L9" s="77"/>
      <c r="M9" s="80"/>
    </row>
    <row r="10" ht="23.25" customHeight="1" spans="1:13">
      <c r="A10" s="73">
        <v>4</v>
      </c>
      <c r="B10" s="78" t="s">
        <v>1035</v>
      </c>
      <c r="C10" s="79" t="s">
        <v>1042</v>
      </c>
      <c r="D10" s="80">
        <v>0</v>
      </c>
      <c r="E10" s="80">
        <v>94000</v>
      </c>
      <c r="F10" s="76">
        <f t="shared" si="0"/>
        <v>0</v>
      </c>
      <c r="G10" s="80"/>
      <c r="H10" s="80"/>
      <c r="I10" s="76">
        <f t="shared" si="1"/>
        <v>0</v>
      </c>
      <c r="J10" s="77"/>
      <c r="K10" s="77"/>
      <c r="L10" s="77"/>
      <c r="M10" s="80"/>
    </row>
    <row r="11" ht="23.25" customHeight="1" spans="1:13">
      <c r="A11" s="73">
        <v>5</v>
      </c>
      <c r="B11" s="78" t="s">
        <v>1036</v>
      </c>
      <c r="C11" s="79" t="s">
        <v>1042</v>
      </c>
      <c r="D11" s="80">
        <v>0</v>
      </c>
      <c r="E11" s="80">
        <v>180000</v>
      </c>
      <c r="F11" s="76">
        <f t="shared" si="0"/>
        <v>0</v>
      </c>
      <c r="G11" s="80"/>
      <c r="H11" s="80"/>
      <c r="I11" s="76">
        <f t="shared" si="1"/>
        <v>0</v>
      </c>
      <c r="J11" s="77"/>
      <c r="K11" s="77"/>
      <c r="L11" s="77"/>
      <c r="M11" s="80"/>
    </row>
    <row r="12" ht="23.25" customHeight="1" spans="1:13">
      <c r="A12" s="73">
        <v>6</v>
      </c>
      <c r="B12" s="78" t="s">
        <v>1037</v>
      </c>
      <c r="C12" s="79" t="s">
        <v>1042</v>
      </c>
      <c r="D12" s="80">
        <v>0</v>
      </c>
      <c r="E12" s="80">
        <v>160000</v>
      </c>
      <c r="F12" s="76">
        <f t="shared" si="0"/>
        <v>0</v>
      </c>
      <c r="G12" s="80"/>
      <c r="H12" s="80"/>
      <c r="I12" s="76">
        <f t="shared" si="1"/>
        <v>0</v>
      </c>
      <c r="J12" s="77"/>
      <c r="K12" s="77"/>
      <c r="L12" s="77"/>
      <c r="M12" s="80"/>
    </row>
    <row r="13" ht="23.25" customHeight="1" spans="1:13">
      <c r="A13" s="73">
        <v>7</v>
      </c>
      <c r="B13" s="78" t="s">
        <v>1038</v>
      </c>
      <c r="C13" s="79" t="s">
        <v>1043</v>
      </c>
      <c r="D13" s="80">
        <v>34</v>
      </c>
      <c r="E13" s="80">
        <v>4300</v>
      </c>
      <c r="F13" s="76">
        <f t="shared" si="0"/>
        <v>146200</v>
      </c>
      <c r="G13" s="80">
        <v>7000</v>
      </c>
      <c r="H13" s="80">
        <v>34</v>
      </c>
      <c r="I13" s="76">
        <f t="shared" si="1"/>
        <v>238000</v>
      </c>
      <c r="J13" s="77"/>
      <c r="K13" s="77"/>
      <c r="L13" s="77"/>
      <c r="M13" s="80"/>
    </row>
    <row r="14" customFormat="1" ht="23.25" customHeight="1" spans="1:13">
      <c r="A14" s="73">
        <v>8</v>
      </c>
      <c r="B14" s="112" t="s">
        <v>1044</v>
      </c>
      <c r="C14" s="113" t="s">
        <v>1042</v>
      </c>
      <c r="D14" s="80"/>
      <c r="E14" s="80">
        <v>82000</v>
      </c>
      <c r="F14" s="76">
        <f t="shared" si="0"/>
        <v>0</v>
      </c>
      <c r="G14" s="80"/>
      <c r="H14" s="80"/>
      <c r="I14" s="76">
        <f t="shared" si="1"/>
        <v>0</v>
      </c>
      <c r="J14" s="77"/>
      <c r="K14" s="77"/>
      <c r="L14" s="77"/>
      <c r="M14" s="80"/>
    </row>
    <row r="15" customFormat="1" ht="23.25" customHeight="1" spans="1:13">
      <c r="A15" s="73">
        <v>9</v>
      </c>
      <c r="B15" s="112" t="s">
        <v>1045</v>
      </c>
      <c r="C15" s="113" t="s">
        <v>1043</v>
      </c>
      <c r="D15" s="80">
        <v>6</v>
      </c>
      <c r="E15" s="80">
        <v>60000</v>
      </c>
      <c r="F15" s="76">
        <f t="shared" si="0"/>
        <v>360000</v>
      </c>
      <c r="G15" s="80">
        <v>75000</v>
      </c>
      <c r="H15" s="80">
        <v>6</v>
      </c>
      <c r="I15" s="76">
        <f t="shared" si="1"/>
        <v>450000</v>
      </c>
      <c r="J15" s="77"/>
      <c r="K15" s="77"/>
      <c r="L15" s="77"/>
      <c r="M15" s="80"/>
    </row>
    <row r="16" customFormat="1" ht="23.25" customHeight="1" spans="1:13">
      <c r="A16" s="73">
        <v>10</v>
      </c>
      <c r="B16" s="112" t="s">
        <v>1046</v>
      </c>
      <c r="C16" s="113" t="s">
        <v>1042</v>
      </c>
      <c r="D16" s="80">
        <v>20</v>
      </c>
      <c r="E16" s="80">
        <v>65000</v>
      </c>
      <c r="F16" s="76">
        <f t="shared" si="0"/>
        <v>1300000</v>
      </c>
      <c r="G16" s="80">
        <v>95000</v>
      </c>
      <c r="H16" s="80">
        <v>20</v>
      </c>
      <c r="I16" s="76">
        <f t="shared" si="1"/>
        <v>1900000</v>
      </c>
      <c r="J16" s="77"/>
      <c r="K16" s="77"/>
      <c r="L16" s="77"/>
      <c r="M16" s="80"/>
    </row>
    <row r="17" customFormat="1" ht="23.25" customHeight="1" spans="1:13">
      <c r="A17" s="73">
        <v>11</v>
      </c>
      <c r="B17" s="112" t="s">
        <v>1047</v>
      </c>
      <c r="C17" s="113" t="s">
        <v>1042</v>
      </c>
      <c r="D17" s="80">
        <v>9</v>
      </c>
      <c r="E17" s="80">
        <v>52000</v>
      </c>
      <c r="F17" s="76">
        <f t="shared" si="0"/>
        <v>468000</v>
      </c>
      <c r="G17" s="80">
        <v>80000</v>
      </c>
      <c r="H17" s="80">
        <v>9</v>
      </c>
      <c r="I17" s="76">
        <f t="shared" si="1"/>
        <v>720000</v>
      </c>
      <c r="J17" s="77"/>
      <c r="K17" s="77"/>
      <c r="L17" s="77"/>
      <c r="M17" s="80"/>
    </row>
    <row r="18" customFormat="1" ht="23.25" customHeight="1" spans="1:13">
      <c r="A18" s="73">
        <v>12</v>
      </c>
      <c r="B18" s="112" t="s">
        <v>1048</v>
      </c>
      <c r="C18" s="113" t="s">
        <v>1042</v>
      </c>
      <c r="D18" s="80">
        <v>6</v>
      </c>
      <c r="E18" s="80">
        <v>45000</v>
      </c>
      <c r="F18" s="76">
        <f t="shared" si="0"/>
        <v>270000</v>
      </c>
      <c r="G18" s="80">
        <v>75000</v>
      </c>
      <c r="H18" s="80">
        <v>6</v>
      </c>
      <c r="I18" s="76">
        <f t="shared" si="1"/>
        <v>450000</v>
      </c>
      <c r="J18" s="77"/>
      <c r="K18" s="77"/>
      <c r="L18" s="77"/>
      <c r="M18" s="80"/>
    </row>
    <row r="19" customFormat="1" ht="23.25" customHeight="1" spans="1:13">
      <c r="A19" s="73">
        <v>13</v>
      </c>
      <c r="B19" s="112" t="s">
        <v>1049</v>
      </c>
      <c r="C19" s="113" t="s">
        <v>1042</v>
      </c>
      <c r="D19" s="80">
        <v>6</v>
      </c>
      <c r="E19" s="80">
        <v>65500</v>
      </c>
      <c r="F19" s="76">
        <f t="shared" si="0"/>
        <v>393000</v>
      </c>
      <c r="G19" s="80">
        <v>98500</v>
      </c>
      <c r="H19" s="80">
        <v>6</v>
      </c>
      <c r="I19" s="76">
        <f t="shared" si="1"/>
        <v>591000</v>
      </c>
      <c r="J19" s="77"/>
      <c r="K19" s="77"/>
      <c r="L19" s="77"/>
      <c r="M19" s="80"/>
    </row>
    <row r="20" customFormat="1" ht="23.25" customHeight="1" spans="1:13">
      <c r="A20" s="73">
        <v>14</v>
      </c>
      <c r="B20" s="112" t="s">
        <v>1050</v>
      </c>
      <c r="C20" s="113" t="s">
        <v>1042</v>
      </c>
      <c r="D20" s="80">
        <v>3</v>
      </c>
      <c r="E20" s="80">
        <v>91500</v>
      </c>
      <c r="F20" s="76">
        <f>SUM(D20*E20-40000)</f>
        <v>234500</v>
      </c>
      <c r="G20" s="80">
        <v>135000</v>
      </c>
      <c r="H20" s="80">
        <v>3</v>
      </c>
      <c r="I20" s="76">
        <f t="shared" si="1"/>
        <v>405000</v>
      </c>
      <c r="J20" s="77"/>
      <c r="K20" s="77"/>
      <c r="L20" s="77"/>
      <c r="M20" s="80"/>
    </row>
    <row r="21" customFormat="1" ht="23.25" customHeight="1" spans="1:13">
      <c r="A21" s="73">
        <v>15</v>
      </c>
      <c r="B21" s="112" t="s">
        <v>1051</v>
      </c>
      <c r="C21" s="113" t="s">
        <v>1043</v>
      </c>
      <c r="D21" s="80">
        <v>1</v>
      </c>
      <c r="E21" s="80">
        <v>12500</v>
      </c>
      <c r="F21" s="76">
        <f t="shared" ref="F21:F24" si="2">SUM(D21*E21)</f>
        <v>12500</v>
      </c>
      <c r="G21" s="80">
        <v>20000</v>
      </c>
      <c r="H21" s="80">
        <v>1</v>
      </c>
      <c r="I21" s="76">
        <f t="shared" si="1"/>
        <v>20000</v>
      </c>
      <c r="J21" s="77"/>
      <c r="K21" s="77"/>
      <c r="L21" s="77"/>
      <c r="M21" s="80"/>
    </row>
    <row r="22" customFormat="1" ht="23.25" customHeight="1" spans="1:13">
      <c r="A22" s="73">
        <v>16</v>
      </c>
      <c r="B22" s="112" t="s">
        <v>1052</v>
      </c>
      <c r="C22" s="113" t="s">
        <v>1043</v>
      </c>
      <c r="D22" s="80">
        <v>12</v>
      </c>
      <c r="E22" s="80">
        <v>34800</v>
      </c>
      <c r="F22" s="76">
        <f t="shared" si="2"/>
        <v>417600</v>
      </c>
      <c r="G22" s="80">
        <v>52500</v>
      </c>
      <c r="H22" s="80">
        <v>12</v>
      </c>
      <c r="I22" s="76">
        <f t="shared" si="1"/>
        <v>630000</v>
      </c>
      <c r="J22" s="77"/>
      <c r="K22" s="77"/>
      <c r="L22" s="77"/>
      <c r="M22" s="80"/>
    </row>
    <row r="23" customFormat="1" ht="23.25" customHeight="1" spans="1:13">
      <c r="A23" s="73">
        <v>17</v>
      </c>
      <c r="B23" s="112" t="s">
        <v>1053</v>
      </c>
      <c r="C23" s="113" t="s">
        <v>1043</v>
      </c>
      <c r="D23" s="80">
        <v>40</v>
      </c>
      <c r="E23" s="80">
        <v>6750</v>
      </c>
      <c r="F23" s="76">
        <f t="shared" si="2"/>
        <v>270000</v>
      </c>
      <c r="G23" s="80">
        <v>10500</v>
      </c>
      <c r="H23" s="80">
        <v>40</v>
      </c>
      <c r="I23" s="76">
        <f t="shared" si="1"/>
        <v>420000</v>
      </c>
      <c r="J23" s="77"/>
      <c r="K23" s="77"/>
      <c r="L23" s="77"/>
      <c r="M23" s="80"/>
    </row>
    <row r="24" customFormat="1" ht="23.25" customHeight="1" spans="1:13">
      <c r="A24" s="73">
        <v>18</v>
      </c>
      <c r="B24" s="112" t="s">
        <v>1054</v>
      </c>
      <c r="C24" s="113" t="s">
        <v>1042</v>
      </c>
      <c r="D24" s="80">
        <v>10</v>
      </c>
      <c r="E24" s="80">
        <v>55000</v>
      </c>
      <c r="F24" s="76">
        <f t="shared" si="2"/>
        <v>550000</v>
      </c>
      <c r="G24" s="80">
        <v>82500</v>
      </c>
      <c r="H24" s="80">
        <v>10</v>
      </c>
      <c r="I24" s="76">
        <f t="shared" si="1"/>
        <v>825000</v>
      </c>
      <c r="J24" s="77"/>
      <c r="K24" s="77"/>
      <c r="L24" s="77"/>
      <c r="M24" s="80"/>
    </row>
    <row r="25" customFormat="1" ht="23.25" customHeight="1" spans="1:13">
      <c r="A25" s="73">
        <v>19</v>
      </c>
      <c r="B25" s="112" t="s">
        <v>1055</v>
      </c>
      <c r="C25" s="113" t="s">
        <v>1042</v>
      </c>
      <c r="D25" s="80">
        <v>8</v>
      </c>
      <c r="E25" s="80">
        <v>365000</v>
      </c>
      <c r="F25" s="76">
        <f>SUM(D25*E25-300000)</f>
        <v>2620000</v>
      </c>
      <c r="G25" s="80">
        <v>410000</v>
      </c>
      <c r="H25" s="80">
        <v>8</v>
      </c>
      <c r="I25" s="76">
        <f t="shared" si="1"/>
        <v>3280000</v>
      </c>
      <c r="J25" s="77"/>
      <c r="K25" s="77"/>
      <c r="L25" s="77"/>
      <c r="M25" s="80"/>
    </row>
    <row r="26" customFormat="1" ht="23.25" customHeight="1" spans="1:13">
      <c r="A26" s="73">
        <v>20</v>
      </c>
      <c r="B26" s="112" t="s">
        <v>1056</v>
      </c>
      <c r="C26" s="113" t="s">
        <v>1042</v>
      </c>
      <c r="D26" s="80">
        <v>7</v>
      </c>
      <c r="E26" s="80">
        <v>292000</v>
      </c>
      <c r="F26" s="76">
        <f t="shared" ref="F26:F28" si="3">SUM(D26*E26)</f>
        <v>2044000</v>
      </c>
      <c r="G26" s="80">
        <v>340000</v>
      </c>
      <c r="H26" s="80">
        <v>7</v>
      </c>
      <c r="I26" s="76">
        <f t="shared" si="1"/>
        <v>2380000</v>
      </c>
      <c r="J26" s="77"/>
      <c r="K26" s="77"/>
      <c r="L26" s="77"/>
      <c r="M26" s="80"/>
    </row>
    <row r="27" customFormat="1" ht="23.25" customHeight="1" spans="1:13">
      <c r="A27" s="73">
        <v>21</v>
      </c>
      <c r="B27" s="112" t="s">
        <v>1057</v>
      </c>
      <c r="C27" s="113" t="s">
        <v>1043</v>
      </c>
      <c r="D27" s="80">
        <v>10</v>
      </c>
      <c r="E27" s="80">
        <v>58000</v>
      </c>
      <c r="F27" s="76">
        <f t="shared" si="3"/>
        <v>580000</v>
      </c>
      <c r="G27" s="80">
        <v>75000</v>
      </c>
      <c r="H27" s="80">
        <v>10</v>
      </c>
      <c r="I27" s="76">
        <f t="shared" si="1"/>
        <v>750000</v>
      </c>
      <c r="J27" s="77"/>
      <c r="K27" s="77"/>
      <c r="L27" s="77"/>
      <c r="M27" s="80"/>
    </row>
    <row r="28" customFormat="1" ht="23.25" customHeight="1" spans="1:13">
      <c r="A28" s="73">
        <v>22</v>
      </c>
      <c r="B28" s="112" t="s">
        <v>1058</v>
      </c>
      <c r="C28" s="113" t="s">
        <v>1042</v>
      </c>
      <c r="D28" s="80">
        <v>15</v>
      </c>
      <c r="E28" s="80">
        <v>30000</v>
      </c>
      <c r="F28" s="76">
        <f t="shared" si="3"/>
        <v>450000</v>
      </c>
      <c r="G28" s="80">
        <v>34500</v>
      </c>
      <c r="H28" s="80">
        <v>15</v>
      </c>
      <c r="I28" s="76">
        <f t="shared" si="1"/>
        <v>517500</v>
      </c>
      <c r="J28" s="77"/>
      <c r="K28" s="77"/>
      <c r="L28" s="77"/>
      <c r="M28" s="80"/>
    </row>
    <row r="29" customFormat="1" ht="23.25" customHeight="1" spans="1:13">
      <c r="A29" s="73">
        <v>23</v>
      </c>
      <c r="B29" s="112" t="s">
        <v>1058</v>
      </c>
      <c r="C29" s="113" t="s">
        <v>1042</v>
      </c>
      <c r="D29" s="80"/>
      <c r="E29" s="80"/>
      <c r="F29" s="76"/>
      <c r="G29" s="80"/>
      <c r="H29" s="80"/>
      <c r="I29" s="76">
        <f t="shared" si="1"/>
        <v>0</v>
      </c>
      <c r="J29" s="77"/>
      <c r="K29" s="77"/>
      <c r="L29" s="77"/>
      <c r="M29" s="80"/>
    </row>
    <row r="30" customFormat="1" ht="23.25" customHeight="1" spans="1:13">
      <c r="A30" s="73">
        <v>24</v>
      </c>
      <c r="B30" s="112" t="s">
        <v>1059</v>
      </c>
      <c r="C30" s="113" t="s">
        <v>1042</v>
      </c>
      <c r="D30" s="80">
        <v>3</v>
      </c>
      <c r="E30" s="80">
        <v>77000</v>
      </c>
      <c r="F30" s="76">
        <f t="shared" ref="F30:F33" si="4">SUM(D30*E30)</f>
        <v>231000</v>
      </c>
      <c r="G30" s="80">
        <v>115500</v>
      </c>
      <c r="H30" s="80">
        <v>3</v>
      </c>
      <c r="I30" s="76">
        <f t="shared" si="1"/>
        <v>346500</v>
      </c>
      <c r="J30" s="77"/>
      <c r="K30" s="77"/>
      <c r="L30" s="77"/>
      <c r="M30" s="80"/>
    </row>
    <row r="31" customFormat="1" ht="23.25" customHeight="1" spans="1:13">
      <c r="A31" s="73">
        <v>25</v>
      </c>
      <c r="B31" s="112" t="s">
        <v>1060</v>
      </c>
      <c r="C31" s="113" t="s">
        <v>1042</v>
      </c>
      <c r="D31" s="80">
        <v>4</v>
      </c>
      <c r="E31" s="80">
        <v>55000</v>
      </c>
      <c r="F31" s="76">
        <f t="shared" si="4"/>
        <v>220000</v>
      </c>
      <c r="G31" s="80">
        <v>64000</v>
      </c>
      <c r="H31" s="80">
        <v>4</v>
      </c>
      <c r="I31" s="76">
        <f t="shared" si="1"/>
        <v>256000</v>
      </c>
      <c r="J31" s="77"/>
      <c r="K31" s="77"/>
      <c r="L31" s="77"/>
      <c r="M31" s="80"/>
    </row>
    <row r="32" customFormat="1" ht="23.25" customHeight="1" spans="1:13">
      <c r="A32" s="73">
        <v>26</v>
      </c>
      <c r="B32" s="112" t="s">
        <v>1061</v>
      </c>
      <c r="C32" s="113" t="s">
        <v>1062</v>
      </c>
      <c r="D32" s="80">
        <v>5</v>
      </c>
      <c r="E32" s="80">
        <v>134500</v>
      </c>
      <c r="F32" s="76">
        <f t="shared" si="4"/>
        <v>672500</v>
      </c>
      <c r="G32" s="80">
        <v>156000</v>
      </c>
      <c r="H32" s="80">
        <v>5</v>
      </c>
      <c r="I32" s="76">
        <f t="shared" si="1"/>
        <v>780000</v>
      </c>
      <c r="J32" s="77"/>
      <c r="K32" s="77"/>
      <c r="L32" s="77"/>
      <c r="M32" s="80"/>
    </row>
    <row r="33" customFormat="1" ht="23.25" customHeight="1" spans="1:13">
      <c r="A33" s="73">
        <v>27</v>
      </c>
      <c r="B33" s="113"/>
      <c r="C33" s="113"/>
      <c r="D33" s="80">
        <f>SUM(D7:D32)</f>
        <v>214</v>
      </c>
      <c r="E33" s="80"/>
      <c r="F33" s="76">
        <f t="shared" si="4"/>
        <v>0</v>
      </c>
      <c r="G33" s="80"/>
      <c r="H33" s="80">
        <f>SUM(H7:H32)</f>
        <v>214</v>
      </c>
      <c r="I33" s="76">
        <f t="shared" si="1"/>
        <v>0</v>
      </c>
      <c r="J33" s="77"/>
      <c r="K33" s="77"/>
      <c r="L33" s="77"/>
      <c r="M33" s="80"/>
    </row>
    <row r="34" s="59" customFormat="1" ht="23.25" customHeight="1" spans="1:13">
      <c r="A34" s="85" t="s">
        <v>109</v>
      </c>
      <c r="B34" s="86"/>
      <c r="C34" s="86"/>
      <c r="D34" s="66"/>
      <c r="E34" s="87"/>
      <c r="F34" s="87">
        <f>SUM(F7:F33)</f>
        <v>15424300</v>
      </c>
      <c r="G34" s="66"/>
      <c r="H34" s="87"/>
      <c r="I34" s="87">
        <f>SUM(I7:I32)</f>
        <v>19724000</v>
      </c>
      <c r="J34" s="87"/>
      <c r="K34" s="87">
        <f>J34*20%</f>
        <v>0</v>
      </c>
      <c r="L34" s="87"/>
      <c r="M34" s="87"/>
    </row>
    <row r="35" spans="9:9">
      <c r="I35" s="62">
        <f>SUM(I34+'PESTISIDA (3)'!I18)</f>
        <v>26883500</v>
      </c>
    </row>
    <row r="36" spans="9:9">
      <c r="I36" s="62">
        <v>26830000</v>
      </c>
    </row>
    <row r="37" spans="9:9">
      <c r="I37" s="62">
        <f>I36-I35</f>
        <v>-53500</v>
      </c>
    </row>
    <row r="38" spans="9:9">
      <c r="I38" s="62" t="s">
        <v>223</v>
      </c>
    </row>
  </sheetData>
  <mergeCells count="14">
    <mergeCell ref="A1:M1"/>
    <mergeCell ref="A2:M2"/>
    <mergeCell ref="A3:M3"/>
    <mergeCell ref="C5:F5"/>
    <mergeCell ref="G5:I5"/>
    <mergeCell ref="K5:L5"/>
    <mergeCell ref="A34:B34"/>
    <mergeCell ref="A5:A6"/>
    <mergeCell ref="B5:B6"/>
    <mergeCell ref="J5:J6"/>
    <mergeCell ref="J7:J33"/>
    <mergeCell ref="K7:K33"/>
    <mergeCell ref="L7:L33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110" zoomScaleNormal="110" topLeftCell="A20" workbookViewId="0">
      <selection activeCell="C15" sqref="C15"/>
    </sheetView>
  </sheetViews>
  <sheetFormatPr defaultColWidth="9" defaultRowHeight="14.5"/>
  <cols>
    <col min="1" max="1" width="4.85454545454545" style="447" customWidth="1"/>
    <col min="2" max="2" width="36.4272727272727" style="447" customWidth="1"/>
    <col min="3" max="3" width="25.5727272727273" style="447" customWidth="1"/>
    <col min="4" max="4" width="21.7090909090909" style="447" hidden="1" customWidth="1"/>
    <col min="5" max="5" width="5" style="447" customWidth="1"/>
    <col min="6" max="6" width="33" style="447" customWidth="1"/>
    <col min="7" max="7" width="19.4272727272727" style="447" customWidth="1"/>
    <col min="8" max="8" width="17" style="447" customWidth="1"/>
    <col min="9" max="10" width="14.7090909090909" style="447" customWidth="1"/>
    <col min="11" max="11" width="13.2818181818182" style="447" customWidth="1"/>
    <col min="12" max="14" width="12.8545454545455" style="447" customWidth="1"/>
    <col min="15" max="15" width="11.2818181818182" style="447" customWidth="1"/>
    <col min="16" max="16" width="12.8545454545455" style="447" customWidth="1"/>
    <col min="17" max="16384" width="9" style="447"/>
  </cols>
  <sheetData>
    <row r="1" spans="1:4">
      <c r="A1" s="892" t="s">
        <v>0</v>
      </c>
      <c r="B1" s="892"/>
      <c r="C1" s="892"/>
      <c r="D1" s="893"/>
    </row>
    <row r="2" spans="1:4">
      <c r="A2" s="892" t="s">
        <v>117</v>
      </c>
      <c r="B2" s="892"/>
      <c r="C2" s="892"/>
      <c r="D2" s="893"/>
    </row>
    <row r="3" spans="1:4">
      <c r="A3" s="892" t="s">
        <v>118</v>
      </c>
      <c r="B3" s="892"/>
      <c r="C3" s="892"/>
      <c r="D3" s="893"/>
    </row>
    <row r="4" spans="1:3">
      <c r="A4" s="894" t="s">
        <v>119</v>
      </c>
      <c r="B4" s="894"/>
      <c r="C4" s="447" t="s">
        <v>120</v>
      </c>
    </row>
    <row r="5" spans="1:3">
      <c r="A5" s="894" t="s">
        <v>121</v>
      </c>
      <c r="B5" s="894"/>
      <c r="C5" s="447" t="s">
        <v>122</v>
      </c>
    </row>
    <row r="6" spans="1:3">
      <c r="A6" s="894" t="s">
        <v>123</v>
      </c>
      <c r="B6" s="894"/>
      <c r="C6" s="447" t="s">
        <v>124</v>
      </c>
    </row>
    <row r="7" spans="1:7">
      <c r="A7" s="895">
        <v>4</v>
      </c>
      <c r="B7" s="896" t="s">
        <v>125</v>
      </c>
      <c r="C7" s="895" t="s">
        <v>126</v>
      </c>
      <c r="E7" s="897"/>
      <c r="F7" s="898"/>
      <c r="G7" s="899"/>
    </row>
    <row r="8" spans="1:6">
      <c r="A8" s="900" t="s">
        <v>127</v>
      </c>
      <c r="B8" s="900" t="s">
        <v>128</v>
      </c>
      <c r="C8" s="901"/>
      <c r="E8" s="902"/>
      <c r="F8" s="898"/>
    </row>
    <row r="9" spans="1:9">
      <c r="A9" s="901" t="s">
        <v>129</v>
      </c>
      <c r="B9" s="901" t="s">
        <v>130</v>
      </c>
      <c r="C9" s="903">
        <f>SUM(MODUS!H160)</f>
        <v>8815913</v>
      </c>
      <c r="D9" s="904"/>
      <c r="E9" s="905"/>
      <c r="F9" s="898"/>
      <c r="G9" s="905"/>
      <c r="H9" s="905"/>
      <c r="I9" s="905"/>
    </row>
    <row r="10" spans="1:9">
      <c r="A10" s="901" t="s">
        <v>131</v>
      </c>
      <c r="B10" s="901" t="s">
        <v>132</v>
      </c>
      <c r="C10" s="906">
        <f>SUM(KASHAR!F254)</f>
        <v>800000</v>
      </c>
      <c r="E10" s="905"/>
      <c r="F10" s="898"/>
      <c r="G10" s="905"/>
      <c r="H10" s="905"/>
      <c r="I10" s="905"/>
    </row>
    <row r="11" spans="1:9">
      <c r="A11" s="901" t="s">
        <v>133</v>
      </c>
      <c r="B11" s="901" t="s">
        <v>134</v>
      </c>
      <c r="C11" s="906">
        <f>SUM(KASHAR!H254)</f>
        <v>195000</v>
      </c>
      <c r="E11" s="905"/>
      <c r="F11" s="898"/>
      <c r="G11" s="905"/>
      <c r="H11" s="905"/>
      <c r="I11" s="905"/>
    </row>
    <row r="12" spans="1:9">
      <c r="A12" s="901" t="s">
        <v>135</v>
      </c>
      <c r="B12" s="901" t="s">
        <v>136</v>
      </c>
      <c r="C12" s="907">
        <f>SUM(BRILink!E16)</f>
        <v>3403256</v>
      </c>
      <c r="E12" s="905"/>
      <c r="F12" s="898"/>
      <c r="G12" s="905"/>
      <c r="H12" s="905"/>
      <c r="I12" s="905"/>
    </row>
    <row r="13" spans="1:9">
      <c r="A13" s="901" t="s">
        <v>137</v>
      </c>
      <c r="B13" s="901" t="s">
        <v>138</v>
      </c>
      <c r="C13" s="908">
        <f>SUM(MULTI!N63)</f>
        <v>3631205</v>
      </c>
      <c r="D13" s="904"/>
      <c r="E13" s="905"/>
      <c r="F13" s="898"/>
      <c r="G13" s="905"/>
      <c r="H13" s="905"/>
      <c r="I13" s="905"/>
    </row>
    <row r="14" spans="1:9">
      <c r="A14" s="901" t="s">
        <v>139</v>
      </c>
      <c r="B14" s="901" t="s">
        <v>140</v>
      </c>
      <c r="C14" s="908">
        <f>SUM(KASHAR!G254)</f>
        <v>0</v>
      </c>
      <c r="D14" s="904"/>
      <c r="E14" s="905"/>
      <c r="F14" s="898"/>
      <c r="G14" s="905"/>
      <c r="H14" s="905"/>
      <c r="I14" s="905"/>
    </row>
    <row r="15" spans="1:9">
      <c r="A15" s="901" t="s">
        <v>141</v>
      </c>
      <c r="B15" s="901" t="s">
        <v>142</v>
      </c>
      <c r="C15" s="908">
        <f>SUM(KASHAR!I254)</f>
        <v>0</v>
      </c>
      <c r="D15" s="904"/>
      <c r="E15" s="905"/>
      <c r="F15" s="898"/>
      <c r="G15" s="905"/>
      <c r="H15" s="905"/>
      <c r="I15" s="905"/>
    </row>
    <row r="16" spans="1:9">
      <c r="A16" s="901" t="s">
        <v>143</v>
      </c>
      <c r="B16" s="901" t="s">
        <v>144</v>
      </c>
      <c r="C16" s="908">
        <f>SUM('TOKO BENGKEL'!N71)</f>
        <v>232302</v>
      </c>
      <c r="D16" s="904"/>
      <c r="E16" s="905"/>
      <c r="F16" s="898"/>
      <c r="G16" s="905"/>
      <c r="H16" s="905"/>
      <c r="I16" s="905"/>
    </row>
    <row r="17" spans="1:9">
      <c r="A17" s="900" t="s">
        <v>145</v>
      </c>
      <c r="B17" s="900" t="s">
        <v>146</v>
      </c>
      <c r="C17" s="909"/>
      <c r="E17" s="905"/>
      <c r="F17" s="905"/>
      <c r="G17" s="905"/>
      <c r="H17" s="905"/>
      <c r="I17" s="905"/>
    </row>
    <row r="18" spans="1:9">
      <c r="A18" s="901" t="s">
        <v>147</v>
      </c>
      <c r="B18" s="901" t="s">
        <v>148</v>
      </c>
      <c r="C18" s="906"/>
      <c r="E18" s="905"/>
      <c r="F18" s="905"/>
      <c r="G18" s="905"/>
      <c r="H18" s="905"/>
      <c r="I18" s="905"/>
    </row>
    <row r="19" spans="1:9">
      <c r="A19" s="901" t="s">
        <v>149</v>
      </c>
      <c r="B19" s="900" t="s">
        <v>150</v>
      </c>
      <c r="C19" s="909"/>
      <c r="E19" s="905"/>
      <c r="F19" s="905"/>
      <c r="G19" s="905"/>
      <c r="H19" s="905"/>
      <c r="I19" s="905"/>
    </row>
    <row r="20" spans="1:9">
      <c r="A20" s="901"/>
      <c r="B20" s="901"/>
      <c r="C20" s="909"/>
      <c r="E20" s="905"/>
      <c r="F20" s="910"/>
      <c r="G20" s="905"/>
      <c r="H20" s="905"/>
      <c r="I20" s="905"/>
    </row>
    <row r="21" spans="1:10">
      <c r="A21" s="895" t="s">
        <v>151</v>
      </c>
      <c r="B21" s="895"/>
      <c r="C21" s="911">
        <f>SUM(C8:C20)</f>
        <v>17077676</v>
      </c>
      <c r="E21" s="905"/>
      <c r="F21" s="912"/>
      <c r="G21" s="905"/>
      <c r="H21" s="902"/>
      <c r="I21" s="902"/>
      <c r="J21" s="928"/>
    </row>
    <row r="22" spans="1:13">
      <c r="A22" s="913">
        <v>5</v>
      </c>
      <c r="B22" s="900" t="s">
        <v>152</v>
      </c>
      <c r="C22" s="901"/>
      <c r="E22" s="914"/>
      <c r="F22" s="915"/>
      <c r="G22" s="916"/>
      <c r="H22" s="916"/>
      <c r="I22" s="916"/>
      <c r="L22" s="468"/>
      <c r="M22" s="468"/>
    </row>
    <row r="23" spans="1:12">
      <c r="A23" s="901" t="s">
        <v>153</v>
      </c>
      <c r="B23" s="901" t="s">
        <v>154</v>
      </c>
      <c r="C23" s="906">
        <v>7850000</v>
      </c>
      <c r="D23" s="483"/>
      <c r="E23" s="917"/>
      <c r="F23" s="917"/>
      <c r="G23" s="917"/>
      <c r="H23" s="917"/>
      <c r="I23" s="917"/>
      <c r="J23" s="929"/>
      <c r="L23" s="918"/>
    </row>
    <row r="24" spans="1:15">
      <c r="A24" s="901" t="s">
        <v>155</v>
      </c>
      <c r="B24" s="901" t="s">
        <v>156</v>
      </c>
      <c r="C24" s="906">
        <v>1600000</v>
      </c>
      <c r="E24" s="902"/>
      <c r="F24" s="918"/>
      <c r="G24" s="905"/>
      <c r="H24" s="918"/>
      <c r="I24" s="918"/>
      <c r="J24" s="918"/>
      <c r="K24" s="918"/>
      <c r="L24" s="483"/>
      <c r="M24" s="930"/>
      <c r="N24" s="468"/>
      <c r="O24" s="931"/>
    </row>
    <row r="25" spans="1:12">
      <c r="A25" s="901" t="s">
        <v>157</v>
      </c>
      <c r="B25" s="901" t="s">
        <v>158</v>
      </c>
      <c r="C25" s="906">
        <v>1100000</v>
      </c>
      <c r="E25" s="919"/>
      <c r="F25" s="920"/>
      <c r="G25" s="921"/>
      <c r="H25" s="920"/>
      <c r="I25" s="920"/>
      <c r="J25" s="920"/>
      <c r="K25" s="932"/>
      <c r="L25" s="918"/>
    </row>
    <row r="26" spans="1:12">
      <c r="A26" s="901" t="s">
        <v>159</v>
      </c>
      <c r="B26" s="901" t="s">
        <v>160</v>
      </c>
      <c r="C26" s="906">
        <f>SUM(KASHAR!T254)</f>
        <v>1345000</v>
      </c>
      <c r="E26" s="905"/>
      <c r="F26" s="905">
        <f>C23+C24+C25+C2+C26+C28+C30+C31</f>
        <v>16640029.1666667</v>
      </c>
      <c r="G26" s="905"/>
      <c r="J26" s="933"/>
      <c r="K26" s="918"/>
      <c r="L26" s="918"/>
    </row>
    <row r="27" spans="1:11">
      <c r="A27" s="901" t="s">
        <v>161</v>
      </c>
      <c r="B27" s="901" t="s">
        <v>162</v>
      </c>
      <c r="C27" s="906"/>
      <c r="E27" s="918"/>
      <c r="F27" s="918"/>
      <c r="G27" s="905"/>
      <c r="K27" s="918"/>
    </row>
    <row r="28" spans="1:12">
      <c r="A28" s="901" t="s">
        <v>163</v>
      </c>
      <c r="B28" s="901" t="s">
        <v>164</v>
      </c>
      <c r="C28" s="906">
        <f>SUM('[54]INVEN (2)'!$K$172)</f>
        <v>4745029.16666667</v>
      </c>
      <c r="E28" s="918"/>
      <c r="F28" s="922"/>
      <c r="G28" s="468"/>
      <c r="H28" s="918"/>
      <c r="I28" s="918"/>
      <c r="J28" s="468"/>
      <c r="K28" s="904"/>
      <c r="L28" s="918"/>
    </row>
    <row r="29" spans="1:14">
      <c r="A29" s="913" t="s">
        <v>165</v>
      </c>
      <c r="B29" s="900" t="s">
        <v>166</v>
      </c>
      <c r="C29" s="906"/>
      <c r="E29" s="918"/>
      <c r="F29" s="918"/>
      <c r="G29" s="483"/>
      <c r="H29" s="483"/>
      <c r="I29" s="483"/>
      <c r="J29" s="934"/>
      <c r="K29" s="904"/>
      <c r="L29" s="934"/>
      <c r="M29" s="934"/>
      <c r="N29" s="934"/>
    </row>
    <row r="30" spans="1:15">
      <c r="A30" s="901" t="s">
        <v>167</v>
      </c>
      <c r="B30" s="901" t="s">
        <v>168</v>
      </c>
      <c r="C30" s="906"/>
      <c r="E30" s="918"/>
      <c r="F30" s="918"/>
      <c r="G30" s="918"/>
      <c r="J30" s="930"/>
      <c r="K30" s="904"/>
      <c r="L30" s="468"/>
      <c r="M30" s="468"/>
      <c r="N30" s="468"/>
      <c r="O30" s="468"/>
    </row>
    <row r="31" spans="1:11">
      <c r="A31" s="901" t="s">
        <v>169</v>
      </c>
      <c r="B31" s="901" t="s">
        <v>170</v>
      </c>
      <c r="C31" s="923"/>
      <c r="E31" s="918"/>
      <c r="F31" s="918"/>
      <c r="G31" s="918"/>
      <c r="H31" s="918"/>
      <c r="I31" s="918"/>
      <c r="J31" s="935"/>
      <c r="K31" s="468"/>
    </row>
    <row r="32" spans="1:13">
      <c r="A32" s="913">
        <v>7</v>
      </c>
      <c r="B32" s="900" t="s">
        <v>171</v>
      </c>
      <c r="C32" s="924"/>
      <c r="E32" s="918"/>
      <c r="F32" s="918"/>
      <c r="G32" s="918"/>
      <c r="H32" s="905"/>
      <c r="I32" s="905"/>
      <c r="J32" s="936"/>
      <c r="K32" s="936"/>
      <c r="L32" s="936"/>
      <c r="M32" s="934"/>
    </row>
    <row r="33" spans="1:15">
      <c r="A33" s="901" t="s">
        <v>172</v>
      </c>
      <c r="B33" s="900" t="s">
        <v>173</v>
      </c>
      <c r="C33" s="906"/>
      <c r="E33" s="918"/>
      <c r="F33" s="918"/>
      <c r="H33" s="918"/>
      <c r="I33" s="918"/>
      <c r="J33" s="904"/>
      <c r="K33" s="918"/>
      <c r="L33" s="918"/>
      <c r="M33" s="918"/>
      <c r="N33" s="918"/>
      <c r="O33" s="918"/>
    </row>
    <row r="34" spans="1:15">
      <c r="A34" s="895" t="s">
        <v>174</v>
      </c>
      <c r="B34" s="895"/>
      <c r="C34" s="911">
        <f>C21-C23-C24-C25-C26-C28-C30-C31</f>
        <v>437646.83333333</v>
      </c>
      <c r="E34" s="920"/>
      <c r="F34" s="918"/>
      <c r="G34" s="902"/>
      <c r="H34" s="918"/>
      <c r="I34" s="918"/>
      <c r="J34" s="937"/>
      <c r="K34" s="918"/>
      <c r="L34" s="918"/>
      <c r="M34" s="918"/>
      <c r="O34" s="918"/>
    </row>
    <row r="35" spans="3:14">
      <c r="C35" s="925" t="s">
        <v>175</v>
      </c>
      <c r="D35" s="925"/>
      <c r="F35" s="483"/>
      <c r="G35" s="483"/>
      <c r="H35" s="918"/>
      <c r="I35" s="483"/>
      <c r="J35" s="483"/>
      <c r="N35" s="918"/>
    </row>
    <row r="36" spans="1:14">
      <c r="A36" s="481" t="s">
        <v>111</v>
      </c>
      <c r="B36" s="481"/>
      <c r="C36" s="481"/>
      <c r="F36" s="926"/>
      <c r="G36" s="918"/>
      <c r="H36" s="926"/>
      <c r="L36" s="918"/>
      <c r="M36" s="918"/>
      <c r="N36" s="918"/>
    </row>
    <row r="37" spans="1:8">
      <c r="A37" s="481" t="s">
        <v>112</v>
      </c>
      <c r="B37" s="481"/>
      <c r="C37" s="481"/>
      <c r="F37" s="918"/>
      <c r="G37" s="918"/>
      <c r="H37" s="904"/>
    </row>
    <row r="38" spans="6:8">
      <c r="F38" s="927"/>
      <c r="G38" s="918"/>
      <c r="H38" s="918"/>
    </row>
    <row r="39" spans="1:8">
      <c r="A39" s="481" t="s">
        <v>113</v>
      </c>
      <c r="B39" s="481"/>
      <c r="C39" s="481" t="s">
        <v>114</v>
      </c>
      <c r="F39" s="918"/>
      <c r="H39" s="926"/>
    </row>
    <row r="40" spans="2:8">
      <c r="B40" s="481"/>
      <c r="G40" s="449"/>
      <c r="H40" s="926"/>
    </row>
    <row r="41" spans="2:8">
      <c r="B41" s="481"/>
      <c r="G41" s="449"/>
      <c r="H41" s="918"/>
    </row>
    <row r="42" spans="2:8">
      <c r="B42" s="481"/>
      <c r="G42" s="449"/>
      <c r="H42" s="918"/>
    </row>
    <row r="43" spans="2:2">
      <c r="B43" s="484"/>
    </row>
    <row r="44" spans="1:5">
      <c r="A44" s="448" t="s">
        <v>115</v>
      </c>
      <c r="B44" s="448"/>
      <c r="C44" s="484" t="s">
        <v>176</v>
      </c>
      <c r="D44" s="482"/>
      <c r="E44" s="482"/>
    </row>
    <row r="46" spans="2:4">
      <c r="B46" s="481"/>
      <c r="C46" s="481"/>
      <c r="D46" s="481"/>
    </row>
    <row r="47" spans="2:4">
      <c r="B47" s="448"/>
      <c r="C47" s="448"/>
      <c r="D47" s="448"/>
    </row>
    <row r="51" spans="2:4">
      <c r="B51" s="484"/>
      <c r="C51" s="484"/>
      <c r="D51" s="484"/>
    </row>
  </sheetData>
  <mergeCells count="15">
    <mergeCell ref="A1:C1"/>
    <mergeCell ref="A2:C2"/>
    <mergeCell ref="A3:C3"/>
    <mergeCell ref="A4:B4"/>
    <mergeCell ref="A5:B5"/>
    <mergeCell ref="A6:B6"/>
    <mergeCell ref="A21:B21"/>
    <mergeCell ref="A34:B34"/>
    <mergeCell ref="A36:C36"/>
    <mergeCell ref="A37:C37"/>
    <mergeCell ref="A39:B39"/>
    <mergeCell ref="A44:B44"/>
    <mergeCell ref="B46:D46"/>
    <mergeCell ref="B47:D47"/>
    <mergeCell ref="B51:D51"/>
  </mergeCells>
  <pageMargins left="1.19444444444444" right="0.25" top="0.75" bottom="0.75" header="0.3" footer="0.3"/>
  <pageSetup paperSize="5" orientation="portrait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Layout" zoomScale="80" zoomScaleSheetLayoutView="110" zoomScaleNormal="100" topLeftCell="A9" workbookViewId="0">
      <selection activeCell="L7" sqref="L7:L17"/>
    </sheetView>
  </sheetViews>
  <sheetFormatPr defaultColWidth="9" defaultRowHeight="14.5"/>
  <cols>
    <col min="1" max="1" width="4" style="60" customWidth="1"/>
    <col min="2" max="2" width="31.1818181818182" customWidth="1"/>
    <col min="3" max="3" width="12.1363636363636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1" spans="1:13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3" t="s">
        <v>1039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1063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="57" customFormat="1" ht="19.5" customHeight="1" spans="1:13">
      <c r="A5" s="64" t="s">
        <v>478</v>
      </c>
      <c r="B5" s="65" t="s">
        <v>205</v>
      </c>
      <c r="C5" s="66" t="s">
        <v>950</v>
      </c>
      <c r="D5" s="66"/>
      <c r="E5" s="66"/>
      <c r="F5" s="66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ht="32" customHeight="1" spans="1:13">
      <c r="A6" s="69"/>
      <c r="B6" s="70"/>
      <c r="C6" s="70" t="s">
        <v>976</v>
      </c>
      <c r="D6" s="71" t="s">
        <v>1041</v>
      </c>
      <c r="E6" s="72" t="s">
        <v>941</v>
      </c>
      <c r="F6" s="72" t="s">
        <v>694</v>
      </c>
      <c r="G6" s="72" t="s">
        <v>941</v>
      </c>
      <c r="H6" s="66" t="s">
        <v>1041</v>
      </c>
      <c r="I6" s="66" t="s">
        <v>694</v>
      </c>
      <c r="J6" s="72"/>
      <c r="K6" s="103" t="s">
        <v>1028</v>
      </c>
      <c r="L6" s="103" t="s">
        <v>1029</v>
      </c>
      <c r="M6" s="72"/>
    </row>
    <row r="7" s="58" customFormat="1" ht="23.25" customHeight="1" spans="1:13">
      <c r="A7" s="73">
        <v>1</v>
      </c>
      <c r="B7" s="74" t="s">
        <v>1064</v>
      </c>
      <c r="C7" s="74" t="s">
        <v>1042</v>
      </c>
      <c r="D7" s="75">
        <v>5</v>
      </c>
      <c r="E7" s="75">
        <v>55000</v>
      </c>
      <c r="F7" s="76">
        <f t="shared" ref="F7:F17" si="0">SUM(D7*E7)</f>
        <v>275000</v>
      </c>
      <c r="G7" s="77">
        <v>82500</v>
      </c>
      <c r="H7" s="75">
        <v>5</v>
      </c>
      <c r="I7" s="76">
        <f t="shared" ref="I7:I17" si="1">SUM(G7*H7)</f>
        <v>412500</v>
      </c>
      <c r="J7" s="77">
        <f>SUM(I18-F18)</f>
        <v>1167000</v>
      </c>
      <c r="K7" s="77">
        <f>SUM(J7*20%)</f>
        <v>233400</v>
      </c>
      <c r="L7" s="77">
        <f>SUM(J7*80%)</f>
        <v>933600</v>
      </c>
      <c r="M7" s="76"/>
    </row>
    <row r="8" ht="23.25" customHeight="1" spans="1:13">
      <c r="A8" s="73">
        <v>2</v>
      </c>
      <c r="B8" s="78" t="s">
        <v>1036</v>
      </c>
      <c r="C8" s="79" t="s">
        <v>1042</v>
      </c>
      <c r="D8" s="80">
        <v>20</v>
      </c>
      <c r="E8" s="80">
        <v>180000</v>
      </c>
      <c r="F8" s="76">
        <f t="shared" si="0"/>
        <v>3600000</v>
      </c>
      <c r="G8" s="77">
        <v>210000</v>
      </c>
      <c r="H8" s="80">
        <v>20</v>
      </c>
      <c r="I8" s="76">
        <f t="shared" si="1"/>
        <v>4200000</v>
      </c>
      <c r="J8" s="77"/>
      <c r="K8" s="77"/>
      <c r="L8" s="77"/>
      <c r="M8" s="80"/>
    </row>
    <row r="9" ht="23.25" customHeight="1" spans="1:13">
      <c r="A9" s="73">
        <v>3</v>
      </c>
      <c r="B9" s="78" t="s">
        <v>1037</v>
      </c>
      <c r="C9" s="79" t="s">
        <v>1042</v>
      </c>
      <c r="D9" s="80">
        <v>9</v>
      </c>
      <c r="E9" s="80">
        <v>157500</v>
      </c>
      <c r="F9" s="76">
        <f t="shared" si="0"/>
        <v>1417500</v>
      </c>
      <c r="G9" s="77">
        <v>185000</v>
      </c>
      <c r="H9" s="80">
        <v>9</v>
      </c>
      <c r="I9" s="76">
        <f t="shared" si="1"/>
        <v>1665000</v>
      </c>
      <c r="J9" s="77"/>
      <c r="K9" s="77"/>
      <c r="L9" s="77"/>
      <c r="M9" s="80"/>
    </row>
    <row r="10" ht="23.25" customHeight="1" spans="1:13">
      <c r="A10" s="73">
        <v>4</v>
      </c>
      <c r="B10" s="79" t="s">
        <v>1065</v>
      </c>
      <c r="C10" s="79" t="s">
        <v>1042</v>
      </c>
      <c r="D10" s="80">
        <v>1</v>
      </c>
      <c r="E10" s="80">
        <v>65000</v>
      </c>
      <c r="F10" s="76">
        <f t="shared" si="0"/>
        <v>65000</v>
      </c>
      <c r="G10" s="77">
        <v>95000</v>
      </c>
      <c r="H10" s="80">
        <v>1</v>
      </c>
      <c r="I10" s="76">
        <f t="shared" si="1"/>
        <v>95000</v>
      </c>
      <c r="J10" s="77"/>
      <c r="K10" s="77"/>
      <c r="L10" s="77"/>
      <c r="M10" s="80"/>
    </row>
    <row r="11" ht="23.25" customHeight="1" spans="1:13">
      <c r="A11" s="73">
        <v>5</v>
      </c>
      <c r="B11" s="79" t="s">
        <v>1066</v>
      </c>
      <c r="C11" s="79" t="s">
        <v>1043</v>
      </c>
      <c r="D11" s="80">
        <v>2</v>
      </c>
      <c r="E11" s="80">
        <v>58000</v>
      </c>
      <c r="F11" s="76">
        <f t="shared" si="0"/>
        <v>116000</v>
      </c>
      <c r="G11" s="77">
        <v>75000</v>
      </c>
      <c r="H11" s="80">
        <v>2</v>
      </c>
      <c r="I11" s="76">
        <f t="shared" si="1"/>
        <v>150000</v>
      </c>
      <c r="J11" s="77"/>
      <c r="K11" s="77"/>
      <c r="L11" s="77"/>
      <c r="M11" s="80"/>
    </row>
    <row r="12" ht="23.25" customHeight="1" spans="1:13">
      <c r="A12" s="73">
        <v>6</v>
      </c>
      <c r="B12" s="79" t="s">
        <v>1067</v>
      </c>
      <c r="C12" s="79" t="s">
        <v>1042</v>
      </c>
      <c r="D12" s="77"/>
      <c r="E12" s="80">
        <v>65500</v>
      </c>
      <c r="F12" s="76">
        <f t="shared" si="0"/>
        <v>0</v>
      </c>
      <c r="G12" s="77"/>
      <c r="H12" s="80"/>
      <c r="I12" s="76">
        <f t="shared" si="1"/>
        <v>0</v>
      </c>
      <c r="J12" s="77"/>
      <c r="K12" s="77"/>
      <c r="L12" s="77"/>
      <c r="M12" s="80"/>
    </row>
    <row r="13" ht="23.25" customHeight="1" spans="1:13">
      <c r="A13" s="73">
        <v>7</v>
      </c>
      <c r="B13" s="79" t="s">
        <v>1068</v>
      </c>
      <c r="C13" s="79" t="s">
        <v>1042</v>
      </c>
      <c r="D13" s="80">
        <v>1</v>
      </c>
      <c r="E13" s="80">
        <v>64000</v>
      </c>
      <c r="F13" s="76">
        <f t="shared" si="0"/>
        <v>64000</v>
      </c>
      <c r="G13" s="77">
        <v>97000</v>
      </c>
      <c r="H13" s="80">
        <v>1</v>
      </c>
      <c r="I13" s="76">
        <f t="shared" si="1"/>
        <v>97000</v>
      </c>
      <c r="J13" s="77"/>
      <c r="K13" s="77"/>
      <c r="L13" s="77"/>
      <c r="M13" s="80"/>
    </row>
    <row r="14" ht="23.25" customHeight="1" spans="1:13">
      <c r="A14" s="73">
        <v>8</v>
      </c>
      <c r="B14" s="81" t="s">
        <v>1069</v>
      </c>
      <c r="C14" s="81" t="s">
        <v>1043</v>
      </c>
      <c r="D14" s="80">
        <v>1</v>
      </c>
      <c r="E14" s="80">
        <v>190000</v>
      </c>
      <c r="F14" s="76">
        <f t="shared" si="0"/>
        <v>190000</v>
      </c>
      <c r="G14" s="77">
        <v>230000</v>
      </c>
      <c r="H14" s="80">
        <v>1</v>
      </c>
      <c r="I14" s="76">
        <f t="shared" si="1"/>
        <v>230000</v>
      </c>
      <c r="J14" s="77"/>
      <c r="K14" s="77"/>
      <c r="L14" s="77"/>
      <c r="M14" s="80"/>
    </row>
    <row r="15" s="59" customFormat="1" ht="23.25" customHeight="1" spans="1:13">
      <c r="A15" s="73">
        <v>9</v>
      </c>
      <c r="B15" s="82" t="s">
        <v>1070</v>
      </c>
      <c r="C15" s="82" t="s">
        <v>1071</v>
      </c>
      <c r="D15" s="84">
        <v>1</v>
      </c>
      <c r="E15" s="84">
        <v>265000</v>
      </c>
      <c r="F15" s="76">
        <f t="shared" si="0"/>
        <v>265000</v>
      </c>
      <c r="G15" s="83">
        <v>310000</v>
      </c>
      <c r="H15" s="84">
        <v>1</v>
      </c>
      <c r="I15" s="76">
        <f t="shared" si="1"/>
        <v>310000</v>
      </c>
      <c r="J15" s="77"/>
      <c r="K15" s="77"/>
      <c r="L15" s="77"/>
      <c r="M15" s="87"/>
    </row>
    <row r="16" s="59" customFormat="1" ht="23.25" customHeight="1" spans="1:13">
      <c r="A16" s="73">
        <v>10</v>
      </c>
      <c r="B16" s="82" t="s">
        <v>1072</v>
      </c>
      <c r="C16" s="82" t="s">
        <v>1043</v>
      </c>
      <c r="D16" s="83"/>
      <c r="E16" s="84">
        <v>98000</v>
      </c>
      <c r="F16" s="76">
        <f t="shared" si="0"/>
        <v>0</v>
      </c>
      <c r="G16" s="66"/>
      <c r="H16" s="87"/>
      <c r="I16" s="76">
        <f t="shared" si="1"/>
        <v>0</v>
      </c>
      <c r="J16" s="77"/>
      <c r="K16" s="77"/>
      <c r="L16" s="77"/>
      <c r="M16" s="87"/>
    </row>
    <row r="17" s="59" customFormat="1" ht="23.25" customHeight="1" spans="1:13">
      <c r="A17" s="73">
        <v>11</v>
      </c>
      <c r="B17" s="82" t="s">
        <v>1073</v>
      </c>
      <c r="C17" s="82" t="s">
        <v>1042</v>
      </c>
      <c r="D17" s="83"/>
      <c r="E17" s="84">
        <v>18000</v>
      </c>
      <c r="F17" s="76">
        <f t="shared" si="0"/>
        <v>0</v>
      </c>
      <c r="G17" s="66"/>
      <c r="H17" s="87"/>
      <c r="I17" s="76">
        <f t="shared" si="1"/>
        <v>0</v>
      </c>
      <c r="J17" s="77"/>
      <c r="K17" s="77"/>
      <c r="L17" s="77"/>
      <c r="M17" s="87"/>
    </row>
    <row r="18" s="59" customFormat="1" ht="23.25" customHeight="1" spans="1:13">
      <c r="A18" s="85" t="s">
        <v>109</v>
      </c>
      <c r="B18" s="86"/>
      <c r="C18" s="86"/>
      <c r="D18" s="66">
        <f>SUM(D7:D17)</f>
        <v>40</v>
      </c>
      <c r="E18" s="87"/>
      <c r="F18" s="87">
        <f>SUM(F7:F17)</f>
        <v>5992500</v>
      </c>
      <c r="G18" s="66"/>
      <c r="H18" s="87">
        <f>SUM(H7:H17)</f>
        <v>40</v>
      </c>
      <c r="I18" s="87">
        <f>SUM(I7:I17)</f>
        <v>7159500</v>
      </c>
      <c r="J18" s="87"/>
      <c r="K18" s="87">
        <f>J18*20%</f>
        <v>0</v>
      </c>
      <c r="L18" s="87"/>
      <c r="M18" s="87"/>
    </row>
    <row r="20" spans="2:6">
      <c r="B20" t="s">
        <v>1074</v>
      </c>
      <c r="C20" s="105">
        <f>SUM(F18+'PESTISIDA (2)'!F35)</f>
        <v>41562500</v>
      </c>
      <c r="F20" s="62">
        <f>F18+'TAHAP 2'!F34</f>
        <v>21416800</v>
      </c>
    </row>
    <row r="21" spans="3:3">
      <c r="C21" s="108">
        <f>340000000+C20</f>
        <v>381562500</v>
      </c>
    </row>
    <row r="22" spans="2:3">
      <c r="B22" t="s">
        <v>1075</v>
      </c>
      <c r="C22" s="111">
        <f>SUM('TAHAP 2'!L7+L7)</f>
        <v>4373360</v>
      </c>
    </row>
    <row r="23" spans="3:3">
      <c r="C23" s="108">
        <f>SUM('TAHAP 2'!K7+K7)</f>
        <v>1093340</v>
      </c>
    </row>
  </sheetData>
  <mergeCells count="14">
    <mergeCell ref="A1:M1"/>
    <mergeCell ref="A2:M2"/>
    <mergeCell ref="A3:M3"/>
    <mergeCell ref="C5:F5"/>
    <mergeCell ref="G5:I5"/>
    <mergeCell ref="K5:L5"/>
    <mergeCell ref="A18:B18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Layout" zoomScale="80" zoomScaleSheetLayoutView="110" zoomScaleNormal="100" topLeftCell="A11" workbookViewId="0">
      <selection activeCell="H18" sqref="H18"/>
    </sheetView>
  </sheetViews>
  <sheetFormatPr defaultColWidth="9" defaultRowHeight="14.5"/>
  <cols>
    <col min="1" max="1" width="4" style="60" customWidth="1"/>
    <col min="2" max="2" width="31.1818181818182" customWidth="1"/>
    <col min="3" max="3" width="12.1363636363636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  <col min="13" max="13" width="9.13636363636364" style="62"/>
  </cols>
  <sheetData>
    <row r="1" spans="1:13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3" t="s">
        <v>1039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1076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="57" customFormat="1" ht="19.5" customHeight="1" spans="1:13">
      <c r="A5" s="64" t="s">
        <v>478</v>
      </c>
      <c r="B5" s="65" t="s">
        <v>205</v>
      </c>
      <c r="C5" s="66" t="s">
        <v>950</v>
      </c>
      <c r="D5" s="66"/>
      <c r="E5" s="66"/>
      <c r="F5" s="66"/>
      <c r="G5" s="67" t="s">
        <v>951</v>
      </c>
      <c r="H5" s="68"/>
      <c r="I5" s="101"/>
      <c r="J5" s="102" t="s">
        <v>693</v>
      </c>
      <c r="K5" s="109" t="s">
        <v>952</v>
      </c>
      <c r="L5" s="110"/>
      <c r="M5" s="102" t="s">
        <v>953</v>
      </c>
    </row>
    <row r="6" s="57" customFormat="1" ht="32" customHeight="1" spans="1:13">
      <c r="A6" s="69"/>
      <c r="B6" s="70"/>
      <c r="C6" s="70" t="s">
        <v>976</v>
      </c>
      <c r="D6" s="71" t="s">
        <v>1041</v>
      </c>
      <c r="E6" s="72" t="s">
        <v>941</v>
      </c>
      <c r="F6" s="72" t="s">
        <v>694</v>
      </c>
      <c r="G6" s="72" t="s">
        <v>941</v>
      </c>
      <c r="H6" s="66" t="s">
        <v>1041</v>
      </c>
      <c r="I6" s="66" t="s">
        <v>694</v>
      </c>
      <c r="J6" s="72"/>
      <c r="K6" s="103" t="s">
        <v>1028</v>
      </c>
      <c r="L6" s="103" t="s">
        <v>1029</v>
      </c>
      <c r="M6" s="72"/>
    </row>
    <row r="7" s="58" customFormat="1" ht="23.25" customHeight="1" spans="1:13">
      <c r="A7" s="73">
        <v>1</v>
      </c>
      <c r="B7" s="74" t="s">
        <v>1066</v>
      </c>
      <c r="C7" s="74" t="s">
        <v>1077</v>
      </c>
      <c r="D7" s="75">
        <v>3</v>
      </c>
      <c r="E7" s="75">
        <v>58000</v>
      </c>
      <c r="F7" s="76">
        <f t="shared" ref="F7:F18" si="0">SUM(D7*E7)</f>
        <v>174000</v>
      </c>
      <c r="G7" s="77">
        <v>75000</v>
      </c>
      <c r="H7" s="75">
        <v>3</v>
      </c>
      <c r="I7" s="76">
        <f t="shared" ref="I7:I18" si="1">SUM(G7*H7)</f>
        <v>225000</v>
      </c>
      <c r="J7" s="77">
        <f>SUM(I19-F19)</f>
        <v>723500</v>
      </c>
      <c r="K7" s="77">
        <f>SUM(J7*20%)</f>
        <v>144700</v>
      </c>
      <c r="L7" s="77">
        <f>SUM(J7*80%)</f>
        <v>578800</v>
      </c>
      <c r="M7" s="76"/>
    </row>
    <row r="8" ht="23.25" customHeight="1" spans="1:13">
      <c r="A8" s="73">
        <v>2</v>
      </c>
      <c r="B8" s="78" t="s">
        <v>1078</v>
      </c>
      <c r="C8" s="79" t="s">
        <v>1042</v>
      </c>
      <c r="D8" s="80">
        <v>1</v>
      </c>
      <c r="E8" s="80">
        <v>370000</v>
      </c>
      <c r="F8" s="76">
        <f t="shared" si="0"/>
        <v>370000</v>
      </c>
      <c r="G8" s="77">
        <v>420000</v>
      </c>
      <c r="H8" s="80">
        <v>1</v>
      </c>
      <c r="I8" s="76">
        <f t="shared" si="1"/>
        <v>420000</v>
      </c>
      <c r="J8" s="77"/>
      <c r="K8" s="77"/>
      <c r="L8" s="77"/>
      <c r="M8" s="80"/>
    </row>
    <row r="9" ht="23.25" customHeight="1" spans="1:13">
      <c r="A9" s="73">
        <v>3</v>
      </c>
      <c r="B9" s="78" t="s">
        <v>1037</v>
      </c>
      <c r="C9" s="79" t="s">
        <v>1042</v>
      </c>
      <c r="D9" s="80">
        <v>2</v>
      </c>
      <c r="E9" s="80">
        <v>157500</v>
      </c>
      <c r="F9" s="76">
        <f t="shared" si="0"/>
        <v>315000</v>
      </c>
      <c r="G9" s="77">
        <v>185000</v>
      </c>
      <c r="H9" s="80">
        <v>2</v>
      </c>
      <c r="I9" s="76">
        <f t="shared" si="1"/>
        <v>370000</v>
      </c>
      <c r="J9" s="77"/>
      <c r="K9" s="77"/>
      <c r="L9" s="77"/>
      <c r="M9" s="80"/>
    </row>
    <row r="10" ht="23.25" customHeight="1" spans="1:13">
      <c r="A10" s="73">
        <v>4</v>
      </c>
      <c r="B10" s="79" t="s">
        <v>1079</v>
      </c>
      <c r="C10" s="79" t="s">
        <v>1042</v>
      </c>
      <c r="D10" s="80">
        <v>5</v>
      </c>
      <c r="E10" s="80">
        <v>180000</v>
      </c>
      <c r="F10" s="76">
        <f t="shared" si="0"/>
        <v>900000</v>
      </c>
      <c r="G10" s="77">
        <v>210000</v>
      </c>
      <c r="H10" s="80">
        <v>5</v>
      </c>
      <c r="I10" s="76">
        <f t="shared" si="1"/>
        <v>1050000</v>
      </c>
      <c r="J10" s="77"/>
      <c r="K10" s="77"/>
      <c r="L10" s="77"/>
      <c r="M10" s="80"/>
    </row>
    <row r="11" ht="23.25" customHeight="1" spans="1:13">
      <c r="A11" s="73">
        <v>5</v>
      </c>
      <c r="B11" s="79" t="s">
        <v>1080</v>
      </c>
      <c r="C11" s="79" t="s">
        <v>1042</v>
      </c>
      <c r="D11" s="80">
        <v>2</v>
      </c>
      <c r="E11" s="80">
        <v>55000</v>
      </c>
      <c r="F11" s="76">
        <f t="shared" si="0"/>
        <v>110000</v>
      </c>
      <c r="G11" s="77">
        <v>64000</v>
      </c>
      <c r="H11" s="80">
        <v>2</v>
      </c>
      <c r="I11" s="76">
        <f t="shared" si="1"/>
        <v>128000</v>
      </c>
      <c r="J11" s="77"/>
      <c r="K11" s="77"/>
      <c r="L11" s="77"/>
      <c r="M11" s="80"/>
    </row>
    <row r="12" ht="23.25" customHeight="1" spans="1:13">
      <c r="A12" s="73">
        <v>6</v>
      </c>
      <c r="B12" s="79" t="s">
        <v>1081</v>
      </c>
      <c r="C12" s="79" t="s">
        <v>1042</v>
      </c>
      <c r="D12" s="77">
        <v>3</v>
      </c>
      <c r="E12" s="80">
        <v>52000</v>
      </c>
      <c r="F12" s="76">
        <f t="shared" si="0"/>
        <v>156000</v>
      </c>
      <c r="G12" s="77">
        <v>80000</v>
      </c>
      <c r="H12" s="80">
        <v>3</v>
      </c>
      <c r="I12" s="76">
        <f t="shared" si="1"/>
        <v>240000</v>
      </c>
      <c r="J12" s="77"/>
      <c r="K12" s="77"/>
      <c r="L12" s="77"/>
      <c r="M12" s="80"/>
    </row>
    <row r="13" ht="23.25" customHeight="1" spans="1:13">
      <c r="A13" s="73">
        <v>7</v>
      </c>
      <c r="B13" s="79" t="s">
        <v>1082</v>
      </c>
      <c r="C13" s="79" t="s">
        <v>1042</v>
      </c>
      <c r="D13" s="80">
        <v>1</v>
      </c>
      <c r="E13" s="80">
        <v>143000</v>
      </c>
      <c r="F13" s="76">
        <f t="shared" si="0"/>
        <v>143000</v>
      </c>
      <c r="G13" s="77">
        <v>165000</v>
      </c>
      <c r="H13" s="80">
        <v>1</v>
      </c>
      <c r="I13" s="76">
        <f t="shared" si="1"/>
        <v>165000</v>
      </c>
      <c r="J13" s="77"/>
      <c r="K13" s="77"/>
      <c r="L13" s="77"/>
      <c r="M13" s="80"/>
    </row>
    <row r="14" ht="23.25" customHeight="1" spans="1:13">
      <c r="A14" s="73">
        <v>8</v>
      </c>
      <c r="B14" s="81" t="s">
        <v>1083</v>
      </c>
      <c r="C14" s="81" t="s">
        <v>1042</v>
      </c>
      <c r="D14" s="80">
        <v>2</v>
      </c>
      <c r="E14" s="80">
        <v>65000</v>
      </c>
      <c r="F14" s="76">
        <f t="shared" si="0"/>
        <v>130000</v>
      </c>
      <c r="G14" s="77">
        <v>95000</v>
      </c>
      <c r="H14" s="80">
        <v>2</v>
      </c>
      <c r="I14" s="76">
        <f t="shared" si="1"/>
        <v>190000</v>
      </c>
      <c r="J14" s="77"/>
      <c r="K14" s="77"/>
      <c r="L14" s="77"/>
      <c r="M14" s="80"/>
    </row>
    <row r="15" s="59" customFormat="1" ht="23.25" customHeight="1" spans="1:13">
      <c r="A15" s="73">
        <v>9</v>
      </c>
      <c r="B15" s="82" t="s">
        <v>1070</v>
      </c>
      <c r="C15" s="82" t="s">
        <v>1071</v>
      </c>
      <c r="D15" s="84">
        <v>1</v>
      </c>
      <c r="E15" s="84">
        <v>265000</v>
      </c>
      <c r="F15" s="76">
        <f t="shared" si="0"/>
        <v>265000</v>
      </c>
      <c r="G15" s="83">
        <v>310000</v>
      </c>
      <c r="H15" s="84">
        <v>1</v>
      </c>
      <c r="I15" s="76">
        <f t="shared" si="1"/>
        <v>310000</v>
      </c>
      <c r="J15" s="77"/>
      <c r="K15" s="77"/>
      <c r="L15" s="77"/>
      <c r="M15" s="87"/>
    </row>
    <row r="16" s="59" customFormat="1" ht="23.25" customHeight="1" spans="1:13">
      <c r="A16" s="73">
        <v>10</v>
      </c>
      <c r="B16" s="82" t="s">
        <v>1084</v>
      </c>
      <c r="C16" s="82" t="s">
        <v>1085</v>
      </c>
      <c r="D16" s="83">
        <v>2</v>
      </c>
      <c r="E16" s="84">
        <v>55000</v>
      </c>
      <c r="F16" s="76">
        <f t="shared" si="0"/>
        <v>110000</v>
      </c>
      <c r="G16" s="83">
        <v>82500</v>
      </c>
      <c r="H16" s="84">
        <v>2</v>
      </c>
      <c r="I16" s="76">
        <f t="shared" si="1"/>
        <v>165000</v>
      </c>
      <c r="J16" s="77"/>
      <c r="K16" s="77"/>
      <c r="L16" s="77"/>
      <c r="M16" s="87"/>
    </row>
    <row r="17" s="59" customFormat="1" ht="23.25" customHeight="1" spans="1:13">
      <c r="A17" s="73">
        <v>11</v>
      </c>
      <c r="B17" s="82" t="s">
        <v>1086</v>
      </c>
      <c r="C17" s="82" t="s">
        <v>1042</v>
      </c>
      <c r="D17" s="83">
        <v>3</v>
      </c>
      <c r="E17" s="84">
        <v>134500</v>
      </c>
      <c r="F17" s="76">
        <f t="shared" si="0"/>
        <v>403500</v>
      </c>
      <c r="G17" s="83">
        <v>156000</v>
      </c>
      <c r="H17" s="84">
        <v>3</v>
      </c>
      <c r="I17" s="76">
        <f t="shared" si="1"/>
        <v>468000</v>
      </c>
      <c r="J17" s="77"/>
      <c r="K17" s="77"/>
      <c r="L17" s="77"/>
      <c r="M17" s="87"/>
    </row>
    <row r="18" s="59" customFormat="1" ht="23.25" customHeight="1" spans="1:13">
      <c r="A18" s="73">
        <v>12</v>
      </c>
      <c r="B18" s="82" t="s">
        <v>1087</v>
      </c>
      <c r="C18" s="82" t="s">
        <v>1042</v>
      </c>
      <c r="D18" s="83">
        <v>2</v>
      </c>
      <c r="E18" s="84">
        <v>30000</v>
      </c>
      <c r="F18" s="76">
        <f t="shared" si="0"/>
        <v>60000</v>
      </c>
      <c r="G18" s="83">
        <v>34500</v>
      </c>
      <c r="H18" s="84">
        <v>2</v>
      </c>
      <c r="I18" s="76">
        <f t="shared" si="1"/>
        <v>69000</v>
      </c>
      <c r="J18" s="87"/>
      <c r="K18" s="87"/>
      <c r="L18" s="87"/>
      <c r="M18" s="87"/>
    </row>
    <row r="19" s="59" customFormat="1" ht="23.25" customHeight="1" spans="1:13">
      <c r="A19" s="85" t="s">
        <v>109</v>
      </c>
      <c r="B19" s="86"/>
      <c r="C19" s="86"/>
      <c r="D19" s="66">
        <f t="shared" ref="D19:I19" si="2">SUM(D7:D17)</f>
        <v>25</v>
      </c>
      <c r="E19" s="87"/>
      <c r="F19" s="87">
        <f t="shared" si="2"/>
        <v>3076500</v>
      </c>
      <c r="G19" s="66"/>
      <c r="H19" s="87">
        <f t="shared" si="2"/>
        <v>25</v>
      </c>
      <c r="I19" s="87">
        <f>SUM(I7:I18)</f>
        <v>3800000</v>
      </c>
      <c r="J19" s="87"/>
      <c r="K19" s="87">
        <f>J19*20%</f>
        <v>0</v>
      </c>
      <c r="L19" s="87"/>
      <c r="M19" s="87"/>
    </row>
    <row r="21" spans="3:3">
      <c r="C21" s="105"/>
    </row>
    <row r="22" spans="3:3">
      <c r="C22" s="106">
        <v>28411700</v>
      </c>
    </row>
    <row r="23" spans="2:3">
      <c r="B23" t="s">
        <v>1088</v>
      </c>
      <c r="C23" s="107">
        <f>F19</f>
        <v>3076500</v>
      </c>
    </row>
    <row r="24" spans="3:3">
      <c r="C24" s="108">
        <f>C22-C23</f>
        <v>25335200</v>
      </c>
    </row>
  </sheetData>
  <mergeCells count="14">
    <mergeCell ref="A1:M1"/>
    <mergeCell ref="A2:M2"/>
    <mergeCell ref="A3:M3"/>
    <mergeCell ref="C5:F5"/>
    <mergeCell ref="G5:I5"/>
    <mergeCell ref="K5:L5"/>
    <mergeCell ref="A19:B19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view="pageLayout" zoomScale="80" zoomScaleSheetLayoutView="110" zoomScaleNormal="100" topLeftCell="C1" workbookViewId="0">
      <selection activeCell="M9" sqref="M9"/>
    </sheetView>
  </sheetViews>
  <sheetFormatPr defaultColWidth="9" defaultRowHeight="14.5"/>
  <cols>
    <col min="1" max="1" width="4" style="60" customWidth="1"/>
    <col min="2" max="2" width="31.1818181818182" customWidth="1"/>
    <col min="3" max="3" width="12.1363636363636" customWidth="1"/>
    <col min="4" max="4" width="9.13636363636364" style="61"/>
    <col min="5" max="6" width="12.1363636363636" style="62" customWidth="1"/>
    <col min="7" max="7" width="9.13636363636364" style="61"/>
    <col min="8" max="10" width="12.1363636363636" style="62" customWidth="1"/>
    <col min="11" max="12" width="13" style="62" customWidth="1"/>
  </cols>
  <sheetData>
    <row r="1" spans="1:12">
      <c r="A1" s="63" t="s">
        <v>1025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>
      <c r="A2" s="63" t="s">
        <v>1039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>
      <c r="A3" s="63" t="s">
        <v>1089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5" s="57" customFormat="1" ht="19.5" customHeight="1" spans="1:12">
      <c r="A5" s="64" t="s">
        <v>478</v>
      </c>
      <c r="B5" s="65" t="s">
        <v>205</v>
      </c>
      <c r="C5" s="66" t="s">
        <v>950</v>
      </c>
      <c r="D5" s="66"/>
      <c r="E5" s="66"/>
      <c r="F5" s="66"/>
      <c r="G5" s="67" t="s">
        <v>951</v>
      </c>
      <c r="H5" s="68"/>
      <c r="I5" s="101"/>
      <c r="J5" s="102" t="s">
        <v>693</v>
      </c>
      <c r="K5" s="66" t="s">
        <v>952</v>
      </c>
      <c r="L5" s="66"/>
    </row>
    <row r="6" s="57" customFormat="1" ht="28" customHeight="1" spans="1:12">
      <c r="A6" s="69"/>
      <c r="B6" s="70"/>
      <c r="C6" s="70" t="s">
        <v>976</v>
      </c>
      <c r="D6" s="71" t="s">
        <v>1041</v>
      </c>
      <c r="E6" s="72" t="s">
        <v>941</v>
      </c>
      <c r="F6" s="72" t="s">
        <v>694</v>
      </c>
      <c r="G6" s="72" t="s">
        <v>941</v>
      </c>
      <c r="H6" s="66" t="s">
        <v>1041</v>
      </c>
      <c r="I6" s="66" t="s">
        <v>694</v>
      </c>
      <c r="J6" s="72"/>
      <c r="K6" s="103" t="s">
        <v>1090</v>
      </c>
      <c r="L6" s="103" t="s">
        <v>1091</v>
      </c>
    </row>
    <row r="7" s="58" customFormat="1" ht="16" customHeight="1" spans="1:12">
      <c r="A7" s="73">
        <v>1</v>
      </c>
      <c r="B7" s="74" t="s">
        <v>1066</v>
      </c>
      <c r="C7" s="74" t="s">
        <v>1077</v>
      </c>
      <c r="D7" s="75">
        <v>4</v>
      </c>
      <c r="E7" s="75">
        <v>58000</v>
      </c>
      <c r="F7" s="76">
        <f t="shared" ref="F7:F20" si="0">SUM(D7*E7)</f>
        <v>232000</v>
      </c>
      <c r="G7" s="77">
        <v>75000</v>
      </c>
      <c r="H7" s="75">
        <f>SUM(D7)</f>
        <v>4</v>
      </c>
      <c r="I7" s="76">
        <f t="shared" ref="I7:I20" si="1">SUM(G7*H7)</f>
        <v>300000</v>
      </c>
      <c r="J7" s="77">
        <f>SUM(I21-F21)</f>
        <v>1004600</v>
      </c>
      <c r="K7" s="77">
        <f>SUM(J7*40%)</f>
        <v>401840</v>
      </c>
      <c r="L7" s="77">
        <f>SUM(J7*60%)</f>
        <v>602760</v>
      </c>
    </row>
    <row r="8" ht="16" customHeight="1" spans="1:12">
      <c r="A8" s="73">
        <v>2</v>
      </c>
      <c r="B8" s="78" t="s">
        <v>1078</v>
      </c>
      <c r="C8" s="79" t="s">
        <v>1042</v>
      </c>
      <c r="D8" s="80">
        <v>2</v>
      </c>
      <c r="E8" s="80">
        <v>370000</v>
      </c>
      <c r="F8" s="76">
        <f t="shared" si="0"/>
        <v>740000</v>
      </c>
      <c r="G8" s="77">
        <v>420000</v>
      </c>
      <c r="H8" s="75">
        <f>SUM(D8)</f>
        <v>2</v>
      </c>
      <c r="I8" s="76">
        <f t="shared" si="1"/>
        <v>840000</v>
      </c>
      <c r="J8" s="77"/>
      <c r="K8" s="77"/>
      <c r="L8" s="77"/>
    </row>
    <row r="9" ht="16" customHeight="1" spans="1:12">
      <c r="A9" s="73">
        <v>3</v>
      </c>
      <c r="B9" s="78" t="s">
        <v>1037</v>
      </c>
      <c r="C9" s="79" t="s">
        <v>1042</v>
      </c>
      <c r="D9" s="80">
        <v>2</v>
      </c>
      <c r="E9" s="80">
        <v>157500</v>
      </c>
      <c r="F9" s="76">
        <f t="shared" si="0"/>
        <v>315000</v>
      </c>
      <c r="G9" s="77">
        <v>185000</v>
      </c>
      <c r="H9" s="75">
        <f>SUM(D9)</f>
        <v>2</v>
      </c>
      <c r="I9" s="76">
        <f t="shared" si="1"/>
        <v>370000</v>
      </c>
      <c r="J9" s="77"/>
      <c r="K9" s="77"/>
      <c r="L9" s="77"/>
    </row>
    <row r="10" ht="16" customHeight="1" spans="1:12">
      <c r="A10" s="73">
        <v>4</v>
      </c>
      <c r="B10" s="79" t="s">
        <v>1079</v>
      </c>
      <c r="C10" s="79" t="s">
        <v>1042</v>
      </c>
      <c r="D10" s="80">
        <v>7</v>
      </c>
      <c r="E10" s="80">
        <v>180000</v>
      </c>
      <c r="F10" s="76">
        <f t="shared" si="0"/>
        <v>1260000</v>
      </c>
      <c r="G10" s="77">
        <v>210000</v>
      </c>
      <c r="H10" s="75">
        <f>SUM(D10)</f>
        <v>7</v>
      </c>
      <c r="I10" s="76">
        <f t="shared" si="1"/>
        <v>1470000</v>
      </c>
      <c r="J10" s="77"/>
      <c r="K10" s="77"/>
      <c r="L10" s="77"/>
    </row>
    <row r="11" ht="16" customHeight="1" spans="1:12">
      <c r="A11" s="73">
        <v>5</v>
      </c>
      <c r="B11" s="79" t="s">
        <v>1081</v>
      </c>
      <c r="C11" s="79" t="s">
        <v>1042</v>
      </c>
      <c r="D11" s="77">
        <v>4</v>
      </c>
      <c r="E11" s="80">
        <v>52000</v>
      </c>
      <c r="F11" s="76">
        <f t="shared" si="0"/>
        <v>208000</v>
      </c>
      <c r="G11" s="77">
        <v>80000</v>
      </c>
      <c r="H11" s="75">
        <f>SUM(D11)</f>
        <v>4</v>
      </c>
      <c r="I11" s="76">
        <f t="shared" si="1"/>
        <v>320000</v>
      </c>
      <c r="J11" s="77"/>
      <c r="K11" s="77"/>
      <c r="L11" s="77"/>
    </row>
    <row r="12" ht="16" customHeight="1" spans="1:12">
      <c r="A12" s="73">
        <v>6</v>
      </c>
      <c r="B12" s="81" t="s">
        <v>1083</v>
      </c>
      <c r="C12" s="81" t="s">
        <v>1042</v>
      </c>
      <c r="D12" s="80">
        <v>3</v>
      </c>
      <c r="E12" s="80">
        <v>65000</v>
      </c>
      <c r="F12" s="76">
        <f t="shared" si="0"/>
        <v>195000</v>
      </c>
      <c r="G12" s="77">
        <v>95000</v>
      </c>
      <c r="H12" s="75">
        <v>3</v>
      </c>
      <c r="I12" s="76">
        <f t="shared" si="1"/>
        <v>285000</v>
      </c>
      <c r="J12" s="77"/>
      <c r="K12" s="77"/>
      <c r="L12" s="77"/>
    </row>
    <row r="13" s="59" customFormat="1" ht="16" customHeight="1" spans="1:12">
      <c r="A13" s="73">
        <v>8</v>
      </c>
      <c r="B13" s="82" t="s">
        <v>1084</v>
      </c>
      <c r="C13" s="82" t="s">
        <v>1085</v>
      </c>
      <c r="D13" s="83">
        <v>2</v>
      </c>
      <c r="E13" s="84">
        <v>55000</v>
      </c>
      <c r="F13" s="76">
        <f t="shared" si="0"/>
        <v>110000</v>
      </c>
      <c r="G13" s="83">
        <v>82500</v>
      </c>
      <c r="H13" s="75">
        <f>SUM(D13)</f>
        <v>2</v>
      </c>
      <c r="I13" s="76">
        <f t="shared" si="1"/>
        <v>165000</v>
      </c>
      <c r="J13" s="77"/>
      <c r="K13" s="77"/>
      <c r="L13" s="77"/>
    </row>
    <row r="14" s="59" customFormat="1" ht="16" customHeight="1" spans="1:12">
      <c r="A14" s="73">
        <v>10</v>
      </c>
      <c r="B14" s="82" t="s">
        <v>1087</v>
      </c>
      <c r="C14" s="82" t="s">
        <v>1042</v>
      </c>
      <c r="D14" s="83">
        <v>1</v>
      </c>
      <c r="E14" s="84">
        <v>30000</v>
      </c>
      <c r="F14" s="76">
        <f t="shared" si="0"/>
        <v>30000</v>
      </c>
      <c r="G14" s="83">
        <v>34500</v>
      </c>
      <c r="H14" s="75">
        <f t="shared" ref="H14:H20" si="2">SUM(D14)</f>
        <v>1</v>
      </c>
      <c r="I14" s="76">
        <f t="shared" si="1"/>
        <v>34500</v>
      </c>
      <c r="J14" s="77"/>
      <c r="K14" s="77"/>
      <c r="L14" s="77"/>
    </row>
    <row r="15" s="59" customFormat="1" ht="16" customHeight="1" spans="1:12">
      <c r="A15" s="73">
        <v>11</v>
      </c>
      <c r="B15" s="82" t="s">
        <v>1092</v>
      </c>
      <c r="C15" s="82" t="s">
        <v>1042</v>
      </c>
      <c r="D15" s="83">
        <v>1</v>
      </c>
      <c r="E15" s="84">
        <v>45000</v>
      </c>
      <c r="F15" s="76">
        <f t="shared" si="0"/>
        <v>45000</v>
      </c>
      <c r="G15" s="83">
        <v>75000</v>
      </c>
      <c r="H15" s="75">
        <f t="shared" si="2"/>
        <v>1</v>
      </c>
      <c r="I15" s="76">
        <f t="shared" si="1"/>
        <v>75000</v>
      </c>
      <c r="J15" s="77"/>
      <c r="K15" s="77"/>
      <c r="L15" s="77"/>
    </row>
    <row r="16" s="59" customFormat="1" ht="16" customHeight="1" spans="1:12">
      <c r="A16" s="73">
        <v>12</v>
      </c>
      <c r="B16" s="82" t="s">
        <v>1093</v>
      </c>
      <c r="C16" s="82" t="s">
        <v>1043</v>
      </c>
      <c r="D16" s="83">
        <v>3</v>
      </c>
      <c r="E16" s="84">
        <v>34800</v>
      </c>
      <c r="F16" s="76">
        <f t="shared" si="0"/>
        <v>104400</v>
      </c>
      <c r="G16" s="83">
        <v>52500</v>
      </c>
      <c r="H16" s="75">
        <f t="shared" si="2"/>
        <v>3</v>
      </c>
      <c r="I16" s="76">
        <f t="shared" si="1"/>
        <v>157500</v>
      </c>
      <c r="J16" s="77"/>
      <c r="K16" s="77"/>
      <c r="L16" s="77"/>
    </row>
    <row r="17" s="59" customFormat="1" ht="16" customHeight="1" spans="1:12">
      <c r="A17" s="73">
        <v>13</v>
      </c>
      <c r="B17" s="82" t="s">
        <v>1094</v>
      </c>
      <c r="C17" s="82" t="s">
        <v>1042</v>
      </c>
      <c r="D17" s="83">
        <v>2</v>
      </c>
      <c r="E17" s="84">
        <v>365000</v>
      </c>
      <c r="F17" s="76">
        <f t="shared" si="0"/>
        <v>730000</v>
      </c>
      <c r="G17" s="83">
        <v>410000</v>
      </c>
      <c r="H17" s="75">
        <f t="shared" si="2"/>
        <v>2</v>
      </c>
      <c r="I17" s="76">
        <f t="shared" si="1"/>
        <v>820000</v>
      </c>
      <c r="J17" s="77"/>
      <c r="K17" s="77"/>
      <c r="L17" s="77"/>
    </row>
    <row r="18" s="59" customFormat="1" ht="16" customHeight="1" spans="1:12">
      <c r="A18" s="73">
        <v>14</v>
      </c>
      <c r="B18" s="82" t="s">
        <v>1095</v>
      </c>
      <c r="C18" s="82" t="s">
        <v>1042</v>
      </c>
      <c r="D18" s="83">
        <v>2</v>
      </c>
      <c r="E18" s="84">
        <v>91500</v>
      </c>
      <c r="F18" s="76">
        <f t="shared" si="0"/>
        <v>183000</v>
      </c>
      <c r="G18" s="83">
        <v>135000</v>
      </c>
      <c r="H18" s="75">
        <f t="shared" si="2"/>
        <v>2</v>
      </c>
      <c r="I18" s="76">
        <f t="shared" si="1"/>
        <v>270000</v>
      </c>
      <c r="J18" s="77"/>
      <c r="K18" s="77"/>
      <c r="L18" s="77"/>
    </row>
    <row r="19" s="59" customFormat="1" ht="16" customHeight="1" spans="1:12">
      <c r="A19" s="73">
        <v>15</v>
      </c>
      <c r="B19" s="82" t="s">
        <v>1096</v>
      </c>
      <c r="C19" s="82" t="s">
        <v>1043</v>
      </c>
      <c r="D19" s="83">
        <v>2</v>
      </c>
      <c r="E19" s="84">
        <v>60000</v>
      </c>
      <c r="F19" s="76">
        <f t="shared" si="0"/>
        <v>120000</v>
      </c>
      <c r="G19" s="83">
        <v>75000</v>
      </c>
      <c r="H19" s="75">
        <f t="shared" si="2"/>
        <v>2</v>
      </c>
      <c r="I19" s="76">
        <f t="shared" si="1"/>
        <v>150000</v>
      </c>
      <c r="J19" s="77"/>
      <c r="K19" s="77"/>
      <c r="L19" s="77"/>
    </row>
    <row r="20" s="59" customFormat="1" ht="16" customHeight="1" spans="1:12">
      <c r="A20" s="73">
        <v>16</v>
      </c>
      <c r="B20" s="82" t="s">
        <v>1097</v>
      </c>
      <c r="C20" s="82" t="s">
        <v>1042</v>
      </c>
      <c r="D20" s="83">
        <v>1</v>
      </c>
      <c r="E20" s="84">
        <v>140000</v>
      </c>
      <c r="F20" s="76">
        <f t="shared" si="0"/>
        <v>140000</v>
      </c>
      <c r="G20" s="83">
        <v>160000</v>
      </c>
      <c r="H20" s="75">
        <f t="shared" si="2"/>
        <v>1</v>
      </c>
      <c r="I20" s="76">
        <f t="shared" si="1"/>
        <v>160000</v>
      </c>
      <c r="J20" s="77"/>
      <c r="K20" s="77"/>
      <c r="L20" s="77"/>
    </row>
    <row r="21" s="59" customFormat="1" ht="16" customHeight="1" spans="1:12">
      <c r="A21" s="85" t="s">
        <v>109</v>
      </c>
      <c r="B21" s="86"/>
      <c r="C21" s="86"/>
      <c r="D21" s="66">
        <f>SUM(D7:D20)</f>
        <v>36</v>
      </c>
      <c r="E21" s="87"/>
      <c r="F21" s="87">
        <f>SUM(F7:F20)</f>
        <v>4412400</v>
      </c>
      <c r="G21" s="66"/>
      <c r="H21" s="87">
        <f>SUM(H7:H20)</f>
        <v>36</v>
      </c>
      <c r="I21" s="87">
        <f>SUM(I7:I20)</f>
        <v>5417000</v>
      </c>
      <c r="J21" s="77"/>
      <c r="K21" s="77"/>
      <c r="L21" s="77"/>
    </row>
    <row r="23" spans="1:12">
      <c r="A23" s="88" t="s">
        <v>682</v>
      </c>
      <c r="B23" s="88"/>
      <c r="C23" s="88"/>
      <c r="D23" s="89"/>
      <c r="E23" s="88"/>
      <c r="F23" s="88"/>
      <c r="G23" s="88"/>
      <c r="H23" s="88"/>
      <c r="I23" s="88"/>
      <c r="J23" s="88"/>
      <c r="K23" s="88"/>
      <c r="L23" s="88"/>
    </row>
    <row r="24" spans="2:12">
      <c r="B24" s="88" t="s">
        <v>468</v>
      </c>
      <c r="C24" s="88"/>
      <c r="D24" s="89"/>
      <c r="E24" s="90"/>
      <c r="F24" s="88" t="s">
        <v>683</v>
      </c>
      <c r="G24" s="88"/>
      <c r="H24" s="88"/>
      <c r="I24" s="90"/>
      <c r="J24" s="90"/>
      <c r="K24" s="88" t="s">
        <v>467</v>
      </c>
      <c r="L24" s="88"/>
    </row>
    <row r="25" spans="2:12">
      <c r="B25" s="88" t="s">
        <v>684</v>
      </c>
      <c r="C25" s="88"/>
      <c r="D25" s="89"/>
      <c r="E25" s="90"/>
      <c r="F25" s="88" t="s">
        <v>685</v>
      </c>
      <c r="G25" s="88"/>
      <c r="H25" s="88"/>
      <c r="I25" s="97"/>
      <c r="J25" s="90"/>
      <c r="K25" s="88" t="s">
        <v>113</v>
      </c>
      <c r="L25" s="88"/>
    </row>
    <row r="26" spans="2:12">
      <c r="B26" s="90"/>
      <c r="C26" s="91"/>
      <c r="D26" s="92"/>
      <c r="E26" s="93"/>
      <c r="F26" s="94"/>
      <c r="G26" s="91"/>
      <c r="H26" s="91"/>
      <c r="I26" s="97"/>
      <c r="J26" s="104"/>
      <c r="K26" s="104"/>
      <c r="L26" s="104"/>
    </row>
    <row r="27" spans="2:12">
      <c r="B27" s="91"/>
      <c r="C27" s="95"/>
      <c r="D27" s="96"/>
      <c r="E27" s="95"/>
      <c r="F27" s="97"/>
      <c r="G27" s="91"/>
      <c r="H27" s="91"/>
      <c r="I27" s="97"/>
      <c r="J27" s="104"/>
      <c r="K27" s="104"/>
      <c r="L27" s="104"/>
    </row>
    <row r="28" spans="2:12">
      <c r="B28" s="91"/>
      <c r="C28" s="95"/>
      <c r="D28" s="96"/>
      <c r="E28" s="95"/>
      <c r="F28" s="97"/>
      <c r="G28" s="91"/>
      <c r="H28" s="91"/>
      <c r="I28" s="97"/>
      <c r="J28" s="104"/>
      <c r="K28" s="104"/>
      <c r="L28" s="104"/>
    </row>
    <row r="29" spans="2:12">
      <c r="B29" s="98" t="s">
        <v>1098</v>
      </c>
      <c r="C29" s="98"/>
      <c r="D29" s="99"/>
      <c r="E29" s="97"/>
      <c r="F29" s="100" t="s">
        <v>176</v>
      </c>
      <c r="G29" s="100"/>
      <c r="H29" s="100"/>
      <c r="I29" s="90"/>
      <c r="J29" s="97"/>
      <c r="K29" s="98" t="s">
        <v>115</v>
      </c>
      <c r="L29" s="98"/>
    </row>
  </sheetData>
  <mergeCells count="23">
    <mergeCell ref="A1:L1"/>
    <mergeCell ref="A2:L2"/>
    <mergeCell ref="A3:L3"/>
    <mergeCell ref="C5:F5"/>
    <mergeCell ref="G5:I5"/>
    <mergeCell ref="K5:L5"/>
    <mergeCell ref="A21:B21"/>
    <mergeCell ref="A23:L23"/>
    <mergeCell ref="B24:C24"/>
    <mergeCell ref="F24:H24"/>
    <mergeCell ref="K24:L24"/>
    <mergeCell ref="B25:C25"/>
    <mergeCell ref="F25:H25"/>
    <mergeCell ref="K25:L25"/>
    <mergeCell ref="B29:C29"/>
    <mergeCell ref="F29:H29"/>
    <mergeCell ref="K29:L29"/>
    <mergeCell ref="A5:A6"/>
    <mergeCell ref="B5:B6"/>
    <mergeCell ref="J5:J6"/>
    <mergeCell ref="J7:J21"/>
    <mergeCell ref="K7:K21"/>
    <mergeCell ref="L7:L21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zoomScale="80" zoomScaleNormal="80" zoomScaleSheetLayoutView="90" topLeftCell="A60" workbookViewId="0">
      <selection activeCell="N71" sqref="N71"/>
    </sheetView>
  </sheetViews>
  <sheetFormatPr defaultColWidth="9" defaultRowHeight="14.5"/>
  <cols>
    <col min="1" max="1" width="7.31818181818182" style="5" customWidth="1"/>
    <col min="2" max="2" width="13.3909090909091" style="6" customWidth="1"/>
    <col min="3" max="3" width="35.2636363636364" style="6" customWidth="1"/>
    <col min="4" max="4" width="7.72727272727273" style="6" customWidth="1"/>
    <col min="5" max="7" width="7.72727272727273" style="5" customWidth="1"/>
    <col min="8" max="8" width="10.2727272727273" style="5" customWidth="1"/>
    <col min="9" max="9" width="13.4545454545455" style="5" customWidth="1"/>
    <col min="10" max="11" width="11.5454545454545" style="6" customWidth="1"/>
    <col min="12" max="12" width="13.7272727272727" style="6" customWidth="1"/>
    <col min="13" max="14" width="14" style="6" customWidth="1"/>
    <col min="15" max="15" width="13.2909090909091" style="6" customWidth="1"/>
    <col min="16" max="16384" width="9" style="6"/>
  </cols>
  <sheetData>
    <row r="1" s="1" customFormat="1" ht="20.25" customHeight="1" spans="1:15">
      <c r="A1" s="7" t="s">
        <v>478</v>
      </c>
      <c r="B1" s="7" t="s">
        <v>700</v>
      </c>
      <c r="C1" s="7" t="s">
        <v>1099</v>
      </c>
      <c r="D1" s="8" t="s">
        <v>1100</v>
      </c>
      <c r="E1" s="9"/>
      <c r="F1" s="9"/>
      <c r="G1" s="9"/>
      <c r="H1" s="9"/>
      <c r="I1" s="29"/>
      <c r="J1" s="30" t="s">
        <v>1101</v>
      </c>
      <c r="K1" s="31"/>
      <c r="L1" s="31"/>
      <c r="M1" s="32" t="s">
        <v>961</v>
      </c>
      <c r="N1" s="33" t="s">
        <v>1102</v>
      </c>
      <c r="O1" s="34" t="s">
        <v>1103</v>
      </c>
    </row>
    <row r="2" s="1" customFormat="1" ht="20.25" customHeight="1" spans="1:15">
      <c r="A2" s="10"/>
      <c r="B2" s="10"/>
      <c r="C2" s="10"/>
      <c r="D2" s="11" t="s">
        <v>1104</v>
      </c>
      <c r="E2" s="11" t="s">
        <v>1105</v>
      </c>
      <c r="F2" s="12" t="s">
        <v>1106</v>
      </c>
      <c r="G2" s="11" t="s">
        <v>940</v>
      </c>
      <c r="H2" s="8" t="s">
        <v>692</v>
      </c>
      <c r="I2" s="29"/>
      <c r="J2" s="30" t="s">
        <v>951</v>
      </c>
      <c r="K2" s="31"/>
      <c r="L2" s="31"/>
      <c r="M2" s="32"/>
      <c r="N2" s="35"/>
      <c r="O2" s="36"/>
    </row>
    <row r="3" s="1" customFormat="1" ht="20.25" customHeight="1" spans="1:15">
      <c r="A3" s="13"/>
      <c r="B3" s="13"/>
      <c r="C3" s="13"/>
      <c r="D3" s="14"/>
      <c r="E3" s="14"/>
      <c r="F3" s="14"/>
      <c r="G3" s="14"/>
      <c r="H3" s="14" t="s">
        <v>940</v>
      </c>
      <c r="I3" s="14" t="s">
        <v>703</v>
      </c>
      <c r="J3" s="37" t="s">
        <v>1107</v>
      </c>
      <c r="K3" s="38" t="s">
        <v>1108</v>
      </c>
      <c r="L3" s="39" t="s">
        <v>1109</v>
      </c>
      <c r="M3" s="32"/>
      <c r="N3" s="40"/>
      <c r="O3" s="41"/>
    </row>
    <row r="4" s="2" customFormat="1" ht="21" customHeight="1" spans="1:16">
      <c r="A4" s="15">
        <v>1</v>
      </c>
      <c r="B4" s="16">
        <v>46002</v>
      </c>
      <c r="C4" s="17" t="s">
        <v>1110</v>
      </c>
      <c r="D4" s="15">
        <v>1</v>
      </c>
      <c r="E4" s="15">
        <v>1</v>
      </c>
      <c r="F4" s="15">
        <f t="shared" ref="F4:F67" si="0">SUM(D4-E4)</f>
        <v>0</v>
      </c>
      <c r="G4" s="15"/>
      <c r="H4" s="18">
        <v>200640</v>
      </c>
      <c r="I4" s="42">
        <f t="shared" ref="I4:I67" si="1">SUM(E4*H4)</f>
        <v>200640</v>
      </c>
      <c r="J4" s="15">
        <v>1</v>
      </c>
      <c r="K4" s="43">
        <v>235000</v>
      </c>
      <c r="L4" s="44">
        <f t="shared" ref="L4:L67" si="2">SUM(J4*K4)</f>
        <v>235000</v>
      </c>
      <c r="M4" s="45">
        <f t="shared" ref="M4:M67" si="3">SUM(L4-I4)</f>
        <v>34360</v>
      </c>
      <c r="N4" s="45">
        <f t="shared" ref="N4:N67" si="4">SUM(M4*70%)</f>
        <v>24052</v>
      </c>
      <c r="O4" s="45">
        <f t="shared" ref="O4:O67" si="5">SUM(M4*30%)</f>
        <v>10308</v>
      </c>
      <c r="P4" s="46"/>
    </row>
    <row r="5" s="2" customFormat="1" ht="21" customHeight="1" spans="1:16">
      <c r="A5" s="15">
        <v>2</v>
      </c>
      <c r="B5" s="16">
        <v>46002</v>
      </c>
      <c r="C5" s="17" t="s">
        <v>1111</v>
      </c>
      <c r="D5" s="15">
        <v>3</v>
      </c>
      <c r="E5" s="15"/>
      <c r="F5" s="15">
        <f t="shared" si="0"/>
        <v>3</v>
      </c>
      <c r="G5" s="15"/>
      <c r="H5" s="18">
        <v>256880</v>
      </c>
      <c r="I5" s="42">
        <f t="shared" si="1"/>
        <v>0</v>
      </c>
      <c r="J5" s="15"/>
      <c r="K5" s="43">
        <v>295000</v>
      </c>
      <c r="L5" s="44">
        <f t="shared" si="2"/>
        <v>0</v>
      </c>
      <c r="M5" s="45">
        <f t="shared" si="3"/>
        <v>0</v>
      </c>
      <c r="N5" s="45">
        <f t="shared" si="4"/>
        <v>0</v>
      </c>
      <c r="O5" s="45">
        <f t="shared" si="5"/>
        <v>0</v>
      </c>
      <c r="P5" s="46"/>
    </row>
    <row r="6" s="2" customFormat="1" ht="21" customHeight="1" spans="1:16">
      <c r="A6" s="15">
        <v>3</v>
      </c>
      <c r="B6" s="16">
        <v>46002</v>
      </c>
      <c r="C6" s="17" t="s">
        <v>1112</v>
      </c>
      <c r="D6" s="15">
        <v>2</v>
      </c>
      <c r="E6" s="15">
        <v>1</v>
      </c>
      <c r="F6" s="15">
        <f t="shared" si="0"/>
        <v>1</v>
      </c>
      <c r="G6" s="15"/>
      <c r="H6" s="18">
        <v>196000</v>
      </c>
      <c r="I6" s="42">
        <f t="shared" si="1"/>
        <v>196000</v>
      </c>
      <c r="J6" s="15">
        <v>1</v>
      </c>
      <c r="K6" s="43">
        <v>230000</v>
      </c>
      <c r="L6" s="44">
        <f t="shared" si="2"/>
        <v>230000</v>
      </c>
      <c r="M6" s="45">
        <f t="shared" si="3"/>
        <v>34000</v>
      </c>
      <c r="N6" s="45">
        <f t="shared" si="4"/>
        <v>23800</v>
      </c>
      <c r="O6" s="45">
        <f t="shared" si="5"/>
        <v>10200</v>
      </c>
      <c r="P6" s="46"/>
    </row>
    <row r="7" s="3" customFormat="1" ht="21" customHeight="1" spans="1:16">
      <c r="A7" s="15">
        <v>4</v>
      </c>
      <c r="B7" s="16">
        <v>46002</v>
      </c>
      <c r="C7" s="17" t="s">
        <v>1113</v>
      </c>
      <c r="D7" s="19">
        <v>3</v>
      </c>
      <c r="E7" s="19"/>
      <c r="F7" s="15">
        <f t="shared" si="0"/>
        <v>3</v>
      </c>
      <c r="G7" s="19"/>
      <c r="H7" s="20">
        <v>312360</v>
      </c>
      <c r="I7" s="42">
        <f t="shared" si="1"/>
        <v>0</v>
      </c>
      <c r="J7" s="19"/>
      <c r="K7" s="24">
        <v>347000</v>
      </c>
      <c r="L7" s="44">
        <f t="shared" si="2"/>
        <v>0</v>
      </c>
      <c r="M7" s="45">
        <f t="shared" si="3"/>
        <v>0</v>
      </c>
      <c r="N7" s="45">
        <f t="shared" si="4"/>
        <v>0</v>
      </c>
      <c r="O7" s="45">
        <f t="shared" si="5"/>
        <v>0</v>
      </c>
      <c r="P7" s="46"/>
    </row>
    <row r="8" s="3" customFormat="1" ht="21" customHeight="1" spans="1:16">
      <c r="A8" s="15">
        <v>5</v>
      </c>
      <c r="B8" s="16">
        <v>46002</v>
      </c>
      <c r="C8" s="17" t="s">
        <v>1114</v>
      </c>
      <c r="D8" s="19">
        <v>3</v>
      </c>
      <c r="E8" s="19"/>
      <c r="F8" s="15">
        <f t="shared" si="0"/>
        <v>3</v>
      </c>
      <c r="G8" s="19"/>
      <c r="H8" s="20">
        <v>336680</v>
      </c>
      <c r="I8" s="42">
        <f t="shared" si="1"/>
        <v>0</v>
      </c>
      <c r="J8" s="19"/>
      <c r="K8" s="24">
        <v>370000</v>
      </c>
      <c r="L8" s="44">
        <f t="shared" si="2"/>
        <v>0</v>
      </c>
      <c r="M8" s="45">
        <f t="shared" si="3"/>
        <v>0</v>
      </c>
      <c r="N8" s="45">
        <f t="shared" si="4"/>
        <v>0</v>
      </c>
      <c r="O8" s="45">
        <f t="shared" si="5"/>
        <v>0</v>
      </c>
      <c r="P8" s="46"/>
    </row>
    <row r="9" s="4" customFormat="1" ht="21" customHeight="1" spans="1:16">
      <c r="A9" s="15">
        <v>6</v>
      </c>
      <c r="B9" s="16">
        <v>46002</v>
      </c>
      <c r="C9" s="17" t="s">
        <v>1115</v>
      </c>
      <c r="D9" s="19">
        <v>2</v>
      </c>
      <c r="E9" s="19"/>
      <c r="F9" s="15">
        <f t="shared" si="0"/>
        <v>2</v>
      </c>
      <c r="G9" s="19"/>
      <c r="H9" s="21">
        <v>409040</v>
      </c>
      <c r="I9" s="42">
        <f t="shared" si="1"/>
        <v>0</v>
      </c>
      <c r="J9" s="19"/>
      <c r="K9" s="22">
        <v>450000</v>
      </c>
      <c r="L9" s="44">
        <f t="shared" si="2"/>
        <v>0</v>
      </c>
      <c r="M9" s="45">
        <f t="shared" si="3"/>
        <v>0</v>
      </c>
      <c r="N9" s="45">
        <f t="shared" si="4"/>
        <v>0</v>
      </c>
      <c r="O9" s="45">
        <f t="shared" si="5"/>
        <v>0</v>
      </c>
      <c r="P9" s="46"/>
    </row>
    <row r="10" s="4" customFormat="1" ht="21" customHeight="1" spans="1:16">
      <c r="A10" s="15">
        <v>7</v>
      </c>
      <c r="B10" s="16">
        <v>46002</v>
      </c>
      <c r="C10" s="17" t="s">
        <v>1116</v>
      </c>
      <c r="D10" s="19">
        <v>5</v>
      </c>
      <c r="E10" s="19"/>
      <c r="F10" s="15">
        <f t="shared" si="0"/>
        <v>5</v>
      </c>
      <c r="G10" s="19"/>
      <c r="H10" s="22">
        <v>181040</v>
      </c>
      <c r="I10" s="42">
        <f t="shared" si="1"/>
        <v>0</v>
      </c>
      <c r="J10" s="19"/>
      <c r="K10" s="22">
        <v>215000</v>
      </c>
      <c r="L10" s="44">
        <f t="shared" si="2"/>
        <v>0</v>
      </c>
      <c r="M10" s="45">
        <f t="shared" si="3"/>
        <v>0</v>
      </c>
      <c r="N10" s="45">
        <f t="shared" si="4"/>
        <v>0</v>
      </c>
      <c r="O10" s="45">
        <f t="shared" si="5"/>
        <v>0</v>
      </c>
      <c r="P10" s="46"/>
    </row>
    <row r="11" s="4" customFormat="1" ht="21" customHeight="1" spans="1:16">
      <c r="A11" s="15">
        <v>8</v>
      </c>
      <c r="B11" s="16">
        <v>46002</v>
      </c>
      <c r="C11" s="17" t="s">
        <v>1117</v>
      </c>
      <c r="D11" s="19">
        <v>5</v>
      </c>
      <c r="E11" s="19"/>
      <c r="F11" s="15">
        <f t="shared" si="0"/>
        <v>5</v>
      </c>
      <c r="G11" s="19"/>
      <c r="H11" s="22">
        <v>216080</v>
      </c>
      <c r="I11" s="42">
        <f t="shared" si="1"/>
        <v>0</v>
      </c>
      <c r="J11" s="19"/>
      <c r="K11" s="22">
        <v>240000</v>
      </c>
      <c r="L11" s="44">
        <f t="shared" si="2"/>
        <v>0</v>
      </c>
      <c r="M11" s="45">
        <f t="shared" si="3"/>
        <v>0</v>
      </c>
      <c r="N11" s="45">
        <f t="shared" si="4"/>
        <v>0</v>
      </c>
      <c r="O11" s="45">
        <f t="shared" si="5"/>
        <v>0</v>
      </c>
      <c r="P11" s="46"/>
    </row>
    <row r="12" s="4" customFormat="1" ht="21" customHeight="1" spans="1:16">
      <c r="A12" s="15">
        <v>9</v>
      </c>
      <c r="B12" s="16">
        <v>46002</v>
      </c>
      <c r="C12" s="17" t="s">
        <v>1118</v>
      </c>
      <c r="D12" s="19">
        <v>5</v>
      </c>
      <c r="E12" s="19"/>
      <c r="F12" s="15">
        <f t="shared" si="0"/>
        <v>5</v>
      </c>
      <c r="G12" s="19"/>
      <c r="H12" s="22">
        <v>188340</v>
      </c>
      <c r="I12" s="42">
        <f t="shared" si="1"/>
        <v>0</v>
      </c>
      <c r="J12" s="19"/>
      <c r="K12" s="22">
        <v>230000</v>
      </c>
      <c r="L12" s="44">
        <f t="shared" si="2"/>
        <v>0</v>
      </c>
      <c r="M12" s="45">
        <f t="shared" si="3"/>
        <v>0</v>
      </c>
      <c r="N12" s="45">
        <f t="shared" si="4"/>
        <v>0</v>
      </c>
      <c r="O12" s="45">
        <f t="shared" si="5"/>
        <v>0</v>
      </c>
      <c r="P12" s="46"/>
    </row>
    <row r="13" s="4" customFormat="1" ht="21" customHeight="1" spans="1:16">
      <c r="A13" s="15">
        <v>10</v>
      </c>
      <c r="B13" s="16">
        <v>46002</v>
      </c>
      <c r="C13" s="17" t="s">
        <v>1119</v>
      </c>
      <c r="D13" s="19">
        <v>5</v>
      </c>
      <c r="E13" s="19"/>
      <c r="F13" s="15">
        <f t="shared" si="0"/>
        <v>5</v>
      </c>
      <c r="G13" s="19"/>
      <c r="H13" s="22">
        <v>218270</v>
      </c>
      <c r="I13" s="42">
        <f t="shared" si="1"/>
        <v>0</v>
      </c>
      <c r="J13" s="19"/>
      <c r="K13" s="22">
        <v>245000</v>
      </c>
      <c r="L13" s="44">
        <f t="shared" si="2"/>
        <v>0</v>
      </c>
      <c r="M13" s="45">
        <f t="shared" si="3"/>
        <v>0</v>
      </c>
      <c r="N13" s="45">
        <f t="shared" si="4"/>
        <v>0</v>
      </c>
      <c r="O13" s="45">
        <f t="shared" si="5"/>
        <v>0</v>
      </c>
      <c r="P13" s="46"/>
    </row>
    <row r="14" s="4" customFormat="1" ht="21" customHeight="1" spans="1:16">
      <c r="A14" s="15">
        <v>11</v>
      </c>
      <c r="B14" s="16">
        <v>46002</v>
      </c>
      <c r="C14" s="17" t="s">
        <v>1120</v>
      </c>
      <c r="D14" s="19">
        <v>5</v>
      </c>
      <c r="E14" s="19"/>
      <c r="F14" s="15">
        <f t="shared" si="0"/>
        <v>5</v>
      </c>
      <c r="G14" s="19"/>
      <c r="H14" s="22">
        <v>248200</v>
      </c>
      <c r="I14" s="42">
        <f t="shared" si="1"/>
        <v>0</v>
      </c>
      <c r="J14" s="19"/>
      <c r="K14" s="22">
        <v>275000</v>
      </c>
      <c r="L14" s="44">
        <f t="shared" si="2"/>
        <v>0</v>
      </c>
      <c r="M14" s="45">
        <f t="shared" si="3"/>
        <v>0</v>
      </c>
      <c r="N14" s="45">
        <f t="shared" si="4"/>
        <v>0</v>
      </c>
      <c r="O14" s="45">
        <f t="shared" si="5"/>
        <v>0</v>
      </c>
      <c r="P14" s="46"/>
    </row>
    <row r="15" s="4" customFormat="1" ht="21" customHeight="1" spans="1:16">
      <c r="A15" s="15">
        <v>12</v>
      </c>
      <c r="B15" s="16">
        <v>46002</v>
      </c>
      <c r="C15" s="23" t="s">
        <v>1121</v>
      </c>
      <c r="D15" s="19">
        <v>10</v>
      </c>
      <c r="E15" s="19"/>
      <c r="F15" s="15">
        <f t="shared" si="0"/>
        <v>10</v>
      </c>
      <c r="G15" s="19"/>
      <c r="H15" s="22">
        <v>57500</v>
      </c>
      <c r="I15" s="42">
        <f t="shared" si="1"/>
        <v>0</v>
      </c>
      <c r="J15" s="19"/>
      <c r="K15" s="22">
        <v>77000</v>
      </c>
      <c r="L15" s="44">
        <f t="shared" si="2"/>
        <v>0</v>
      </c>
      <c r="M15" s="45">
        <f t="shared" si="3"/>
        <v>0</v>
      </c>
      <c r="N15" s="45">
        <f t="shared" si="4"/>
        <v>0</v>
      </c>
      <c r="O15" s="45">
        <f t="shared" si="5"/>
        <v>0</v>
      </c>
      <c r="P15" s="46"/>
    </row>
    <row r="16" s="4" customFormat="1" ht="21" customHeight="1" spans="1:16">
      <c r="A16" s="15">
        <v>13</v>
      </c>
      <c r="B16" s="16">
        <v>46002</v>
      </c>
      <c r="C16" s="23" t="s">
        <v>1122</v>
      </c>
      <c r="D16" s="19">
        <v>10</v>
      </c>
      <c r="E16" s="19"/>
      <c r="F16" s="15">
        <f t="shared" si="0"/>
        <v>10</v>
      </c>
      <c r="G16" s="19"/>
      <c r="H16" s="22">
        <v>57500</v>
      </c>
      <c r="I16" s="42">
        <f t="shared" si="1"/>
        <v>0</v>
      </c>
      <c r="J16" s="19"/>
      <c r="K16" s="22">
        <v>77000</v>
      </c>
      <c r="L16" s="44">
        <f t="shared" si="2"/>
        <v>0</v>
      </c>
      <c r="M16" s="45">
        <f t="shared" si="3"/>
        <v>0</v>
      </c>
      <c r="N16" s="45">
        <f t="shared" si="4"/>
        <v>0</v>
      </c>
      <c r="O16" s="45">
        <f t="shared" si="5"/>
        <v>0</v>
      </c>
      <c r="P16" s="46"/>
    </row>
    <row r="17" s="4" customFormat="1" ht="21" customHeight="1" spans="1:16">
      <c r="A17" s="15">
        <v>14</v>
      </c>
      <c r="B17" s="16">
        <v>46002</v>
      </c>
      <c r="C17" s="23" t="s">
        <v>1123</v>
      </c>
      <c r="D17" s="19">
        <v>10</v>
      </c>
      <c r="E17" s="19"/>
      <c r="F17" s="15">
        <f t="shared" si="0"/>
        <v>10</v>
      </c>
      <c r="G17" s="19"/>
      <c r="H17" s="22">
        <v>120000</v>
      </c>
      <c r="I17" s="42">
        <f t="shared" si="1"/>
        <v>0</v>
      </c>
      <c r="J17" s="19"/>
      <c r="K17" s="22">
        <v>145000</v>
      </c>
      <c r="L17" s="44">
        <f t="shared" si="2"/>
        <v>0</v>
      </c>
      <c r="M17" s="45">
        <f t="shared" si="3"/>
        <v>0</v>
      </c>
      <c r="N17" s="45">
        <f t="shared" si="4"/>
        <v>0</v>
      </c>
      <c r="O17" s="45">
        <f t="shared" si="5"/>
        <v>0</v>
      </c>
      <c r="P17" s="46"/>
    </row>
    <row r="18" s="4" customFormat="1" ht="21" customHeight="1" spans="1:16">
      <c r="A18" s="15">
        <v>15</v>
      </c>
      <c r="B18" s="16">
        <v>46002</v>
      </c>
      <c r="C18" s="23" t="s">
        <v>1124</v>
      </c>
      <c r="D18" s="19">
        <v>10</v>
      </c>
      <c r="E18" s="19"/>
      <c r="F18" s="15">
        <f t="shared" si="0"/>
        <v>10</v>
      </c>
      <c r="G18" s="19"/>
      <c r="H18" s="22">
        <v>62000</v>
      </c>
      <c r="I18" s="42">
        <f t="shared" si="1"/>
        <v>0</v>
      </c>
      <c r="J18" s="19"/>
      <c r="K18" s="22">
        <v>80000</v>
      </c>
      <c r="L18" s="44">
        <f t="shared" si="2"/>
        <v>0</v>
      </c>
      <c r="M18" s="45">
        <f t="shared" si="3"/>
        <v>0</v>
      </c>
      <c r="N18" s="45">
        <f t="shared" si="4"/>
        <v>0</v>
      </c>
      <c r="O18" s="45">
        <f t="shared" si="5"/>
        <v>0</v>
      </c>
      <c r="P18" s="46"/>
    </row>
    <row r="19" s="4" customFormat="1" ht="21" customHeight="1" spans="1:16">
      <c r="A19" s="15">
        <v>16</v>
      </c>
      <c r="B19" s="16">
        <v>46002</v>
      </c>
      <c r="C19" s="23" t="s">
        <v>1125</v>
      </c>
      <c r="D19" s="19">
        <v>9</v>
      </c>
      <c r="E19" s="19"/>
      <c r="F19" s="15">
        <f t="shared" si="0"/>
        <v>9</v>
      </c>
      <c r="G19" s="19"/>
      <c r="H19" s="22">
        <v>99000</v>
      </c>
      <c r="I19" s="42">
        <f t="shared" si="1"/>
        <v>0</v>
      </c>
      <c r="J19" s="19"/>
      <c r="K19" s="22">
        <v>120000</v>
      </c>
      <c r="L19" s="44">
        <f t="shared" si="2"/>
        <v>0</v>
      </c>
      <c r="M19" s="45">
        <f t="shared" si="3"/>
        <v>0</v>
      </c>
      <c r="N19" s="45">
        <f t="shared" si="4"/>
        <v>0</v>
      </c>
      <c r="O19" s="45">
        <f t="shared" si="5"/>
        <v>0</v>
      </c>
      <c r="P19" s="46"/>
    </row>
    <row r="20" s="4" customFormat="1" ht="21" customHeight="1" spans="1:16">
      <c r="A20" s="15">
        <v>17</v>
      </c>
      <c r="B20" s="16">
        <v>46002</v>
      </c>
      <c r="C20" s="23" t="s">
        <v>1126</v>
      </c>
      <c r="D20" s="19">
        <v>10</v>
      </c>
      <c r="E20" s="19"/>
      <c r="F20" s="15">
        <f t="shared" si="0"/>
        <v>10</v>
      </c>
      <c r="G20" s="19"/>
      <c r="H20" s="22">
        <v>96000</v>
      </c>
      <c r="I20" s="42">
        <f t="shared" si="1"/>
        <v>0</v>
      </c>
      <c r="J20" s="19"/>
      <c r="K20" s="22">
        <v>120000</v>
      </c>
      <c r="L20" s="44">
        <f t="shared" si="2"/>
        <v>0</v>
      </c>
      <c r="M20" s="45">
        <f t="shared" si="3"/>
        <v>0</v>
      </c>
      <c r="N20" s="45">
        <f t="shared" si="4"/>
        <v>0</v>
      </c>
      <c r="O20" s="45">
        <f t="shared" si="5"/>
        <v>0</v>
      </c>
      <c r="P20" s="46"/>
    </row>
    <row r="21" s="4" customFormat="1" ht="21" customHeight="1" spans="1:16">
      <c r="A21" s="15">
        <v>18</v>
      </c>
      <c r="B21" s="16">
        <v>46002</v>
      </c>
      <c r="C21" s="23" t="s">
        <v>1127</v>
      </c>
      <c r="D21" s="19">
        <v>10</v>
      </c>
      <c r="E21" s="19"/>
      <c r="F21" s="15">
        <f t="shared" si="0"/>
        <v>10</v>
      </c>
      <c r="G21" s="19"/>
      <c r="H21" s="24">
        <v>77500</v>
      </c>
      <c r="I21" s="42">
        <f t="shared" si="1"/>
        <v>0</v>
      </c>
      <c r="J21" s="19"/>
      <c r="K21" s="24">
        <v>100000</v>
      </c>
      <c r="L21" s="44">
        <f t="shared" si="2"/>
        <v>0</v>
      </c>
      <c r="M21" s="45">
        <f t="shared" si="3"/>
        <v>0</v>
      </c>
      <c r="N21" s="45">
        <f t="shared" si="4"/>
        <v>0</v>
      </c>
      <c r="O21" s="45">
        <f t="shared" si="5"/>
        <v>0</v>
      </c>
      <c r="P21" s="46"/>
    </row>
    <row r="22" s="4" customFormat="1" ht="21" customHeight="1" spans="1:16">
      <c r="A22" s="15">
        <v>19</v>
      </c>
      <c r="B22" s="16">
        <v>46002</v>
      </c>
      <c r="C22" s="23" t="s">
        <v>1128</v>
      </c>
      <c r="D22" s="19">
        <v>10</v>
      </c>
      <c r="E22" s="25"/>
      <c r="F22" s="15">
        <f t="shared" si="0"/>
        <v>10</v>
      </c>
      <c r="G22" s="25"/>
      <c r="H22" s="26">
        <v>79000</v>
      </c>
      <c r="I22" s="42">
        <f t="shared" si="1"/>
        <v>0</v>
      </c>
      <c r="J22" s="25"/>
      <c r="K22" s="26">
        <v>115000</v>
      </c>
      <c r="L22" s="44">
        <f t="shared" si="2"/>
        <v>0</v>
      </c>
      <c r="M22" s="45">
        <f t="shared" si="3"/>
        <v>0</v>
      </c>
      <c r="N22" s="45">
        <f t="shared" si="4"/>
        <v>0</v>
      </c>
      <c r="O22" s="45">
        <f t="shared" si="5"/>
        <v>0</v>
      </c>
      <c r="P22" s="46"/>
    </row>
    <row r="23" s="4" customFormat="1" ht="21" customHeight="1" spans="1:16">
      <c r="A23" s="15">
        <v>20</v>
      </c>
      <c r="B23" s="16">
        <v>46002</v>
      </c>
      <c r="C23" s="27" t="s">
        <v>1129</v>
      </c>
      <c r="D23" s="25">
        <v>19</v>
      </c>
      <c r="E23" s="25"/>
      <c r="F23" s="15">
        <f t="shared" si="0"/>
        <v>19</v>
      </c>
      <c r="G23" s="25"/>
      <c r="H23" s="26">
        <v>10000</v>
      </c>
      <c r="I23" s="42">
        <f t="shared" si="1"/>
        <v>0</v>
      </c>
      <c r="J23" s="25"/>
      <c r="K23" s="26">
        <v>15000</v>
      </c>
      <c r="L23" s="44">
        <f t="shared" si="2"/>
        <v>0</v>
      </c>
      <c r="M23" s="45">
        <f t="shared" si="3"/>
        <v>0</v>
      </c>
      <c r="N23" s="45">
        <f t="shared" si="4"/>
        <v>0</v>
      </c>
      <c r="O23" s="45">
        <f t="shared" si="5"/>
        <v>0</v>
      </c>
      <c r="P23" s="46"/>
    </row>
    <row r="24" s="4" customFormat="1" ht="21" customHeight="1" spans="1:16">
      <c r="A24" s="15">
        <v>21</v>
      </c>
      <c r="B24" s="16">
        <v>46002</v>
      </c>
      <c r="C24" s="23" t="s">
        <v>1130</v>
      </c>
      <c r="D24" s="19">
        <v>20</v>
      </c>
      <c r="E24" s="19"/>
      <c r="F24" s="15">
        <f t="shared" si="0"/>
        <v>20</v>
      </c>
      <c r="G24" s="19"/>
      <c r="H24" s="24">
        <v>10000</v>
      </c>
      <c r="I24" s="42">
        <f t="shared" si="1"/>
        <v>0</v>
      </c>
      <c r="J24" s="19"/>
      <c r="K24" s="24">
        <v>15000</v>
      </c>
      <c r="L24" s="44">
        <f t="shared" si="2"/>
        <v>0</v>
      </c>
      <c r="M24" s="45">
        <f t="shared" si="3"/>
        <v>0</v>
      </c>
      <c r="N24" s="45">
        <f t="shared" si="4"/>
        <v>0</v>
      </c>
      <c r="O24" s="45">
        <f t="shared" si="5"/>
        <v>0</v>
      </c>
      <c r="P24" s="46"/>
    </row>
    <row r="25" s="4" customFormat="1" ht="21" customHeight="1" spans="1:16">
      <c r="A25" s="15">
        <v>22</v>
      </c>
      <c r="B25" s="16">
        <v>46002</v>
      </c>
      <c r="C25" s="27" t="s">
        <v>1131</v>
      </c>
      <c r="D25" s="19">
        <v>20</v>
      </c>
      <c r="E25" s="19"/>
      <c r="F25" s="15">
        <f t="shared" si="0"/>
        <v>20</v>
      </c>
      <c r="G25" s="19"/>
      <c r="H25" s="26">
        <v>10000</v>
      </c>
      <c r="I25" s="42">
        <f t="shared" si="1"/>
        <v>0</v>
      </c>
      <c r="J25" s="19"/>
      <c r="K25" s="24">
        <v>15000</v>
      </c>
      <c r="L25" s="44">
        <f t="shared" si="2"/>
        <v>0</v>
      </c>
      <c r="M25" s="45">
        <f t="shared" si="3"/>
        <v>0</v>
      </c>
      <c r="N25" s="45">
        <f t="shared" si="4"/>
        <v>0</v>
      </c>
      <c r="O25" s="45">
        <f t="shared" si="5"/>
        <v>0</v>
      </c>
      <c r="P25" s="46"/>
    </row>
    <row r="26" s="4" customFormat="1" ht="21" customHeight="1" spans="1:16">
      <c r="A26" s="15">
        <v>23</v>
      </c>
      <c r="B26" s="16">
        <v>46002</v>
      </c>
      <c r="C26" s="27" t="s">
        <v>1132</v>
      </c>
      <c r="D26" s="19">
        <v>20</v>
      </c>
      <c r="E26" s="25"/>
      <c r="F26" s="15">
        <f t="shared" si="0"/>
        <v>20</v>
      </c>
      <c r="G26" s="25"/>
      <c r="H26" s="26">
        <v>10000</v>
      </c>
      <c r="I26" s="42">
        <f t="shared" si="1"/>
        <v>0</v>
      </c>
      <c r="J26" s="25"/>
      <c r="K26" s="26">
        <v>15000</v>
      </c>
      <c r="L26" s="44">
        <f t="shared" si="2"/>
        <v>0</v>
      </c>
      <c r="M26" s="45">
        <f t="shared" si="3"/>
        <v>0</v>
      </c>
      <c r="N26" s="45">
        <f t="shared" si="4"/>
        <v>0</v>
      </c>
      <c r="O26" s="45">
        <f t="shared" si="5"/>
        <v>0</v>
      </c>
      <c r="P26" s="46"/>
    </row>
    <row r="27" s="4" customFormat="1" ht="21" customHeight="1" spans="1:16">
      <c r="A27" s="15">
        <v>24</v>
      </c>
      <c r="B27" s="16">
        <v>46002</v>
      </c>
      <c r="C27" s="27" t="s">
        <v>1133</v>
      </c>
      <c r="D27" s="19">
        <v>20</v>
      </c>
      <c r="E27" s="25"/>
      <c r="F27" s="15">
        <f t="shared" si="0"/>
        <v>20</v>
      </c>
      <c r="G27" s="25"/>
      <c r="H27" s="26">
        <v>10000</v>
      </c>
      <c r="I27" s="42">
        <f t="shared" si="1"/>
        <v>0</v>
      </c>
      <c r="J27" s="25"/>
      <c r="K27" s="26">
        <v>15000</v>
      </c>
      <c r="L27" s="44">
        <f t="shared" si="2"/>
        <v>0</v>
      </c>
      <c r="M27" s="45">
        <f t="shared" si="3"/>
        <v>0</v>
      </c>
      <c r="N27" s="45">
        <f t="shared" si="4"/>
        <v>0</v>
      </c>
      <c r="O27" s="45">
        <f t="shared" si="5"/>
        <v>0</v>
      </c>
      <c r="P27" s="46"/>
    </row>
    <row r="28" s="4" customFormat="1" ht="21" customHeight="1" spans="1:16">
      <c r="A28" s="15">
        <v>25</v>
      </c>
      <c r="B28" s="16">
        <v>46002</v>
      </c>
      <c r="C28" s="27" t="s">
        <v>1134</v>
      </c>
      <c r="D28" s="19">
        <v>19</v>
      </c>
      <c r="E28" s="25">
        <v>1</v>
      </c>
      <c r="F28" s="15">
        <f t="shared" si="0"/>
        <v>18</v>
      </c>
      <c r="G28" s="25"/>
      <c r="H28" s="26">
        <v>25000</v>
      </c>
      <c r="I28" s="42">
        <f t="shared" si="1"/>
        <v>25000</v>
      </c>
      <c r="J28" s="25">
        <v>1</v>
      </c>
      <c r="K28" s="26">
        <v>37000</v>
      </c>
      <c r="L28" s="44">
        <f t="shared" si="2"/>
        <v>37000</v>
      </c>
      <c r="M28" s="45">
        <f t="shared" si="3"/>
        <v>12000</v>
      </c>
      <c r="N28" s="45">
        <f t="shared" si="4"/>
        <v>8400</v>
      </c>
      <c r="O28" s="45">
        <f t="shared" si="5"/>
        <v>3600</v>
      </c>
      <c r="P28" s="46"/>
    </row>
    <row r="29" s="4" customFormat="1" ht="21" customHeight="1" spans="1:16">
      <c r="A29" s="15">
        <v>26</v>
      </c>
      <c r="B29" s="16">
        <v>46002</v>
      </c>
      <c r="C29" s="27" t="s">
        <v>1135</v>
      </c>
      <c r="D29" s="19">
        <v>20</v>
      </c>
      <c r="E29" s="25"/>
      <c r="F29" s="15">
        <f t="shared" si="0"/>
        <v>20</v>
      </c>
      <c r="G29" s="25"/>
      <c r="H29" s="26">
        <v>10000</v>
      </c>
      <c r="I29" s="42">
        <f t="shared" si="1"/>
        <v>0</v>
      </c>
      <c r="J29" s="25"/>
      <c r="K29" s="26">
        <v>15000</v>
      </c>
      <c r="L29" s="44">
        <f t="shared" si="2"/>
        <v>0</v>
      </c>
      <c r="M29" s="45">
        <f t="shared" si="3"/>
        <v>0</v>
      </c>
      <c r="N29" s="45">
        <f t="shared" si="4"/>
        <v>0</v>
      </c>
      <c r="O29" s="45">
        <f t="shared" si="5"/>
        <v>0</v>
      </c>
      <c r="P29" s="46"/>
    </row>
    <row r="30" s="4" customFormat="1" ht="21" customHeight="1" spans="1:16">
      <c r="A30" s="15">
        <v>27</v>
      </c>
      <c r="B30" s="16">
        <v>46002</v>
      </c>
      <c r="C30" s="27" t="s">
        <v>1136</v>
      </c>
      <c r="D30" s="19">
        <v>20</v>
      </c>
      <c r="E30" s="25"/>
      <c r="F30" s="15">
        <f t="shared" si="0"/>
        <v>20</v>
      </c>
      <c r="G30" s="25"/>
      <c r="H30" s="26">
        <v>25000</v>
      </c>
      <c r="I30" s="42">
        <f t="shared" si="1"/>
        <v>0</v>
      </c>
      <c r="J30" s="25"/>
      <c r="K30" s="26">
        <v>40000</v>
      </c>
      <c r="L30" s="44">
        <f t="shared" si="2"/>
        <v>0</v>
      </c>
      <c r="M30" s="45">
        <f t="shared" si="3"/>
        <v>0</v>
      </c>
      <c r="N30" s="45">
        <f t="shared" si="4"/>
        <v>0</v>
      </c>
      <c r="O30" s="45">
        <f t="shared" si="5"/>
        <v>0</v>
      </c>
      <c r="P30" s="46"/>
    </row>
    <row r="31" s="4" customFormat="1" ht="21" customHeight="1" spans="1:16">
      <c r="A31" s="15">
        <v>28</v>
      </c>
      <c r="B31" s="16">
        <v>46002</v>
      </c>
      <c r="C31" s="27" t="s">
        <v>1137</v>
      </c>
      <c r="D31" s="19">
        <v>20</v>
      </c>
      <c r="E31" s="25"/>
      <c r="F31" s="15">
        <f t="shared" si="0"/>
        <v>20</v>
      </c>
      <c r="G31" s="25"/>
      <c r="H31" s="26">
        <v>10000</v>
      </c>
      <c r="I31" s="42">
        <f t="shared" si="1"/>
        <v>0</v>
      </c>
      <c r="J31" s="25"/>
      <c r="K31" s="26">
        <v>15000</v>
      </c>
      <c r="L31" s="44">
        <f t="shared" si="2"/>
        <v>0</v>
      </c>
      <c r="M31" s="45">
        <f t="shared" si="3"/>
        <v>0</v>
      </c>
      <c r="N31" s="45">
        <f t="shared" si="4"/>
        <v>0</v>
      </c>
      <c r="O31" s="45">
        <f t="shared" si="5"/>
        <v>0</v>
      </c>
      <c r="P31" s="46"/>
    </row>
    <row r="32" s="4" customFormat="1" ht="21" customHeight="1" spans="1:16">
      <c r="A32" s="15">
        <v>29</v>
      </c>
      <c r="B32" s="16">
        <v>46002</v>
      </c>
      <c r="C32" s="27" t="s">
        <v>1138</v>
      </c>
      <c r="D32" s="25">
        <v>9</v>
      </c>
      <c r="E32" s="25">
        <v>2</v>
      </c>
      <c r="F32" s="15">
        <f t="shared" si="0"/>
        <v>7</v>
      </c>
      <c r="G32" s="25"/>
      <c r="H32" s="26">
        <v>12000</v>
      </c>
      <c r="I32" s="42">
        <f t="shared" si="1"/>
        <v>24000</v>
      </c>
      <c r="J32" s="25">
        <v>2</v>
      </c>
      <c r="K32" s="26">
        <v>17000</v>
      </c>
      <c r="L32" s="44">
        <f t="shared" si="2"/>
        <v>34000</v>
      </c>
      <c r="M32" s="45">
        <f t="shared" si="3"/>
        <v>10000</v>
      </c>
      <c r="N32" s="45">
        <f t="shared" si="4"/>
        <v>7000</v>
      </c>
      <c r="O32" s="45">
        <f t="shared" si="5"/>
        <v>3000</v>
      </c>
      <c r="P32" s="46"/>
    </row>
    <row r="33" s="4" customFormat="1" ht="21" customHeight="1" spans="1:16">
      <c r="A33" s="15">
        <v>30</v>
      </c>
      <c r="B33" s="16">
        <v>46002</v>
      </c>
      <c r="C33" s="27" t="s">
        <v>1139</v>
      </c>
      <c r="D33" s="25">
        <v>10</v>
      </c>
      <c r="E33" s="25"/>
      <c r="F33" s="15">
        <f t="shared" si="0"/>
        <v>10</v>
      </c>
      <c r="G33" s="25"/>
      <c r="H33" s="26">
        <v>12000</v>
      </c>
      <c r="I33" s="42">
        <f t="shared" si="1"/>
        <v>0</v>
      </c>
      <c r="J33" s="25"/>
      <c r="K33" s="26">
        <v>17000</v>
      </c>
      <c r="L33" s="44">
        <f t="shared" si="2"/>
        <v>0</v>
      </c>
      <c r="M33" s="45">
        <f t="shared" si="3"/>
        <v>0</v>
      </c>
      <c r="N33" s="45">
        <f t="shared" si="4"/>
        <v>0</v>
      </c>
      <c r="O33" s="45">
        <f t="shared" si="5"/>
        <v>0</v>
      </c>
      <c r="P33" s="46"/>
    </row>
    <row r="34" s="4" customFormat="1" ht="21" customHeight="1" spans="1:16">
      <c r="A34" s="15">
        <v>31</v>
      </c>
      <c r="B34" s="16">
        <v>46002</v>
      </c>
      <c r="C34" s="27" t="s">
        <v>1140</v>
      </c>
      <c r="D34" s="25">
        <v>10</v>
      </c>
      <c r="E34" s="25">
        <v>1</v>
      </c>
      <c r="F34" s="15">
        <f t="shared" si="0"/>
        <v>9</v>
      </c>
      <c r="G34" s="25"/>
      <c r="H34" s="26">
        <v>12000</v>
      </c>
      <c r="I34" s="42">
        <f t="shared" si="1"/>
        <v>12000</v>
      </c>
      <c r="J34" s="25">
        <v>1</v>
      </c>
      <c r="K34" s="26">
        <v>17000</v>
      </c>
      <c r="L34" s="44">
        <f t="shared" si="2"/>
        <v>17000</v>
      </c>
      <c r="M34" s="45">
        <f t="shared" si="3"/>
        <v>5000</v>
      </c>
      <c r="N34" s="45">
        <f t="shared" si="4"/>
        <v>3500</v>
      </c>
      <c r="O34" s="45">
        <f t="shared" si="5"/>
        <v>1500</v>
      </c>
      <c r="P34" s="46"/>
    </row>
    <row r="35" s="4" customFormat="1" ht="21" customHeight="1" spans="1:16">
      <c r="A35" s="15">
        <v>32</v>
      </c>
      <c r="B35" s="16">
        <v>46002</v>
      </c>
      <c r="C35" s="27" t="s">
        <v>1141</v>
      </c>
      <c r="D35" s="25">
        <v>48</v>
      </c>
      <c r="E35" s="25"/>
      <c r="F35" s="15">
        <f t="shared" si="0"/>
        <v>48</v>
      </c>
      <c r="G35" s="25"/>
      <c r="H35" s="26">
        <v>30000</v>
      </c>
      <c r="I35" s="42">
        <f t="shared" si="1"/>
        <v>0</v>
      </c>
      <c r="J35" s="25"/>
      <c r="K35" s="26">
        <v>35000</v>
      </c>
      <c r="L35" s="44">
        <f t="shared" si="2"/>
        <v>0</v>
      </c>
      <c r="M35" s="45">
        <f t="shared" si="3"/>
        <v>0</v>
      </c>
      <c r="N35" s="45">
        <f t="shared" si="4"/>
        <v>0</v>
      </c>
      <c r="O35" s="45">
        <f t="shared" si="5"/>
        <v>0</v>
      </c>
      <c r="P35" s="46"/>
    </row>
    <row r="36" ht="21" customHeight="1" spans="1:15">
      <c r="A36" s="15">
        <v>33</v>
      </c>
      <c r="B36" s="16">
        <v>46002</v>
      </c>
      <c r="C36" s="28" t="s">
        <v>1142</v>
      </c>
      <c r="D36" s="19">
        <v>50</v>
      </c>
      <c r="E36" s="25">
        <v>1</v>
      </c>
      <c r="F36" s="15">
        <f t="shared" si="0"/>
        <v>49</v>
      </c>
      <c r="G36" s="25"/>
      <c r="H36" s="26">
        <v>30000</v>
      </c>
      <c r="I36" s="42">
        <f t="shared" si="1"/>
        <v>30000</v>
      </c>
      <c r="J36" s="25">
        <v>1</v>
      </c>
      <c r="K36" s="26">
        <v>35000</v>
      </c>
      <c r="L36" s="44">
        <f t="shared" si="2"/>
        <v>35000</v>
      </c>
      <c r="M36" s="45">
        <f t="shared" si="3"/>
        <v>5000</v>
      </c>
      <c r="N36" s="45">
        <f t="shared" si="4"/>
        <v>3500</v>
      </c>
      <c r="O36" s="45">
        <f t="shared" si="5"/>
        <v>1500</v>
      </c>
    </row>
    <row r="37" ht="21" customHeight="1" spans="1:15">
      <c r="A37" s="15">
        <v>34</v>
      </c>
      <c r="B37" s="16">
        <v>46002</v>
      </c>
      <c r="C37" s="28" t="s">
        <v>1143</v>
      </c>
      <c r="D37" s="19">
        <v>46</v>
      </c>
      <c r="E37" s="25">
        <v>4</v>
      </c>
      <c r="F37" s="15">
        <f t="shared" si="0"/>
        <v>42</v>
      </c>
      <c r="G37" s="25"/>
      <c r="H37" s="26">
        <v>30000</v>
      </c>
      <c r="I37" s="42">
        <f t="shared" si="1"/>
        <v>120000</v>
      </c>
      <c r="J37" s="25">
        <v>4</v>
      </c>
      <c r="K37" s="26">
        <v>35000</v>
      </c>
      <c r="L37" s="44">
        <f t="shared" si="2"/>
        <v>140000</v>
      </c>
      <c r="M37" s="45">
        <f t="shared" si="3"/>
        <v>20000</v>
      </c>
      <c r="N37" s="45">
        <f t="shared" si="4"/>
        <v>14000</v>
      </c>
      <c r="O37" s="45">
        <f t="shared" si="5"/>
        <v>6000</v>
      </c>
    </row>
    <row r="38" ht="21" customHeight="1" spans="1:15">
      <c r="A38" s="15">
        <v>35</v>
      </c>
      <c r="B38" s="16">
        <v>46002</v>
      </c>
      <c r="C38" s="28" t="s">
        <v>1144</v>
      </c>
      <c r="D38" s="19">
        <v>50</v>
      </c>
      <c r="E38" s="25"/>
      <c r="F38" s="15">
        <f t="shared" si="0"/>
        <v>50</v>
      </c>
      <c r="G38" s="25"/>
      <c r="H38" s="26">
        <v>35000</v>
      </c>
      <c r="I38" s="42">
        <f t="shared" si="1"/>
        <v>0</v>
      </c>
      <c r="J38" s="25"/>
      <c r="K38" s="26">
        <v>40000</v>
      </c>
      <c r="L38" s="44">
        <f t="shared" si="2"/>
        <v>0</v>
      </c>
      <c r="M38" s="45">
        <f t="shared" si="3"/>
        <v>0</v>
      </c>
      <c r="N38" s="45">
        <f t="shared" si="4"/>
        <v>0</v>
      </c>
      <c r="O38" s="45">
        <f t="shared" si="5"/>
        <v>0</v>
      </c>
    </row>
    <row r="39" ht="21" customHeight="1" spans="1:15">
      <c r="A39" s="15">
        <v>36</v>
      </c>
      <c r="B39" s="16">
        <v>46002</v>
      </c>
      <c r="C39" s="28" t="s">
        <v>1145</v>
      </c>
      <c r="D39" s="19">
        <v>50</v>
      </c>
      <c r="E39" s="25"/>
      <c r="F39" s="15">
        <f t="shared" si="0"/>
        <v>50</v>
      </c>
      <c r="G39" s="25"/>
      <c r="H39" s="26">
        <v>41000</v>
      </c>
      <c r="I39" s="42">
        <f t="shared" si="1"/>
        <v>0</v>
      </c>
      <c r="J39" s="25"/>
      <c r="K39" s="26">
        <v>46000</v>
      </c>
      <c r="L39" s="44">
        <f t="shared" si="2"/>
        <v>0</v>
      </c>
      <c r="M39" s="45">
        <f t="shared" si="3"/>
        <v>0</v>
      </c>
      <c r="N39" s="45">
        <f t="shared" si="4"/>
        <v>0</v>
      </c>
      <c r="O39" s="45">
        <f t="shared" si="5"/>
        <v>0</v>
      </c>
    </row>
    <row r="40" ht="21" customHeight="1" spans="1:15">
      <c r="A40" s="15">
        <v>37</v>
      </c>
      <c r="B40" s="16">
        <v>46002</v>
      </c>
      <c r="C40" s="17" t="s">
        <v>1146</v>
      </c>
      <c r="D40" s="19">
        <v>30</v>
      </c>
      <c r="E40" s="19"/>
      <c r="F40" s="15">
        <f t="shared" si="0"/>
        <v>30</v>
      </c>
      <c r="G40" s="19"/>
      <c r="H40" s="24">
        <v>2500</v>
      </c>
      <c r="I40" s="42">
        <f t="shared" si="1"/>
        <v>0</v>
      </c>
      <c r="J40" s="19"/>
      <c r="K40" s="24">
        <v>8000</v>
      </c>
      <c r="L40" s="44">
        <f t="shared" si="2"/>
        <v>0</v>
      </c>
      <c r="M40" s="45">
        <f t="shared" si="3"/>
        <v>0</v>
      </c>
      <c r="N40" s="45">
        <f t="shared" si="4"/>
        <v>0</v>
      </c>
      <c r="O40" s="45">
        <f t="shared" si="5"/>
        <v>0</v>
      </c>
    </row>
    <row r="41" ht="21" customHeight="1" spans="1:15">
      <c r="A41" s="15">
        <v>38</v>
      </c>
      <c r="B41" s="16">
        <v>46002</v>
      </c>
      <c r="C41" s="28" t="s">
        <v>1147</v>
      </c>
      <c r="D41" s="19">
        <v>30</v>
      </c>
      <c r="E41" s="25"/>
      <c r="F41" s="15">
        <f t="shared" si="0"/>
        <v>30</v>
      </c>
      <c r="G41" s="25"/>
      <c r="H41" s="26">
        <v>2000</v>
      </c>
      <c r="I41" s="42">
        <f t="shared" si="1"/>
        <v>0</v>
      </c>
      <c r="J41" s="25"/>
      <c r="K41" s="26">
        <v>8000</v>
      </c>
      <c r="L41" s="44">
        <f t="shared" si="2"/>
        <v>0</v>
      </c>
      <c r="M41" s="45">
        <f t="shared" si="3"/>
        <v>0</v>
      </c>
      <c r="N41" s="45">
        <f t="shared" si="4"/>
        <v>0</v>
      </c>
      <c r="O41" s="45">
        <f t="shared" si="5"/>
        <v>0</v>
      </c>
    </row>
    <row r="42" ht="21" customHeight="1" spans="1:15">
      <c r="A42" s="15">
        <v>39</v>
      </c>
      <c r="B42" s="16">
        <v>46002</v>
      </c>
      <c r="C42" s="28" t="s">
        <v>1148</v>
      </c>
      <c r="D42" s="25">
        <v>48</v>
      </c>
      <c r="E42" s="25">
        <v>3</v>
      </c>
      <c r="F42" s="15">
        <f t="shared" si="0"/>
        <v>45</v>
      </c>
      <c r="G42" s="25"/>
      <c r="H42" s="26">
        <v>62500</v>
      </c>
      <c r="I42" s="42">
        <f t="shared" si="1"/>
        <v>187500</v>
      </c>
      <c r="J42" s="25">
        <v>3</v>
      </c>
      <c r="K42" s="26">
        <v>67500</v>
      </c>
      <c r="L42" s="44">
        <f t="shared" si="2"/>
        <v>202500</v>
      </c>
      <c r="M42" s="45">
        <f t="shared" si="3"/>
        <v>15000</v>
      </c>
      <c r="N42" s="45">
        <f t="shared" si="4"/>
        <v>10500</v>
      </c>
      <c r="O42" s="45">
        <f t="shared" si="5"/>
        <v>4500</v>
      </c>
    </row>
    <row r="43" ht="21" customHeight="1" spans="1:15">
      <c r="A43" s="15">
        <v>40</v>
      </c>
      <c r="B43" s="16">
        <v>46002</v>
      </c>
      <c r="C43" s="28" t="s">
        <v>1149</v>
      </c>
      <c r="D43" s="25">
        <v>46</v>
      </c>
      <c r="E43" s="25">
        <v>2</v>
      </c>
      <c r="F43" s="15">
        <f t="shared" si="0"/>
        <v>44</v>
      </c>
      <c r="G43" s="25"/>
      <c r="H43" s="26">
        <v>52500</v>
      </c>
      <c r="I43" s="42">
        <f t="shared" si="1"/>
        <v>105000</v>
      </c>
      <c r="J43" s="25">
        <v>2</v>
      </c>
      <c r="K43" s="26">
        <v>58000</v>
      </c>
      <c r="L43" s="44">
        <f t="shared" si="2"/>
        <v>116000</v>
      </c>
      <c r="M43" s="45">
        <f t="shared" si="3"/>
        <v>11000</v>
      </c>
      <c r="N43" s="45">
        <f t="shared" si="4"/>
        <v>7700</v>
      </c>
      <c r="O43" s="45">
        <f t="shared" si="5"/>
        <v>3300</v>
      </c>
    </row>
    <row r="44" ht="21" customHeight="1" spans="1:15">
      <c r="A44" s="15">
        <v>41</v>
      </c>
      <c r="B44" s="16">
        <v>46002</v>
      </c>
      <c r="C44" s="28" t="s">
        <v>1150</v>
      </c>
      <c r="D44" s="25">
        <v>44</v>
      </c>
      <c r="E44" s="25">
        <v>8</v>
      </c>
      <c r="F44" s="15">
        <f t="shared" si="0"/>
        <v>36</v>
      </c>
      <c r="G44" s="25"/>
      <c r="H44" s="26">
        <v>42000</v>
      </c>
      <c r="I44" s="42">
        <f t="shared" si="1"/>
        <v>336000</v>
      </c>
      <c r="J44" s="25">
        <v>8</v>
      </c>
      <c r="K44" s="26">
        <v>50000</v>
      </c>
      <c r="L44" s="44">
        <f t="shared" si="2"/>
        <v>400000</v>
      </c>
      <c r="M44" s="45">
        <f t="shared" si="3"/>
        <v>64000</v>
      </c>
      <c r="N44" s="45">
        <f t="shared" si="4"/>
        <v>44800</v>
      </c>
      <c r="O44" s="45">
        <f t="shared" si="5"/>
        <v>19200</v>
      </c>
    </row>
    <row r="45" ht="21" customHeight="1" spans="1:15">
      <c r="A45" s="15">
        <v>42</v>
      </c>
      <c r="B45" s="16">
        <v>46002</v>
      </c>
      <c r="C45" s="28" t="s">
        <v>1151</v>
      </c>
      <c r="D45" s="25">
        <v>48</v>
      </c>
      <c r="E45" s="25">
        <v>1</v>
      </c>
      <c r="F45" s="15">
        <f t="shared" si="0"/>
        <v>47</v>
      </c>
      <c r="G45" s="25"/>
      <c r="H45" s="26">
        <v>42000</v>
      </c>
      <c r="I45" s="42">
        <f t="shared" si="1"/>
        <v>42000</v>
      </c>
      <c r="J45" s="25">
        <v>1</v>
      </c>
      <c r="K45" s="26">
        <v>49000</v>
      </c>
      <c r="L45" s="44">
        <f t="shared" si="2"/>
        <v>49000</v>
      </c>
      <c r="M45" s="45">
        <f t="shared" si="3"/>
        <v>7000</v>
      </c>
      <c r="N45" s="45">
        <f t="shared" si="4"/>
        <v>4900</v>
      </c>
      <c r="O45" s="45">
        <f t="shared" si="5"/>
        <v>2100</v>
      </c>
    </row>
    <row r="46" ht="21" customHeight="1" spans="1:15">
      <c r="A46" s="15">
        <v>43</v>
      </c>
      <c r="B46" s="16">
        <v>46002</v>
      </c>
      <c r="C46" s="28" t="s">
        <v>1152</v>
      </c>
      <c r="D46" s="19">
        <v>12</v>
      </c>
      <c r="E46" s="25"/>
      <c r="F46" s="15">
        <f t="shared" si="0"/>
        <v>12</v>
      </c>
      <c r="G46" s="25"/>
      <c r="H46" s="26">
        <v>52000</v>
      </c>
      <c r="I46" s="42">
        <f t="shared" si="1"/>
        <v>0</v>
      </c>
      <c r="J46" s="25"/>
      <c r="K46" s="26">
        <v>59000</v>
      </c>
      <c r="L46" s="44">
        <f t="shared" si="2"/>
        <v>0</v>
      </c>
      <c r="M46" s="45">
        <f t="shared" si="3"/>
        <v>0</v>
      </c>
      <c r="N46" s="45">
        <f t="shared" si="4"/>
        <v>0</v>
      </c>
      <c r="O46" s="45">
        <f t="shared" si="5"/>
        <v>0</v>
      </c>
    </row>
    <row r="47" ht="21" customHeight="1" spans="1:15">
      <c r="A47" s="15">
        <v>44</v>
      </c>
      <c r="B47" s="16">
        <v>46002</v>
      </c>
      <c r="C47" s="28" t="s">
        <v>1153</v>
      </c>
      <c r="D47" s="19">
        <v>12</v>
      </c>
      <c r="E47" s="25">
        <v>1</v>
      </c>
      <c r="F47" s="15">
        <f t="shared" si="0"/>
        <v>11</v>
      </c>
      <c r="G47" s="25"/>
      <c r="H47" s="26">
        <v>62000</v>
      </c>
      <c r="I47" s="42">
        <f t="shared" si="1"/>
        <v>62000</v>
      </c>
      <c r="J47" s="25">
        <v>1</v>
      </c>
      <c r="K47" s="26">
        <v>69000</v>
      </c>
      <c r="L47" s="44">
        <f t="shared" si="2"/>
        <v>69000</v>
      </c>
      <c r="M47" s="45">
        <f t="shared" si="3"/>
        <v>7000</v>
      </c>
      <c r="N47" s="45">
        <f t="shared" si="4"/>
        <v>4900</v>
      </c>
      <c r="O47" s="45">
        <f t="shared" si="5"/>
        <v>2100</v>
      </c>
    </row>
    <row r="48" ht="21" customHeight="1" spans="1:15">
      <c r="A48" s="15">
        <v>45</v>
      </c>
      <c r="B48" s="16">
        <v>46002</v>
      </c>
      <c r="C48" s="17" t="s">
        <v>1154</v>
      </c>
      <c r="D48" s="19">
        <v>24</v>
      </c>
      <c r="E48" s="19">
        <v>2</v>
      </c>
      <c r="F48" s="15">
        <f t="shared" si="0"/>
        <v>22</v>
      </c>
      <c r="G48" s="19"/>
      <c r="H48" s="24">
        <v>51000</v>
      </c>
      <c r="I48" s="42">
        <f t="shared" si="1"/>
        <v>102000</v>
      </c>
      <c r="J48" s="19">
        <v>2</v>
      </c>
      <c r="K48" s="24">
        <v>56000</v>
      </c>
      <c r="L48" s="44">
        <f t="shared" si="2"/>
        <v>112000</v>
      </c>
      <c r="M48" s="45">
        <f t="shared" si="3"/>
        <v>10000</v>
      </c>
      <c r="N48" s="45">
        <f t="shared" si="4"/>
        <v>7000</v>
      </c>
      <c r="O48" s="45">
        <f t="shared" si="5"/>
        <v>3000</v>
      </c>
    </row>
    <row r="49" ht="21" customHeight="1" spans="1:15">
      <c r="A49" s="15">
        <v>46</v>
      </c>
      <c r="B49" s="16">
        <v>46002</v>
      </c>
      <c r="C49" s="28" t="s">
        <v>1155</v>
      </c>
      <c r="D49" s="19">
        <v>23</v>
      </c>
      <c r="E49" s="25"/>
      <c r="F49" s="15">
        <f t="shared" si="0"/>
        <v>23</v>
      </c>
      <c r="G49" s="25"/>
      <c r="H49" s="26">
        <v>45000</v>
      </c>
      <c r="I49" s="42">
        <f t="shared" si="1"/>
        <v>0</v>
      </c>
      <c r="J49" s="25"/>
      <c r="K49" s="26">
        <v>56000</v>
      </c>
      <c r="L49" s="44">
        <f t="shared" si="2"/>
        <v>0</v>
      </c>
      <c r="M49" s="45">
        <f t="shared" si="3"/>
        <v>0</v>
      </c>
      <c r="N49" s="45">
        <f t="shared" si="4"/>
        <v>0</v>
      </c>
      <c r="O49" s="45">
        <f t="shared" si="5"/>
        <v>0</v>
      </c>
    </row>
    <row r="50" ht="21" customHeight="1" spans="1:15">
      <c r="A50" s="15">
        <v>47</v>
      </c>
      <c r="B50" s="16">
        <v>46002</v>
      </c>
      <c r="C50" s="28" t="s">
        <v>1156</v>
      </c>
      <c r="D50" s="19">
        <v>11</v>
      </c>
      <c r="E50" s="25">
        <v>1</v>
      </c>
      <c r="F50" s="15">
        <f t="shared" si="0"/>
        <v>10</v>
      </c>
      <c r="G50" s="25"/>
      <c r="H50" s="26">
        <v>55000</v>
      </c>
      <c r="I50" s="42">
        <f t="shared" si="1"/>
        <v>55000</v>
      </c>
      <c r="J50" s="25">
        <v>1</v>
      </c>
      <c r="K50" s="26">
        <v>60000</v>
      </c>
      <c r="L50" s="44">
        <f t="shared" si="2"/>
        <v>60000</v>
      </c>
      <c r="M50" s="45">
        <f t="shared" si="3"/>
        <v>5000</v>
      </c>
      <c r="N50" s="45">
        <f t="shared" si="4"/>
        <v>3500</v>
      </c>
      <c r="O50" s="45">
        <f t="shared" si="5"/>
        <v>1500</v>
      </c>
    </row>
    <row r="51" ht="21" customHeight="1" spans="1:15">
      <c r="A51" s="15">
        <v>48</v>
      </c>
      <c r="B51" s="16">
        <v>46002</v>
      </c>
      <c r="C51" s="28" t="s">
        <v>1157</v>
      </c>
      <c r="D51" s="19">
        <v>12</v>
      </c>
      <c r="E51" s="25"/>
      <c r="F51" s="15">
        <f t="shared" si="0"/>
        <v>12</v>
      </c>
      <c r="G51" s="25"/>
      <c r="H51" s="26">
        <v>142000</v>
      </c>
      <c r="I51" s="42">
        <f t="shared" si="1"/>
        <v>0</v>
      </c>
      <c r="J51" s="25"/>
      <c r="K51" s="26">
        <v>65000</v>
      </c>
      <c r="L51" s="44">
        <f t="shared" si="2"/>
        <v>0</v>
      </c>
      <c r="M51" s="45">
        <f t="shared" si="3"/>
        <v>0</v>
      </c>
      <c r="N51" s="45">
        <f t="shared" si="4"/>
        <v>0</v>
      </c>
      <c r="O51" s="45">
        <f t="shared" si="5"/>
        <v>0</v>
      </c>
    </row>
    <row r="52" ht="21" customHeight="1" spans="1:15">
      <c r="A52" s="15">
        <v>49</v>
      </c>
      <c r="B52" s="16">
        <v>46002</v>
      </c>
      <c r="C52" s="28" t="s">
        <v>1158</v>
      </c>
      <c r="D52" s="25">
        <v>10</v>
      </c>
      <c r="E52" s="25">
        <v>4</v>
      </c>
      <c r="F52" s="15">
        <f t="shared" si="0"/>
        <v>6</v>
      </c>
      <c r="G52" s="25"/>
      <c r="H52" s="26">
        <v>41500</v>
      </c>
      <c r="I52" s="42">
        <f t="shared" si="1"/>
        <v>166000</v>
      </c>
      <c r="J52" s="25">
        <v>4</v>
      </c>
      <c r="K52" s="26">
        <v>48000</v>
      </c>
      <c r="L52" s="44">
        <f t="shared" si="2"/>
        <v>192000</v>
      </c>
      <c r="M52" s="45">
        <f t="shared" si="3"/>
        <v>26000</v>
      </c>
      <c r="N52" s="45">
        <f t="shared" si="4"/>
        <v>18200</v>
      </c>
      <c r="O52" s="45">
        <f t="shared" si="5"/>
        <v>7800</v>
      </c>
    </row>
    <row r="53" ht="21" customHeight="1" spans="1:15">
      <c r="A53" s="15">
        <v>50</v>
      </c>
      <c r="B53" s="16">
        <v>46002</v>
      </c>
      <c r="C53" s="28" t="s">
        <v>1159</v>
      </c>
      <c r="D53" s="25">
        <v>12</v>
      </c>
      <c r="E53" s="25">
        <v>1</v>
      </c>
      <c r="F53" s="15">
        <f t="shared" si="0"/>
        <v>11</v>
      </c>
      <c r="G53" s="25"/>
      <c r="H53" s="26">
        <v>56500</v>
      </c>
      <c r="I53" s="42">
        <f t="shared" si="1"/>
        <v>56500</v>
      </c>
      <c r="J53" s="25">
        <v>1</v>
      </c>
      <c r="K53" s="26">
        <v>65000</v>
      </c>
      <c r="L53" s="44">
        <f t="shared" si="2"/>
        <v>65000</v>
      </c>
      <c r="M53" s="45">
        <f t="shared" si="3"/>
        <v>8500</v>
      </c>
      <c r="N53" s="45">
        <f t="shared" si="4"/>
        <v>5950</v>
      </c>
      <c r="O53" s="45">
        <f t="shared" si="5"/>
        <v>2550</v>
      </c>
    </row>
    <row r="54" ht="21" customHeight="1" spans="1:15">
      <c r="A54" s="15">
        <v>51</v>
      </c>
      <c r="B54" s="16">
        <v>46002</v>
      </c>
      <c r="C54" s="28" t="s">
        <v>1160</v>
      </c>
      <c r="D54" s="25">
        <v>11</v>
      </c>
      <c r="E54" s="25">
        <v>2</v>
      </c>
      <c r="F54" s="15">
        <f t="shared" si="0"/>
        <v>9</v>
      </c>
      <c r="G54" s="25"/>
      <c r="H54" s="26">
        <v>41500</v>
      </c>
      <c r="I54" s="42">
        <f t="shared" si="1"/>
        <v>83000</v>
      </c>
      <c r="J54" s="25">
        <v>2</v>
      </c>
      <c r="K54" s="26">
        <v>48000</v>
      </c>
      <c r="L54" s="44">
        <f t="shared" si="2"/>
        <v>96000</v>
      </c>
      <c r="M54" s="45">
        <f t="shared" si="3"/>
        <v>13000</v>
      </c>
      <c r="N54" s="45">
        <f t="shared" si="4"/>
        <v>9100</v>
      </c>
      <c r="O54" s="45">
        <f t="shared" si="5"/>
        <v>3900</v>
      </c>
    </row>
    <row r="55" ht="21" customHeight="1" spans="1:15">
      <c r="A55" s="15">
        <v>52</v>
      </c>
      <c r="B55" s="16">
        <v>46002</v>
      </c>
      <c r="C55" s="28" t="s">
        <v>1161</v>
      </c>
      <c r="D55" s="25">
        <v>24</v>
      </c>
      <c r="E55" s="25"/>
      <c r="F55" s="15">
        <f t="shared" si="0"/>
        <v>24</v>
      </c>
      <c r="G55" s="25"/>
      <c r="H55" s="26">
        <v>32500</v>
      </c>
      <c r="I55" s="42">
        <f t="shared" si="1"/>
        <v>0</v>
      </c>
      <c r="J55" s="25"/>
      <c r="K55" s="26">
        <v>38000</v>
      </c>
      <c r="L55" s="44">
        <f t="shared" si="2"/>
        <v>0</v>
      </c>
      <c r="M55" s="45">
        <f t="shared" si="3"/>
        <v>0</v>
      </c>
      <c r="N55" s="45">
        <f t="shared" si="4"/>
        <v>0</v>
      </c>
      <c r="O55" s="45">
        <f t="shared" si="5"/>
        <v>0</v>
      </c>
    </row>
    <row r="56" ht="21" customHeight="1" spans="1:15">
      <c r="A56" s="15">
        <v>53</v>
      </c>
      <c r="B56" s="16">
        <v>46002</v>
      </c>
      <c r="C56" s="28" t="s">
        <v>1162</v>
      </c>
      <c r="D56" s="19">
        <v>24</v>
      </c>
      <c r="E56" s="25"/>
      <c r="F56" s="15">
        <f t="shared" si="0"/>
        <v>24</v>
      </c>
      <c r="G56" s="25"/>
      <c r="H56" s="26">
        <v>45500</v>
      </c>
      <c r="I56" s="42">
        <f t="shared" si="1"/>
        <v>0</v>
      </c>
      <c r="J56" s="25"/>
      <c r="K56" s="26">
        <v>52000</v>
      </c>
      <c r="L56" s="44">
        <f t="shared" si="2"/>
        <v>0</v>
      </c>
      <c r="M56" s="45">
        <f t="shared" si="3"/>
        <v>0</v>
      </c>
      <c r="N56" s="45">
        <f t="shared" si="4"/>
        <v>0</v>
      </c>
      <c r="O56" s="45">
        <f t="shared" si="5"/>
        <v>0</v>
      </c>
    </row>
    <row r="57" ht="21" customHeight="1" spans="1:15">
      <c r="A57" s="15">
        <v>54</v>
      </c>
      <c r="B57" s="16">
        <v>46002</v>
      </c>
      <c r="C57" s="28" t="s">
        <v>1163</v>
      </c>
      <c r="D57" s="19">
        <v>23</v>
      </c>
      <c r="E57" s="25">
        <v>2</v>
      </c>
      <c r="F57" s="15">
        <f t="shared" si="0"/>
        <v>21</v>
      </c>
      <c r="G57" s="25"/>
      <c r="H57" s="26">
        <v>35500</v>
      </c>
      <c r="I57" s="42">
        <f t="shared" si="1"/>
        <v>71000</v>
      </c>
      <c r="J57" s="25">
        <v>2</v>
      </c>
      <c r="K57" s="26">
        <v>42000</v>
      </c>
      <c r="L57" s="44">
        <f t="shared" si="2"/>
        <v>84000</v>
      </c>
      <c r="M57" s="45">
        <f t="shared" si="3"/>
        <v>13000</v>
      </c>
      <c r="N57" s="45">
        <f t="shared" si="4"/>
        <v>9100</v>
      </c>
      <c r="O57" s="45">
        <f t="shared" si="5"/>
        <v>3900</v>
      </c>
    </row>
    <row r="58" ht="21" customHeight="1" spans="1:15">
      <c r="A58" s="15">
        <v>55</v>
      </c>
      <c r="B58" s="16">
        <v>46002</v>
      </c>
      <c r="C58" s="28" t="s">
        <v>1164</v>
      </c>
      <c r="D58" s="19">
        <v>24</v>
      </c>
      <c r="E58" s="25"/>
      <c r="F58" s="15">
        <f t="shared" si="0"/>
        <v>24</v>
      </c>
      <c r="G58" s="25"/>
      <c r="H58" s="26">
        <v>41500</v>
      </c>
      <c r="I58" s="42">
        <f t="shared" si="1"/>
        <v>0</v>
      </c>
      <c r="J58" s="25"/>
      <c r="K58" s="26">
        <v>48000</v>
      </c>
      <c r="L58" s="44">
        <f t="shared" si="2"/>
        <v>0</v>
      </c>
      <c r="M58" s="45">
        <f t="shared" si="3"/>
        <v>0</v>
      </c>
      <c r="N58" s="45">
        <f t="shared" si="4"/>
        <v>0</v>
      </c>
      <c r="O58" s="45">
        <f t="shared" si="5"/>
        <v>0</v>
      </c>
    </row>
    <row r="59" ht="21" customHeight="1" spans="1:15">
      <c r="A59" s="15">
        <v>56</v>
      </c>
      <c r="B59" s="16">
        <v>46002</v>
      </c>
      <c r="C59" s="28" t="s">
        <v>1165</v>
      </c>
      <c r="D59" s="19">
        <v>24</v>
      </c>
      <c r="E59" s="25"/>
      <c r="F59" s="15">
        <f t="shared" si="0"/>
        <v>24</v>
      </c>
      <c r="G59" s="25"/>
      <c r="H59" s="26">
        <v>35500</v>
      </c>
      <c r="I59" s="42">
        <f t="shared" si="1"/>
        <v>0</v>
      </c>
      <c r="J59" s="25"/>
      <c r="K59" s="26">
        <v>41000</v>
      </c>
      <c r="L59" s="44">
        <f t="shared" si="2"/>
        <v>0</v>
      </c>
      <c r="M59" s="45">
        <f t="shared" si="3"/>
        <v>0</v>
      </c>
      <c r="N59" s="45">
        <f t="shared" si="4"/>
        <v>0</v>
      </c>
      <c r="O59" s="45">
        <f t="shared" si="5"/>
        <v>0</v>
      </c>
    </row>
    <row r="60" ht="21" customHeight="1" spans="1:15">
      <c r="A60" s="15">
        <v>57</v>
      </c>
      <c r="B60" s="16">
        <v>46002</v>
      </c>
      <c r="C60" s="17" t="s">
        <v>1166</v>
      </c>
      <c r="D60" s="19">
        <v>24</v>
      </c>
      <c r="E60" s="19"/>
      <c r="F60" s="15">
        <f t="shared" si="0"/>
        <v>24</v>
      </c>
      <c r="G60" s="19"/>
      <c r="H60" s="24">
        <v>43000</v>
      </c>
      <c r="I60" s="42">
        <f t="shared" si="1"/>
        <v>0</v>
      </c>
      <c r="J60" s="19"/>
      <c r="K60" s="24">
        <v>49000</v>
      </c>
      <c r="L60" s="44">
        <f t="shared" si="2"/>
        <v>0</v>
      </c>
      <c r="M60" s="45">
        <f t="shared" si="3"/>
        <v>0</v>
      </c>
      <c r="N60" s="45">
        <f t="shared" si="4"/>
        <v>0</v>
      </c>
      <c r="O60" s="45">
        <f t="shared" si="5"/>
        <v>0</v>
      </c>
    </row>
    <row r="61" ht="21" customHeight="1" spans="1:15">
      <c r="A61" s="15">
        <v>58</v>
      </c>
      <c r="B61" s="16">
        <v>46002</v>
      </c>
      <c r="C61" s="28" t="s">
        <v>1167</v>
      </c>
      <c r="D61" s="19">
        <v>24</v>
      </c>
      <c r="E61" s="25"/>
      <c r="F61" s="15">
        <f t="shared" si="0"/>
        <v>24</v>
      </c>
      <c r="G61" s="25"/>
      <c r="H61" s="26">
        <v>56000</v>
      </c>
      <c r="I61" s="42">
        <f t="shared" si="1"/>
        <v>0</v>
      </c>
      <c r="J61" s="25"/>
      <c r="K61" s="26">
        <v>55000</v>
      </c>
      <c r="L61" s="44">
        <f t="shared" si="2"/>
        <v>0</v>
      </c>
      <c r="M61" s="45">
        <f t="shared" si="3"/>
        <v>0</v>
      </c>
      <c r="N61" s="45">
        <f t="shared" si="4"/>
        <v>0</v>
      </c>
      <c r="O61" s="45">
        <f t="shared" si="5"/>
        <v>0</v>
      </c>
    </row>
    <row r="62" ht="21" customHeight="1" spans="1:15">
      <c r="A62" s="15">
        <v>59</v>
      </c>
      <c r="B62" s="16">
        <v>46002</v>
      </c>
      <c r="C62" s="28" t="s">
        <v>1168</v>
      </c>
      <c r="D62" s="25">
        <v>21</v>
      </c>
      <c r="E62" s="25">
        <v>4</v>
      </c>
      <c r="F62" s="15">
        <f t="shared" si="0"/>
        <v>17</v>
      </c>
      <c r="G62" s="25"/>
      <c r="H62" s="26">
        <v>59000</v>
      </c>
      <c r="I62" s="42">
        <f t="shared" si="1"/>
        <v>236000</v>
      </c>
      <c r="J62" s="25">
        <v>4</v>
      </c>
      <c r="K62" s="26">
        <v>55000</v>
      </c>
      <c r="L62" s="44">
        <f t="shared" si="2"/>
        <v>220000</v>
      </c>
      <c r="M62" s="45">
        <f t="shared" si="3"/>
        <v>-16000</v>
      </c>
      <c r="N62" s="45">
        <f t="shared" si="4"/>
        <v>-11200</v>
      </c>
      <c r="O62" s="45">
        <f t="shared" si="5"/>
        <v>-4800</v>
      </c>
    </row>
    <row r="63" ht="21" customHeight="1" spans="1:15">
      <c r="A63" s="15">
        <v>60</v>
      </c>
      <c r="B63" s="16">
        <v>46002</v>
      </c>
      <c r="C63" s="28" t="s">
        <v>1169</v>
      </c>
      <c r="D63" s="25">
        <v>24</v>
      </c>
      <c r="E63" s="25">
        <v>1</v>
      </c>
      <c r="F63" s="15">
        <f t="shared" si="0"/>
        <v>23</v>
      </c>
      <c r="G63" s="25"/>
      <c r="H63" s="26">
        <v>18000</v>
      </c>
      <c r="I63" s="42">
        <f t="shared" si="1"/>
        <v>18000</v>
      </c>
      <c r="J63" s="25">
        <v>1</v>
      </c>
      <c r="K63" s="26">
        <v>26000</v>
      </c>
      <c r="L63" s="44">
        <f t="shared" si="2"/>
        <v>26000</v>
      </c>
      <c r="M63" s="45">
        <f t="shared" si="3"/>
        <v>8000</v>
      </c>
      <c r="N63" s="45">
        <f t="shared" si="4"/>
        <v>5600</v>
      </c>
      <c r="O63" s="45">
        <f t="shared" si="5"/>
        <v>2400</v>
      </c>
    </row>
    <row r="64" ht="21" customHeight="1" spans="1:15">
      <c r="A64" s="15">
        <v>61</v>
      </c>
      <c r="B64" s="16">
        <v>46002</v>
      </c>
      <c r="C64" s="28" t="s">
        <v>1170</v>
      </c>
      <c r="D64" s="25">
        <v>24</v>
      </c>
      <c r="E64" s="25">
        <v>5</v>
      </c>
      <c r="F64" s="15">
        <f t="shared" si="0"/>
        <v>19</v>
      </c>
      <c r="G64" s="25"/>
      <c r="H64" s="26">
        <v>14000</v>
      </c>
      <c r="I64" s="42">
        <f t="shared" si="1"/>
        <v>70000</v>
      </c>
      <c r="J64" s="25">
        <v>5</v>
      </c>
      <c r="K64" s="26">
        <v>19000</v>
      </c>
      <c r="L64" s="44">
        <f t="shared" si="2"/>
        <v>95000</v>
      </c>
      <c r="M64" s="45">
        <f t="shared" si="3"/>
        <v>25000</v>
      </c>
      <c r="N64" s="45">
        <f t="shared" si="4"/>
        <v>17500</v>
      </c>
      <c r="O64" s="45">
        <f t="shared" si="5"/>
        <v>7500</v>
      </c>
    </row>
    <row r="65" ht="21" customHeight="1" spans="1:15">
      <c r="A65" s="15">
        <v>62</v>
      </c>
      <c r="B65" s="16">
        <v>46002</v>
      </c>
      <c r="C65" s="28" t="s">
        <v>1171</v>
      </c>
      <c r="D65" s="25">
        <v>24</v>
      </c>
      <c r="E65" s="25">
        <v>3</v>
      </c>
      <c r="F65" s="15">
        <f t="shared" si="0"/>
        <v>21</v>
      </c>
      <c r="G65" s="25"/>
      <c r="H65" s="26">
        <v>16500</v>
      </c>
      <c r="I65" s="42">
        <f t="shared" si="1"/>
        <v>49500</v>
      </c>
      <c r="J65" s="25">
        <v>3</v>
      </c>
      <c r="K65" s="26">
        <v>21500</v>
      </c>
      <c r="L65" s="44">
        <f t="shared" si="2"/>
        <v>64500</v>
      </c>
      <c r="M65" s="45">
        <f t="shared" si="3"/>
        <v>15000</v>
      </c>
      <c r="N65" s="45">
        <f t="shared" si="4"/>
        <v>10500</v>
      </c>
      <c r="O65" s="45">
        <f t="shared" si="5"/>
        <v>4500</v>
      </c>
    </row>
    <row r="66" ht="21" customHeight="1" spans="1:15">
      <c r="A66" s="15">
        <v>63</v>
      </c>
      <c r="B66" s="16">
        <v>46002</v>
      </c>
      <c r="C66" s="28" t="s">
        <v>1172</v>
      </c>
      <c r="D66" s="19">
        <v>24</v>
      </c>
      <c r="E66" s="25"/>
      <c r="F66" s="15">
        <f t="shared" si="0"/>
        <v>24</v>
      </c>
      <c r="G66" s="25"/>
      <c r="H66" s="26">
        <v>40000</v>
      </c>
      <c r="I66" s="42">
        <f t="shared" si="1"/>
        <v>0</v>
      </c>
      <c r="J66" s="25"/>
      <c r="K66" s="26">
        <v>47000</v>
      </c>
      <c r="L66" s="44">
        <f t="shared" si="2"/>
        <v>0</v>
      </c>
      <c r="M66" s="45">
        <f t="shared" si="3"/>
        <v>0</v>
      </c>
      <c r="N66" s="45">
        <f t="shared" si="4"/>
        <v>0</v>
      </c>
      <c r="O66" s="45">
        <f t="shared" si="5"/>
        <v>0</v>
      </c>
    </row>
    <row r="67" ht="21" customHeight="1" spans="1:15">
      <c r="A67" s="15">
        <v>64</v>
      </c>
      <c r="B67" s="16">
        <v>46002</v>
      </c>
      <c r="C67" s="28" t="s">
        <v>1173</v>
      </c>
      <c r="D67" s="19">
        <v>3</v>
      </c>
      <c r="E67" s="25"/>
      <c r="F67" s="15">
        <f t="shared" si="0"/>
        <v>3</v>
      </c>
      <c r="G67" s="25"/>
      <c r="H67" s="26">
        <v>180000</v>
      </c>
      <c r="I67" s="42">
        <f t="shared" si="1"/>
        <v>0</v>
      </c>
      <c r="J67" s="25"/>
      <c r="K67" s="26">
        <v>215000</v>
      </c>
      <c r="L67" s="44">
        <f t="shared" si="2"/>
        <v>0</v>
      </c>
      <c r="M67" s="45">
        <f t="shared" si="3"/>
        <v>0</v>
      </c>
      <c r="N67" s="45">
        <f t="shared" si="4"/>
        <v>0</v>
      </c>
      <c r="O67" s="45">
        <f t="shared" si="5"/>
        <v>0</v>
      </c>
    </row>
    <row r="68" ht="21" customHeight="1" spans="1:15">
      <c r="A68" s="15">
        <v>65</v>
      </c>
      <c r="B68" s="16">
        <v>46002</v>
      </c>
      <c r="C68" s="28" t="s">
        <v>1174</v>
      </c>
      <c r="D68" s="19">
        <v>3</v>
      </c>
      <c r="E68" s="25"/>
      <c r="F68" s="15">
        <f>SUM(D68-E68)</f>
        <v>3</v>
      </c>
      <c r="G68" s="25"/>
      <c r="H68" s="26">
        <v>255000</v>
      </c>
      <c r="I68" s="42">
        <f>SUM(E68*H68)</f>
        <v>0</v>
      </c>
      <c r="J68" s="25"/>
      <c r="K68" s="26">
        <v>285000</v>
      </c>
      <c r="L68" s="44">
        <f>SUM(J68*K68)</f>
        <v>0</v>
      </c>
      <c r="M68" s="45">
        <f>SUM(L68-I68)</f>
        <v>0</v>
      </c>
      <c r="N68" s="45">
        <f>SUM(M68*70%)</f>
        <v>0</v>
      </c>
      <c r="O68" s="45">
        <f>SUM(M68*30%)</f>
        <v>0</v>
      </c>
    </row>
    <row r="69" ht="21" customHeight="1" spans="1:15">
      <c r="A69" s="15">
        <v>66</v>
      </c>
      <c r="B69" s="16">
        <v>46002</v>
      </c>
      <c r="C69" s="28" t="s">
        <v>1175</v>
      </c>
      <c r="D69" s="19">
        <v>60</v>
      </c>
      <c r="E69" s="25"/>
      <c r="F69" s="15">
        <f>SUM(D69-E69)</f>
        <v>60</v>
      </c>
      <c r="G69" s="25"/>
      <c r="H69" s="26">
        <v>33000</v>
      </c>
      <c r="I69" s="42">
        <f>SUM(E69*H69)</f>
        <v>0</v>
      </c>
      <c r="J69" s="25"/>
      <c r="K69" s="26">
        <v>45000</v>
      </c>
      <c r="L69" s="44">
        <f>SUM(J69*K69)</f>
        <v>0</v>
      </c>
      <c r="M69" s="45">
        <f>SUM(L69-I69)</f>
        <v>0</v>
      </c>
      <c r="N69" s="45">
        <f>SUM(M69*70%)</f>
        <v>0</v>
      </c>
      <c r="O69" s="45">
        <f>SUM(M69*30%)</f>
        <v>0</v>
      </c>
    </row>
    <row r="70" ht="21" customHeight="1" spans="1:15">
      <c r="A70" s="15">
        <v>67</v>
      </c>
      <c r="B70" s="16">
        <v>46002</v>
      </c>
      <c r="C70" s="28" t="s">
        <v>1176</v>
      </c>
      <c r="D70" s="19">
        <v>30</v>
      </c>
      <c r="E70" s="47"/>
      <c r="F70" s="15">
        <f>SUM(D70-E70)</f>
        <v>30</v>
      </c>
      <c r="G70" s="25"/>
      <c r="H70" s="26">
        <v>38000</v>
      </c>
      <c r="I70" s="42">
        <f>SUM(E70*H70)</f>
        <v>0</v>
      </c>
      <c r="J70" s="47"/>
      <c r="K70" s="26">
        <v>48000</v>
      </c>
      <c r="L70" s="44">
        <f>SUM(J70*K70)</f>
        <v>0</v>
      </c>
      <c r="M70" s="45">
        <f>SUM(L70-I70)</f>
        <v>0</v>
      </c>
      <c r="N70" s="45">
        <f>SUM(M70*70%)</f>
        <v>0</v>
      </c>
      <c r="O70" s="45">
        <f>SUM(M70*30%)</f>
        <v>0</v>
      </c>
    </row>
    <row r="71" ht="21" customHeight="1" spans="1:17">
      <c r="A71" s="48" t="s">
        <v>109</v>
      </c>
      <c r="B71" s="49"/>
      <c r="C71" s="49"/>
      <c r="D71" s="49"/>
      <c r="E71" s="49"/>
      <c r="F71" s="49"/>
      <c r="G71" s="49"/>
      <c r="H71" s="50"/>
      <c r="I71" s="53">
        <f>SUM(I4:I70)</f>
        <v>2247140</v>
      </c>
      <c r="J71" s="54"/>
      <c r="K71" s="55"/>
      <c r="L71" s="53">
        <f>SUM(L4:L70)</f>
        <v>2579000</v>
      </c>
      <c r="M71" s="53">
        <f>SUM(M4:M70)</f>
        <v>331860</v>
      </c>
      <c r="N71" s="53">
        <f>SUM(N4:N70)</f>
        <v>232302</v>
      </c>
      <c r="O71" s="53">
        <f>SUM(O4:O70)</f>
        <v>99558</v>
      </c>
      <c r="Q71" s="56"/>
    </row>
    <row r="72" ht="15.25"/>
    <row r="75" spans="2:3">
      <c r="B75" s="6" t="s">
        <v>1177</v>
      </c>
      <c r="C75" s="51">
        <v>60000000</v>
      </c>
    </row>
    <row r="76" spans="3:3">
      <c r="C76" s="52">
        <f>C75-I71</f>
        <v>57752860</v>
      </c>
    </row>
  </sheetData>
  <mergeCells count="15">
    <mergeCell ref="D1:I1"/>
    <mergeCell ref="J1:L1"/>
    <mergeCell ref="H2:I2"/>
    <mergeCell ref="J2:L2"/>
    <mergeCell ref="A71:H71"/>
    <mergeCell ref="A1:A3"/>
    <mergeCell ref="B1:B3"/>
    <mergeCell ref="C1:C3"/>
    <mergeCell ref="D2:D3"/>
    <mergeCell ref="E2:E3"/>
    <mergeCell ref="F2:F3"/>
    <mergeCell ref="G2:G3"/>
    <mergeCell ref="M1:M3"/>
    <mergeCell ref="N1:N3"/>
    <mergeCell ref="O1:O3"/>
  </mergeCells>
  <pageMargins left="0.743055555555556" right="0.708661417322835" top="0.638888888888889" bottom="0.748031496062992" header="0.31496062992126" footer="0.31496062992126"/>
  <pageSetup paperSize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4"/>
  <sheetViews>
    <sheetView workbookViewId="0">
      <selection activeCell="E17" sqref="E17"/>
    </sheetView>
  </sheetViews>
  <sheetFormatPr defaultColWidth="8.72727272727273" defaultRowHeight="14.5"/>
  <cols>
    <col min="1" max="1" width="6.63636363636364" customWidth="1"/>
    <col min="2" max="2" width="37.5454545454545" customWidth="1"/>
    <col min="3" max="3" width="30.3636363636364" customWidth="1"/>
    <col min="4" max="4" width="14"/>
    <col min="5" max="5" width="15.1818181818182"/>
    <col min="7" max="7" width="12.5454545454545" customWidth="1"/>
    <col min="8" max="8" width="11.9090909090909" customWidth="1"/>
    <col min="9" max="15" width="11.5454545454545" customWidth="1"/>
    <col min="16" max="16" width="12.9090909090909" customWidth="1"/>
    <col min="17" max="17" width="14" customWidth="1"/>
    <col min="18" max="18" width="14.2727272727273"/>
    <col min="19" max="19" width="11.5454545454545"/>
  </cols>
  <sheetData>
    <row r="2" spans="1:3">
      <c r="A2" s="57" t="s">
        <v>0</v>
      </c>
      <c r="B2" s="57"/>
      <c r="C2" s="57"/>
    </row>
    <row r="3" spans="1:3">
      <c r="A3" s="57" t="s">
        <v>177</v>
      </c>
      <c r="B3" s="57"/>
      <c r="C3" s="57"/>
    </row>
    <row r="4" spans="1:3">
      <c r="A4" s="57" t="s">
        <v>178</v>
      </c>
      <c r="B4" s="57"/>
      <c r="C4" s="57"/>
    </row>
    <row r="5" spans="1:3">
      <c r="A5" s="669" t="s">
        <v>119</v>
      </c>
      <c r="B5" s="669"/>
      <c r="C5" t="s">
        <v>120</v>
      </c>
    </row>
    <row r="6" spans="1:3">
      <c r="A6" s="669" t="s">
        <v>121</v>
      </c>
      <c r="B6" s="669"/>
      <c r="C6" t="s">
        <v>122</v>
      </c>
    </row>
    <row r="7" spans="1:3">
      <c r="A7" s="669" t="s">
        <v>123</v>
      </c>
      <c r="B7" s="669"/>
      <c r="C7" t="s">
        <v>124</v>
      </c>
    </row>
    <row r="8" spans="1:3">
      <c r="A8" s="867">
        <v>4</v>
      </c>
      <c r="B8" s="868" t="s">
        <v>125</v>
      </c>
      <c r="C8" s="868" t="s">
        <v>126</v>
      </c>
    </row>
    <row r="9" spans="1:18">
      <c r="A9" s="191" t="s">
        <v>127</v>
      </c>
      <c r="B9" s="191" t="s">
        <v>128</v>
      </c>
      <c r="C9" s="79"/>
      <c r="G9" s="869" t="s">
        <v>179</v>
      </c>
      <c r="H9" t="s">
        <v>180</v>
      </c>
      <c r="I9" t="s">
        <v>181</v>
      </c>
      <c r="J9" t="s">
        <v>182</v>
      </c>
      <c r="K9" t="s">
        <v>183</v>
      </c>
      <c r="L9" t="s">
        <v>184</v>
      </c>
      <c r="M9" t="s">
        <v>185</v>
      </c>
      <c r="N9" t="s">
        <v>186</v>
      </c>
      <c r="O9" t="s">
        <v>187</v>
      </c>
      <c r="P9" t="s">
        <v>188</v>
      </c>
      <c r="Q9" t="s">
        <v>189</v>
      </c>
      <c r="R9" t="s">
        <v>190</v>
      </c>
    </row>
    <row r="10" spans="1:18">
      <c r="A10" s="79" t="s">
        <v>129</v>
      </c>
      <c r="B10" s="79" t="s">
        <v>191</v>
      </c>
      <c r="C10" s="870">
        <f>F10+G10+H10+I10+J10+K10+L10+M10+N10+O10+P10+Q10+R10</f>
        <v>8815913</v>
      </c>
      <c r="G10" s="62">
        <f>SUM('RUGI LABA '!C9)</f>
        <v>8815913</v>
      </c>
      <c r="H10" s="871"/>
      <c r="I10" s="62"/>
      <c r="J10" s="62"/>
      <c r="K10" s="62"/>
      <c r="L10" s="62"/>
      <c r="M10" s="62"/>
      <c r="N10" s="62"/>
      <c r="O10" s="62"/>
      <c r="P10" s="874"/>
      <c r="Q10" s="874"/>
      <c r="R10" s="891"/>
    </row>
    <row r="11" spans="1:18">
      <c r="A11" s="79" t="s">
        <v>131</v>
      </c>
      <c r="B11" s="79" t="s">
        <v>192</v>
      </c>
      <c r="C11" s="872">
        <f>F11+G11+H11+I11+J11+K11+L11+M11+N11+O11+P11+Q11+R11</f>
        <v>800000</v>
      </c>
      <c r="G11" s="871">
        <f>SUM('RUGI LABA '!C10)</f>
        <v>800000</v>
      </c>
      <c r="H11" s="62"/>
      <c r="I11" s="62"/>
      <c r="J11" s="62"/>
      <c r="K11" s="62"/>
      <c r="L11" s="62"/>
      <c r="M11" s="62"/>
      <c r="N11" s="62"/>
      <c r="O11" s="62"/>
      <c r="P11" s="874"/>
      <c r="Q11" s="874"/>
      <c r="R11" s="62"/>
    </row>
    <row r="12" spans="1:18">
      <c r="A12" s="79" t="s">
        <v>133</v>
      </c>
      <c r="B12" s="79" t="s">
        <v>134</v>
      </c>
      <c r="C12" s="872">
        <f>SUM(G12)</f>
        <v>195000</v>
      </c>
      <c r="G12" s="62">
        <f>SUM('RUGI LABA '!C11)</f>
        <v>195000</v>
      </c>
      <c r="H12" s="62"/>
      <c r="I12" s="62"/>
      <c r="J12" s="62"/>
      <c r="K12" s="62"/>
      <c r="L12" s="62"/>
      <c r="M12" s="62"/>
      <c r="N12" s="62"/>
      <c r="O12" s="62"/>
      <c r="P12" s="874"/>
      <c r="Q12" s="874"/>
      <c r="R12" s="874"/>
    </row>
    <row r="13" spans="1:18">
      <c r="A13" s="79" t="s">
        <v>135</v>
      </c>
      <c r="B13" s="79" t="s">
        <v>193</v>
      </c>
      <c r="C13" s="872">
        <f>SUM(G13+H13+I13+J13+K13+L13+M13+N13+O13+P13+Q13+R13)</f>
        <v>3403256</v>
      </c>
      <c r="G13" s="62">
        <f>SUM('RUGI LABA '!C12)</f>
        <v>3403256</v>
      </c>
      <c r="H13" s="62"/>
      <c r="I13" s="62"/>
      <c r="J13" s="62"/>
      <c r="K13" s="62"/>
      <c r="L13" s="62"/>
      <c r="M13" s="62"/>
      <c r="N13" s="62"/>
      <c r="O13" s="62"/>
      <c r="P13" s="890"/>
      <c r="Q13" s="890"/>
      <c r="R13" s="890"/>
    </row>
    <row r="14" spans="1:18">
      <c r="A14" s="79" t="s">
        <v>137</v>
      </c>
      <c r="B14" s="79" t="s">
        <v>194</v>
      </c>
      <c r="C14" s="873">
        <f>F14+G14+H14+I14+J14+K14+L14+M14+N14+O14+P14+Q14+R14</f>
        <v>3631205</v>
      </c>
      <c r="E14" s="874"/>
      <c r="G14" s="62">
        <f>SUM('RUGI LABA '!C13)</f>
        <v>3631205</v>
      </c>
      <c r="H14" s="62"/>
      <c r="I14" s="62"/>
      <c r="J14" s="62"/>
      <c r="K14" s="62"/>
      <c r="L14" s="62"/>
      <c r="M14" s="62"/>
      <c r="N14" s="62"/>
      <c r="O14" s="62"/>
      <c r="P14" s="874"/>
      <c r="Q14" s="874"/>
      <c r="R14" s="874"/>
    </row>
    <row r="15" spans="1:18">
      <c r="A15" s="79" t="s">
        <v>139</v>
      </c>
      <c r="B15" s="79" t="s">
        <v>140</v>
      </c>
      <c r="C15" s="873">
        <f>G15+H15+I15+J15+K15+L15+M15+N15+O15+P15+Q15+R15</f>
        <v>0</v>
      </c>
      <c r="G15" s="62">
        <f>SUM('RUGI LABA '!C14)</f>
        <v>0</v>
      </c>
      <c r="H15" s="62"/>
      <c r="I15" s="62"/>
      <c r="J15" s="62"/>
      <c r="K15" s="62"/>
      <c r="L15" s="62"/>
      <c r="M15" s="62"/>
      <c r="N15" s="62"/>
      <c r="O15" s="62"/>
      <c r="P15" s="62"/>
      <c r="Q15" s="874"/>
      <c r="R15" s="874"/>
    </row>
    <row r="16" spans="1:18">
      <c r="A16" s="875" t="s">
        <v>141</v>
      </c>
      <c r="B16" s="875" t="s">
        <v>142</v>
      </c>
      <c r="C16" s="876">
        <f>SUM(M16+N16+O16+P16+Q16+R16)</f>
        <v>0</v>
      </c>
      <c r="G16" s="62">
        <f>SUM('RUGI LABA '!C15)</f>
        <v>0</v>
      </c>
      <c r="H16" s="62"/>
      <c r="I16" s="62"/>
      <c r="J16" s="62"/>
      <c r="K16" s="62"/>
      <c r="L16" s="62"/>
      <c r="M16" s="62"/>
      <c r="N16" s="62"/>
      <c r="O16" s="62"/>
      <c r="P16" s="874"/>
      <c r="Q16" s="874"/>
      <c r="R16" s="874"/>
    </row>
    <row r="17" spans="1:17">
      <c r="A17" s="875" t="s">
        <v>143</v>
      </c>
      <c r="B17" s="875" t="s">
        <v>144</v>
      </c>
      <c r="C17" s="876">
        <f>SUM('RUGI LABA '!C16)</f>
        <v>232302</v>
      </c>
      <c r="G17" s="62">
        <f>SUM('RUGI LABA '!C16)</f>
        <v>232302</v>
      </c>
      <c r="H17" s="62"/>
      <c r="I17" s="62"/>
      <c r="J17" s="62"/>
      <c r="K17" s="62"/>
      <c r="L17" s="62"/>
      <c r="M17" s="62"/>
      <c r="N17" s="62"/>
      <c r="O17" s="62"/>
      <c r="P17" s="874"/>
      <c r="Q17" s="874"/>
    </row>
    <row r="18" spans="1:15">
      <c r="A18" s="191" t="s">
        <v>145</v>
      </c>
      <c r="B18" s="191" t="s">
        <v>146</v>
      </c>
      <c r="C18" s="876"/>
      <c r="G18" s="62"/>
      <c r="H18" s="62"/>
      <c r="I18" s="62"/>
      <c r="J18" s="62"/>
      <c r="K18" s="62"/>
      <c r="L18" s="62"/>
      <c r="M18" s="62"/>
      <c r="N18" s="62"/>
      <c r="O18" s="62"/>
    </row>
    <row r="19" spans="1:15">
      <c r="A19" s="79" t="s">
        <v>147</v>
      </c>
      <c r="B19" s="79" t="s">
        <v>148</v>
      </c>
      <c r="C19" s="872"/>
      <c r="G19" s="62"/>
      <c r="H19" s="62"/>
      <c r="I19" s="62"/>
      <c r="J19" s="62"/>
      <c r="K19" s="62"/>
      <c r="L19" s="62"/>
      <c r="M19" s="62"/>
      <c r="N19" s="62"/>
      <c r="O19" s="62"/>
    </row>
    <row r="20" spans="1:15">
      <c r="A20" s="79" t="s">
        <v>149</v>
      </c>
      <c r="B20" s="191" t="s">
        <v>150</v>
      </c>
      <c r="C20" s="876">
        <f>F20+G20+H20+I20+J20</f>
        <v>0</v>
      </c>
      <c r="G20" s="871"/>
      <c r="H20" s="62"/>
      <c r="I20" s="62"/>
      <c r="J20" s="62"/>
      <c r="K20" s="62"/>
      <c r="L20" s="62"/>
      <c r="M20" s="62"/>
      <c r="N20" s="62"/>
      <c r="O20" s="62"/>
    </row>
    <row r="21" spans="1:15">
      <c r="A21" s="79"/>
      <c r="B21" s="79"/>
      <c r="C21" s="876"/>
      <c r="G21" s="877"/>
      <c r="H21" s="62"/>
      <c r="I21" s="62"/>
      <c r="J21" s="62"/>
      <c r="K21" s="62"/>
      <c r="L21" s="62"/>
      <c r="M21" s="62"/>
      <c r="N21" s="62"/>
      <c r="O21" s="62"/>
    </row>
    <row r="22" spans="1:15">
      <c r="A22" s="867" t="s">
        <v>151</v>
      </c>
      <c r="B22" s="867"/>
      <c r="C22" s="878">
        <f>SUM(C10:C20)</f>
        <v>17077676</v>
      </c>
      <c r="G22" s="62"/>
      <c r="H22" s="62"/>
      <c r="I22" s="871"/>
      <c r="J22" s="62"/>
      <c r="K22" s="62"/>
      <c r="L22" s="62"/>
      <c r="M22" s="62"/>
      <c r="N22" s="62"/>
      <c r="O22" s="62"/>
    </row>
    <row r="23" spans="1:15">
      <c r="A23" s="879">
        <v>5</v>
      </c>
      <c r="B23" s="191" t="s">
        <v>152</v>
      </c>
      <c r="C23" s="79"/>
      <c r="G23" s="880"/>
      <c r="H23" s="62"/>
      <c r="I23" s="62"/>
      <c r="J23" s="62"/>
      <c r="K23" s="62"/>
      <c r="L23" s="62"/>
      <c r="M23" s="62"/>
      <c r="N23" s="62"/>
      <c r="O23" s="62"/>
    </row>
    <row r="24" spans="1:18">
      <c r="A24" s="79" t="s">
        <v>153</v>
      </c>
      <c r="B24" s="79" t="s">
        <v>154</v>
      </c>
      <c r="C24" s="872">
        <f>SUM(G24+H24+I24+J24+K24+L24+M24+N24+O24+P24+Q24+R24)</f>
        <v>7850000</v>
      </c>
      <c r="E24" s="874"/>
      <c r="G24" s="61">
        <f>SUM('RUGI LABA '!C23)</f>
        <v>7850000</v>
      </c>
      <c r="H24" s="881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>
      <c r="A25" s="79" t="s">
        <v>157</v>
      </c>
      <c r="B25" s="79" t="s">
        <v>195</v>
      </c>
      <c r="C25" s="872">
        <f>F25+G25+H25+I25+J25+K25+L25+M25+N25+O25+P25+Q25+R25</f>
        <v>1600000</v>
      </c>
      <c r="G25" s="61">
        <f>SUM('RUGI LABA '!C24)</f>
        <v>1600000</v>
      </c>
      <c r="H25" s="881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>
      <c r="A26" s="79" t="s">
        <v>159</v>
      </c>
      <c r="B26" s="79" t="s">
        <v>196</v>
      </c>
      <c r="C26" s="872">
        <f>F26+G26+H26+I26+J26+K26+L26+M26+N26+O26+P26+Q26+R26</f>
        <v>1100000</v>
      </c>
      <c r="D26" s="874"/>
      <c r="G26" s="61">
        <f>SUM('RUGI LABA '!C25)</f>
        <v>1100000</v>
      </c>
      <c r="H26" s="881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>
      <c r="A27" s="79" t="s">
        <v>161</v>
      </c>
      <c r="B27" s="79" t="s">
        <v>160</v>
      </c>
      <c r="C27" s="872">
        <f>SUM(G27+H27+I27+J27+K27+L27+M27+N27+O27+P27+Q27+R27)</f>
        <v>1345000</v>
      </c>
      <c r="G27" s="61">
        <f>SUM('RUGI LABA '!C26)</f>
        <v>1345000</v>
      </c>
      <c r="H27" s="881"/>
      <c r="I27" s="62"/>
      <c r="J27" s="62"/>
      <c r="K27" s="62"/>
      <c r="L27" s="62"/>
      <c r="M27" s="62"/>
      <c r="N27" s="62"/>
      <c r="O27" s="62"/>
      <c r="P27" s="874"/>
      <c r="Q27" s="874"/>
      <c r="R27" s="62"/>
    </row>
    <row r="28" spans="1:15">
      <c r="A28" s="79" t="s">
        <v>163</v>
      </c>
      <c r="B28" s="79" t="s">
        <v>162</v>
      </c>
      <c r="C28" s="872">
        <f>G28+H28+I28</f>
        <v>0</v>
      </c>
      <c r="E28" s="874">
        <f>SUM(C24:C32)</f>
        <v>16640029.1666667</v>
      </c>
      <c r="G28" s="61"/>
      <c r="H28" s="881"/>
      <c r="I28" s="62"/>
      <c r="J28" s="62"/>
      <c r="K28" s="62"/>
      <c r="L28" s="62"/>
      <c r="M28" s="62"/>
      <c r="N28" s="62"/>
      <c r="O28" s="62"/>
    </row>
    <row r="29" spans="1:19">
      <c r="A29" s="79" t="s">
        <v>197</v>
      </c>
      <c r="B29" s="79" t="s">
        <v>164</v>
      </c>
      <c r="C29" s="872">
        <f>SUM(G29+H29+I29+J29+K29+L29+M29+N29+O29+P29+Q29+R29)</f>
        <v>4745029.16666667</v>
      </c>
      <c r="G29" s="61">
        <f>SUM('RUGI LABA '!C28)</f>
        <v>4745029.16666667</v>
      </c>
      <c r="H29" s="882"/>
      <c r="I29" s="108"/>
      <c r="J29" s="874"/>
      <c r="K29" s="62"/>
      <c r="L29" s="874"/>
      <c r="M29" s="62"/>
      <c r="N29" s="874"/>
      <c r="O29" s="874"/>
      <c r="P29" s="874"/>
      <c r="Q29" s="874"/>
      <c r="R29" s="874"/>
      <c r="S29" s="108">
        <f>SUM(G29:P29)</f>
        <v>4745029.16666667</v>
      </c>
    </row>
    <row r="30" spans="1:9">
      <c r="A30" s="879" t="s">
        <v>165</v>
      </c>
      <c r="B30" s="191" t="s">
        <v>166</v>
      </c>
      <c r="C30" s="872"/>
      <c r="G30" s="883"/>
      <c r="H30" s="884"/>
      <c r="I30" s="874"/>
    </row>
    <row r="31" spans="1:15">
      <c r="A31" s="79" t="s">
        <v>167</v>
      </c>
      <c r="B31" s="79" t="s">
        <v>198</v>
      </c>
      <c r="C31" s="872">
        <f>SUM(G31+H31+I31+M31)</f>
        <v>0</v>
      </c>
      <c r="G31" s="885"/>
      <c r="H31" s="669"/>
      <c r="I31" s="874"/>
      <c r="M31" s="874"/>
      <c r="N31" s="874"/>
      <c r="O31" s="62"/>
    </row>
    <row r="32" spans="1:16">
      <c r="A32" s="79" t="s">
        <v>169</v>
      </c>
      <c r="B32" s="79" t="s">
        <v>170</v>
      </c>
      <c r="C32" s="886">
        <f>SUM(G32+H32+P32)</f>
        <v>0</v>
      </c>
      <c r="G32" s="874"/>
      <c r="P32" s="874"/>
    </row>
    <row r="33" spans="1:5">
      <c r="A33" s="879">
        <v>7</v>
      </c>
      <c r="B33" s="191" t="s">
        <v>199</v>
      </c>
      <c r="C33" s="872"/>
      <c r="D33" s="874">
        <f>C24+C25+C26</f>
        <v>10550000</v>
      </c>
      <c r="E33" s="874">
        <f>C22-D33</f>
        <v>6527676</v>
      </c>
    </row>
    <row r="34" spans="1:4">
      <c r="A34" s="79" t="s">
        <v>172</v>
      </c>
      <c r="B34" s="191" t="s">
        <v>173</v>
      </c>
      <c r="C34" s="872"/>
      <c r="D34">
        <v>63</v>
      </c>
    </row>
    <row r="35" spans="1:3">
      <c r="A35" s="867" t="s">
        <v>174</v>
      </c>
      <c r="B35" s="867"/>
      <c r="C35" s="878">
        <f>C22-C24-C25-C26-C27-C28-C29-C31-C32</f>
        <v>437646.83333333</v>
      </c>
    </row>
    <row r="36" spans="1:3">
      <c r="A36" s="884"/>
      <c r="B36" s="884"/>
      <c r="C36" s="887" t="s">
        <v>175</v>
      </c>
    </row>
    <row r="37" spans="1:3">
      <c r="A37" s="884" t="s">
        <v>111</v>
      </c>
      <c r="B37" s="884"/>
      <c r="C37" s="884"/>
    </row>
    <row r="38" spans="1:3">
      <c r="A38" s="884" t="s">
        <v>112</v>
      </c>
      <c r="B38" s="884"/>
      <c r="C38" s="884"/>
    </row>
    <row r="40" spans="1:3">
      <c r="A40" s="884" t="s">
        <v>113</v>
      </c>
      <c r="B40" s="884"/>
      <c r="C40" s="884" t="s">
        <v>114</v>
      </c>
    </row>
    <row r="41" spans="2:2">
      <c r="B41" s="884"/>
    </row>
    <row r="42" spans="2:2">
      <c r="B42" s="884"/>
    </row>
    <row r="43" spans="2:2">
      <c r="B43" s="888"/>
    </row>
    <row r="44" spans="1:3">
      <c r="A44" s="889" t="s">
        <v>115</v>
      </c>
      <c r="B44" s="889"/>
      <c r="C44" s="888" t="s">
        <v>176</v>
      </c>
    </row>
  </sheetData>
  <mergeCells count="13">
    <mergeCell ref="A2:C2"/>
    <mergeCell ref="A3:C3"/>
    <mergeCell ref="A4:C4"/>
    <mergeCell ref="A5:B5"/>
    <mergeCell ref="A6:B6"/>
    <mergeCell ref="A7:B7"/>
    <mergeCell ref="A22:B22"/>
    <mergeCell ref="A35:B35"/>
    <mergeCell ref="A36:B36"/>
    <mergeCell ref="A37:C37"/>
    <mergeCell ref="A38:C38"/>
    <mergeCell ref="A40:B40"/>
    <mergeCell ref="A44:B44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6"/>
  <sheetViews>
    <sheetView zoomScale="61" zoomScaleNormal="61" zoomScalePageLayoutView="60" showWhiteSpace="0" topLeftCell="A31" workbookViewId="0">
      <selection activeCell="T58" sqref="T58"/>
    </sheetView>
  </sheetViews>
  <sheetFormatPr defaultColWidth="9" defaultRowHeight="14.5"/>
  <cols>
    <col min="1" max="1" width="9" style="758" customWidth="1"/>
    <col min="2" max="2" width="45.0090909090909" style="759" customWidth="1"/>
    <col min="3" max="3" width="15.5727272727273" style="758" customWidth="1"/>
    <col min="4" max="4" width="13" style="758" customWidth="1"/>
    <col min="5" max="5" width="11.8545454545455" style="758" customWidth="1"/>
    <col min="6" max="6" width="13.3" style="758" customWidth="1"/>
    <col min="7" max="9" width="13.5727272727273" style="758" customWidth="1"/>
    <col min="10" max="12" width="15.1363636363636" style="758" customWidth="1"/>
    <col min="13" max="13" width="15.1363636363636" style="756" customWidth="1"/>
    <col min="14" max="14" width="15.5727272727273" style="758" customWidth="1"/>
    <col min="15" max="19" width="13" style="758" customWidth="1"/>
    <col min="20" max="20" width="12" style="758" customWidth="1"/>
    <col min="21" max="21" width="14.7090909090909" style="757" customWidth="1"/>
    <col min="22" max="22" width="14.7090909090909" style="756" customWidth="1"/>
    <col min="23" max="23" width="13.4272727272727" style="756" customWidth="1"/>
    <col min="24" max="24" width="25.1363636363636" style="758" customWidth="1"/>
    <col min="25" max="25" width="18.1818181818182" style="758" customWidth="1"/>
    <col min="26" max="26" width="12.5727272727273" style="758" customWidth="1"/>
    <col min="27" max="27" width="11.1363636363636" style="758" customWidth="1"/>
    <col min="28" max="28" width="14.5727272727273" style="758" customWidth="1"/>
    <col min="29" max="29" width="11.1363636363636" style="758" customWidth="1"/>
    <col min="30" max="30" width="11" style="758" customWidth="1"/>
    <col min="31" max="16384" width="9" style="758"/>
  </cols>
  <sheetData>
    <row r="1" spans="1: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793"/>
      <c r="V1" s="150"/>
      <c r="W1" s="150"/>
      <c r="X1" s="794"/>
      <c r="Y1" s="794"/>
    </row>
    <row r="2" spans="1:25">
      <c r="A2" s="760" t="s">
        <v>200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95"/>
      <c r="V2" s="760"/>
      <c r="W2" s="760"/>
      <c r="X2" s="756"/>
      <c r="Y2" s="756"/>
    </row>
    <row r="3" spans="1:2">
      <c r="A3" s="758" t="s">
        <v>201</v>
      </c>
      <c r="B3" s="759" t="s">
        <v>120</v>
      </c>
    </row>
    <row r="4" spans="1:2">
      <c r="A4" s="758" t="s">
        <v>202</v>
      </c>
      <c r="B4" s="759" t="s">
        <v>122</v>
      </c>
    </row>
    <row r="5" spans="1:2">
      <c r="A5" s="758" t="s">
        <v>203</v>
      </c>
      <c r="B5" s="759" t="s">
        <v>124</v>
      </c>
    </row>
    <row r="6" ht="21.95" customHeight="1" spans="1:23">
      <c r="A6" s="761" t="s">
        <v>204</v>
      </c>
      <c r="B6" s="761" t="s">
        <v>205</v>
      </c>
      <c r="C6" s="762" t="s">
        <v>206</v>
      </c>
      <c r="D6" s="763"/>
      <c r="E6" s="763"/>
      <c r="F6" s="763"/>
      <c r="G6" s="763"/>
      <c r="H6" s="763"/>
      <c r="I6" s="763"/>
      <c r="J6" s="763"/>
      <c r="K6" s="763"/>
      <c r="L6" s="763"/>
      <c r="M6" s="786"/>
      <c r="N6" s="787" t="s">
        <v>207</v>
      </c>
      <c r="O6" s="788"/>
      <c r="P6" s="788"/>
      <c r="Q6" s="788"/>
      <c r="R6" s="788"/>
      <c r="S6" s="788"/>
      <c r="T6" s="788"/>
      <c r="U6" s="796"/>
      <c r="V6" s="797"/>
      <c r="W6" s="798" t="s">
        <v>208</v>
      </c>
    </row>
    <row r="7" ht="46.5" customHeight="1" spans="1:23">
      <c r="A7" s="761"/>
      <c r="B7" s="761"/>
      <c r="C7" s="764" t="s">
        <v>209</v>
      </c>
      <c r="D7" s="764" t="s">
        <v>210</v>
      </c>
      <c r="E7" s="765" t="s">
        <v>211</v>
      </c>
      <c r="F7" s="765" t="s">
        <v>212</v>
      </c>
      <c r="G7" s="764" t="s">
        <v>213</v>
      </c>
      <c r="H7" s="764" t="s">
        <v>214</v>
      </c>
      <c r="I7" s="764" t="s">
        <v>215</v>
      </c>
      <c r="J7" s="764" t="s">
        <v>216</v>
      </c>
      <c r="K7" s="764" t="s">
        <v>217</v>
      </c>
      <c r="L7" s="764" t="s">
        <v>218</v>
      </c>
      <c r="M7" s="764" t="s">
        <v>109</v>
      </c>
      <c r="N7" s="789" t="s">
        <v>209</v>
      </c>
      <c r="O7" s="789" t="s">
        <v>210</v>
      </c>
      <c r="P7" s="790" t="s">
        <v>211</v>
      </c>
      <c r="Q7" s="789" t="s">
        <v>215</v>
      </c>
      <c r="R7" s="789" t="s">
        <v>213</v>
      </c>
      <c r="S7" s="789" t="s">
        <v>219</v>
      </c>
      <c r="T7" s="789" t="s">
        <v>220</v>
      </c>
      <c r="U7" s="789" t="s">
        <v>152</v>
      </c>
      <c r="V7" s="789" t="s">
        <v>109</v>
      </c>
      <c r="W7" s="798"/>
    </row>
    <row r="8" spans="1:25">
      <c r="A8" s="1067" t="s">
        <v>221</v>
      </c>
      <c r="B8" s="767" t="s">
        <v>222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799"/>
      <c r="V8" s="800"/>
      <c r="W8" s="801">
        <f>SUM([50]KASHAR!$W$250)</f>
        <v>99706967.166667</v>
      </c>
      <c r="X8" s="758" t="s">
        <v>223</v>
      </c>
      <c r="Y8" s="810"/>
    </row>
    <row r="9" spans="1:25">
      <c r="A9" s="766"/>
      <c r="B9" s="768" t="s">
        <v>224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62">
        <f>SUM(C9:L9)</f>
        <v>0</v>
      </c>
      <c r="N9" s="106"/>
      <c r="O9" s="106"/>
      <c r="P9" s="106"/>
      <c r="Q9" s="106"/>
      <c r="R9" s="106">
        <v>219000</v>
      </c>
      <c r="S9" s="162"/>
      <c r="T9" s="162"/>
      <c r="U9" s="106"/>
      <c r="V9" s="162"/>
      <c r="W9" s="802">
        <f>SUM(M9-V9)</f>
        <v>0</v>
      </c>
      <c r="Y9" s="810"/>
    </row>
    <row r="10" spans="1:25">
      <c r="A10" s="766"/>
      <c r="B10" s="768" t="s">
        <v>225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62">
        <f>SUM(C10:L10)</f>
        <v>0</v>
      </c>
      <c r="N10" s="106"/>
      <c r="O10" s="106"/>
      <c r="P10" s="106"/>
      <c r="Q10" s="106"/>
      <c r="R10" s="106">
        <v>40000</v>
      </c>
      <c r="S10" s="162"/>
      <c r="T10" s="162"/>
      <c r="U10" s="106"/>
      <c r="V10" s="162"/>
      <c r="W10" s="802">
        <f>SUM(M10-V10)</f>
        <v>0</v>
      </c>
      <c r="Y10" s="810"/>
    </row>
    <row r="11" customFormat="1" spans="1:26">
      <c r="A11" s="766"/>
      <c r="B11" s="768" t="s">
        <v>226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62"/>
      <c r="N11" s="106"/>
      <c r="O11" s="106"/>
      <c r="P11" s="106"/>
      <c r="Q11" s="106"/>
      <c r="R11" s="106">
        <v>250000</v>
      </c>
      <c r="S11" s="162"/>
      <c r="T11" s="162"/>
      <c r="U11" s="106"/>
      <c r="V11" s="162"/>
      <c r="W11" s="802"/>
      <c r="Y11" s="810"/>
      <c r="Z11" s="758"/>
    </row>
    <row r="12" customFormat="1" spans="1:26">
      <c r="A12" s="766"/>
      <c r="B12" s="768" t="s">
        <v>227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62"/>
      <c r="N12" s="106"/>
      <c r="O12" s="106"/>
      <c r="P12" s="106"/>
      <c r="Q12" s="106">
        <f>SUM('[47]Mantanaice bor air'!$G$16)</f>
        <v>3560000</v>
      </c>
      <c r="R12" s="106"/>
      <c r="S12" s="162"/>
      <c r="T12" s="162"/>
      <c r="U12" s="106"/>
      <c r="V12" s="162"/>
      <c r="W12" s="802">
        <f t="shared" ref="W12:W41" si="0">SUM(M12-V12)</f>
        <v>0</v>
      </c>
      <c r="Y12" s="810"/>
      <c r="Z12" s="758"/>
    </row>
    <row r="13" customFormat="1" spans="1:26">
      <c r="A13" s="766"/>
      <c r="B13" s="768" t="s">
        <v>228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62"/>
      <c r="N13" s="106"/>
      <c r="O13" s="106"/>
      <c r="P13" s="106"/>
      <c r="Q13" s="106">
        <v>22060200</v>
      </c>
      <c r="R13" s="106"/>
      <c r="S13" s="162"/>
      <c r="T13" s="162"/>
      <c r="U13" s="106"/>
      <c r="V13" s="162"/>
      <c r="W13" s="802">
        <f t="shared" si="0"/>
        <v>0</v>
      </c>
      <c r="Y13" s="810"/>
      <c r="Z13" s="758"/>
    </row>
    <row r="14" customFormat="1" spans="1:26">
      <c r="A14" s="766"/>
      <c r="B14" s="768" t="s">
        <v>229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62"/>
      <c r="N14" s="106"/>
      <c r="O14" s="106"/>
      <c r="P14" s="106"/>
      <c r="Q14" s="106">
        <f>SUM('[52]titik 3'!$G$18)</f>
        <v>9505000</v>
      </c>
      <c r="R14" s="106"/>
      <c r="S14" s="162"/>
      <c r="T14" s="162"/>
      <c r="U14" s="106"/>
      <c r="V14" s="162"/>
      <c r="W14" s="802">
        <f t="shared" si="0"/>
        <v>0</v>
      </c>
      <c r="Y14" s="810"/>
      <c r="Z14" s="758"/>
    </row>
    <row r="15" customFormat="1" spans="1:26">
      <c r="A15" s="766"/>
      <c r="B15" s="768" t="s">
        <v>230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62"/>
      <c r="N15" s="106"/>
      <c r="O15" s="106"/>
      <c r="P15" s="106"/>
      <c r="Q15" s="106">
        <f>SUM('[47]titik 4'!$G$17)</f>
        <v>8940000</v>
      </c>
      <c r="R15" s="106"/>
      <c r="S15" s="162"/>
      <c r="T15" s="162"/>
      <c r="U15" s="106"/>
      <c r="V15" s="162"/>
      <c r="W15" s="802">
        <f t="shared" si="0"/>
        <v>0</v>
      </c>
      <c r="Y15" s="810"/>
      <c r="Z15" s="758"/>
    </row>
    <row r="16" customFormat="1" spans="1:26">
      <c r="A16" s="766"/>
      <c r="B16" s="768" t="s">
        <v>231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62"/>
      <c r="N16" s="106"/>
      <c r="O16" s="106"/>
      <c r="P16" s="106"/>
      <c r="Q16" s="106">
        <f>SUM('[47]titik 5'!$G$22)</f>
        <v>16438000</v>
      </c>
      <c r="R16" s="106"/>
      <c r="S16" s="162"/>
      <c r="T16" s="162"/>
      <c r="U16" s="106"/>
      <c r="V16" s="162"/>
      <c r="W16" s="802">
        <f t="shared" si="0"/>
        <v>0</v>
      </c>
      <c r="Y16" s="810"/>
      <c r="Z16" s="758"/>
    </row>
    <row r="17" customFormat="1" spans="1:26">
      <c r="A17" s="766"/>
      <c r="B17" s="768" t="s">
        <v>232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62"/>
      <c r="N17" s="106"/>
      <c r="O17" s="106"/>
      <c r="P17" s="106"/>
      <c r="Q17" s="106">
        <f>SUM('[47]titik 6'!$G$22)</f>
        <v>3765000</v>
      </c>
      <c r="R17" s="106"/>
      <c r="S17" s="162"/>
      <c r="T17" s="162"/>
      <c r="U17" s="106"/>
      <c r="V17" s="162"/>
      <c r="W17" s="802">
        <f t="shared" si="0"/>
        <v>0</v>
      </c>
      <c r="Y17" s="810"/>
      <c r="Z17" s="758"/>
    </row>
    <row r="18" customFormat="1" spans="1:26">
      <c r="A18" s="766"/>
      <c r="B18" s="768" t="s">
        <v>233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62"/>
      <c r="N18" s="106"/>
      <c r="O18" s="106"/>
      <c r="P18" s="106"/>
      <c r="Q18" s="106">
        <f>SUM('[47]titik 7'!$G$14)</f>
        <v>1678000</v>
      </c>
      <c r="R18" s="106"/>
      <c r="S18" s="162"/>
      <c r="T18" s="162"/>
      <c r="U18" s="106"/>
      <c r="V18" s="162"/>
      <c r="W18" s="802">
        <f t="shared" si="0"/>
        <v>0</v>
      </c>
      <c r="Y18" s="810"/>
      <c r="Z18" s="758"/>
    </row>
    <row r="19" customFormat="1" spans="1:26">
      <c r="A19" s="766"/>
      <c r="B19" s="768" t="s">
        <v>234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62"/>
      <c r="N19" s="106"/>
      <c r="O19" s="106"/>
      <c r="P19" s="106"/>
      <c r="Q19" s="106">
        <f>SUM('[47]titik 8'!$G$14)</f>
        <v>3375000</v>
      </c>
      <c r="R19" s="106"/>
      <c r="S19" s="162"/>
      <c r="T19" s="162"/>
      <c r="U19" s="106"/>
      <c r="V19" s="162"/>
      <c r="W19" s="802">
        <f t="shared" si="0"/>
        <v>0</v>
      </c>
      <c r="Y19" s="810"/>
      <c r="Z19" s="758"/>
    </row>
    <row r="20" customFormat="1" spans="1:26">
      <c r="A20" s="766"/>
      <c r="B20" s="768" t="s">
        <v>235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62"/>
      <c r="N20" s="106"/>
      <c r="O20" s="106"/>
      <c r="P20" s="106"/>
      <c r="Q20" s="106">
        <v>61125266</v>
      </c>
      <c r="R20" s="106"/>
      <c r="S20" s="162"/>
      <c r="T20" s="162"/>
      <c r="U20" s="106"/>
      <c r="V20" s="162"/>
      <c r="W20" s="802">
        <f t="shared" si="0"/>
        <v>0</v>
      </c>
      <c r="X20" t="s">
        <v>236</v>
      </c>
      <c r="Y20" s="810">
        <f>Q20</f>
        <v>61125266</v>
      </c>
      <c r="Z20" s="758"/>
    </row>
    <row r="21" customFormat="1" spans="1:26">
      <c r="A21" s="766"/>
      <c r="B21" s="768" t="s">
        <v>237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62"/>
      <c r="N21" s="106"/>
      <c r="O21" s="106"/>
      <c r="P21" s="106"/>
      <c r="Q21" s="106">
        <f>SUM('[47]PENG. GALUNG JAMPU TAHAP KE 2'!$G$41)</f>
        <v>7408500</v>
      </c>
      <c r="R21" s="106"/>
      <c r="S21" s="162"/>
      <c r="T21" s="162"/>
      <c r="U21" s="106"/>
      <c r="V21" s="162"/>
      <c r="W21" s="802">
        <f t="shared" si="0"/>
        <v>0</v>
      </c>
      <c r="Y21" s="810"/>
      <c r="Z21" s="758"/>
    </row>
    <row r="22" customFormat="1" spans="1:26">
      <c r="A22" s="766"/>
      <c r="B22" s="768" t="s">
        <v>238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62"/>
      <c r="N22" s="106"/>
      <c r="O22" s="106"/>
      <c r="P22" s="106"/>
      <c r="Q22" s="106">
        <v>63764000</v>
      </c>
      <c r="R22" s="106"/>
      <c r="S22" s="162"/>
      <c r="T22" s="162"/>
      <c r="U22" s="106"/>
      <c r="V22" s="162"/>
      <c r="W22" s="802">
        <f t="shared" si="0"/>
        <v>0</v>
      </c>
      <c r="Y22" s="810"/>
      <c r="Z22" s="758"/>
    </row>
    <row r="23" customFormat="1" spans="1:26">
      <c r="A23" s="766"/>
      <c r="B23" s="768" t="s">
        <v>239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62"/>
      <c r="N23" s="106"/>
      <c r="O23" s="106"/>
      <c r="P23" s="106"/>
      <c r="Q23" s="106"/>
      <c r="R23" s="106">
        <f>SUM([53]Sheet1!$J$47)</f>
        <v>1260000</v>
      </c>
      <c r="S23" s="162"/>
      <c r="T23" s="162"/>
      <c r="U23" s="106"/>
      <c r="V23" s="162"/>
      <c r="W23" s="802">
        <f t="shared" si="0"/>
        <v>0</v>
      </c>
      <c r="Y23" s="810"/>
      <c r="Z23" s="758"/>
    </row>
    <row r="24" customFormat="1" spans="1:26">
      <c r="A24" s="766"/>
      <c r="B24" s="769" t="s">
        <v>240</v>
      </c>
      <c r="C24" s="699"/>
      <c r="D24" s="699"/>
      <c r="E24" s="699"/>
      <c r="F24" s="654"/>
      <c r="G24" s="699"/>
      <c r="H24" s="699"/>
      <c r="I24" s="699"/>
      <c r="J24" s="654"/>
      <c r="K24" s="654"/>
      <c r="L24" s="654"/>
      <c r="M24" s="162">
        <f t="shared" ref="M24:M33" si="1">SUM(C24:L24)</f>
        <v>0</v>
      </c>
      <c r="N24" s="654"/>
      <c r="O24" s="654"/>
      <c r="P24" s="654"/>
      <c r="Q24" s="654"/>
      <c r="R24" s="699"/>
      <c r="S24" s="654">
        <v>156000</v>
      </c>
      <c r="T24" s="654"/>
      <c r="U24" s="699"/>
      <c r="V24" s="803"/>
      <c r="W24" s="802">
        <f t="shared" si="0"/>
        <v>0</v>
      </c>
      <c r="Y24" s="62"/>
      <c r="Z24" s="813"/>
    </row>
    <row r="25" customFormat="1" spans="1:26">
      <c r="A25" s="766"/>
      <c r="B25" s="769" t="s">
        <v>241</v>
      </c>
      <c r="C25" s="699"/>
      <c r="D25" s="699"/>
      <c r="E25" s="699"/>
      <c r="F25" s="654"/>
      <c r="G25" s="699"/>
      <c r="H25" s="699"/>
      <c r="I25" s="699"/>
      <c r="J25" s="654"/>
      <c r="K25" s="654"/>
      <c r="L25" s="654"/>
      <c r="M25" s="162">
        <f t="shared" si="1"/>
        <v>0</v>
      </c>
      <c r="N25" s="654"/>
      <c r="O25" s="654"/>
      <c r="P25" s="654"/>
      <c r="Q25" s="654"/>
      <c r="R25" s="699"/>
      <c r="S25" s="654">
        <v>150000</v>
      </c>
      <c r="T25" s="654"/>
      <c r="U25" s="699"/>
      <c r="V25" s="803"/>
      <c r="W25" s="802">
        <f t="shared" si="0"/>
        <v>0</v>
      </c>
      <c r="Y25" s="62"/>
      <c r="Z25" s="813"/>
    </row>
    <row r="26" spans="1:28">
      <c r="A26" s="766"/>
      <c r="B26" s="770" t="s">
        <v>242</v>
      </c>
      <c r="C26" s="771"/>
      <c r="D26" s="771"/>
      <c r="E26" s="771"/>
      <c r="F26" s="772"/>
      <c r="G26" s="771"/>
      <c r="H26" s="771"/>
      <c r="I26" s="771"/>
      <c r="J26" s="772"/>
      <c r="K26" s="772"/>
      <c r="L26" s="772"/>
      <c r="M26" s="791">
        <f t="shared" si="1"/>
        <v>0</v>
      </c>
      <c r="N26" s="772"/>
      <c r="O26" s="772"/>
      <c r="P26" s="772"/>
      <c r="Q26" s="772"/>
      <c r="R26" s="771"/>
      <c r="S26" s="772">
        <v>2500000</v>
      </c>
      <c r="T26" s="772"/>
      <c r="U26" s="771"/>
      <c r="V26" s="804"/>
      <c r="W26" s="805">
        <f t="shared" si="0"/>
        <v>0</v>
      </c>
      <c r="X26" s="806"/>
      <c r="Y26" s="810"/>
      <c r="AB26" s="810"/>
    </row>
    <row r="27" spans="1:32">
      <c r="A27" s="766"/>
      <c r="B27" s="770" t="s">
        <v>243</v>
      </c>
      <c r="C27" s="771"/>
      <c r="D27" s="771"/>
      <c r="E27" s="771"/>
      <c r="F27" s="772"/>
      <c r="G27" s="771"/>
      <c r="H27" s="771"/>
      <c r="I27" s="771"/>
      <c r="J27" s="772"/>
      <c r="K27" s="772"/>
      <c r="L27" s="772"/>
      <c r="M27" s="791">
        <f t="shared" si="1"/>
        <v>0</v>
      </c>
      <c r="N27" s="772"/>
      <c r="O27" s="772"/>
      <c r="P27" s="772"/>
      <c r="Q27" s="772"/>
      <c r="R27" s="771"/>
      <c r="S27" s="772">
        <v>282645</v>
      </c>
      <c r="T27" s="772"/>
      <c r="U27" s="771"/>
      <c r="V27" s="804"/>
      <c r="W27" s="805">
        <f t="shared" si="0"/>
        <v>0</v>
      </c>
      <c r="X27" s="807"/>
      <c r="Y27" s="814"/>
      <c r="Z27" s="814"/>
      <c r="AA27" s="754"/>
      <c r="AB27" s="754"/>
      <c r="AC27" s="754"/>
      <c r="AD27" s="754"/>
      <c r="AE27" s="754"/>
      <c r="AF27" s="754"/>
    </row>
    <row r="28" spans="1:32">
      <c r="A28" s="766"/>
      <c r="B28" s="770" t="s">
        <v>244</v>
      </c>
      <c r="C28" s="771"/>
      <c r="D28" s="771"/>
      <c r="E28" s="771"/>
      <c r="F28" s="772"/>
      <c r="G28" s="771"/>
      <c r="H28" s="771"/>
      <c r="I28" s="771"/>
      <c r="J28" s="772"/>
      <c r="K28" s="772"/>
      <c r="L28" s="772"/>
      <c r="M28" s="791">
        <f t="shared" si="1"/>
        <v>0</v>
      </c>
      <c r="N28" s="772"/>
      <c r="O28" s="772"/>
      <c r="P28" s="772"/>
      <c r="Q28" s="772"/>
      <c r="R28" s="771"/>
      <c r="S28" s="772">
        <v>1010000</v>
      </c>
      <c r="T28" s="772"/>
      <c r="U28" s="771"/>
      <c r="V28" s="804"/>
      <c r="W28" s="805">
        <f t="shared" si="0"/>
        <v>0</v>
      </c>
      <c r="X28" s="807"/>
      <c r="Y28" s="814"/>
      <c r="Z28" s="754"/>
      <c r="AA28" s="754"/>
      <c r="AB28" s="754"/>
      <c r="AC28" s="754"/>
      <c r="AD28" s="754"/>
      <c r="AE28" s="754"/>
      <c r="AF28" s="754"/>
    </row>
    <row r="29" spans="1:32">
      <c r="A29" s="766"/>
      <c r="B29" s="770" t="s">
        <v>245</v>
      </c>
      <c r="C29" s="771"/>
      <c r="D29" s="771"/>
      <c r="E29" s="771"/>
      <c r="F29" s="772"/>
      <c r="G29" s="771"/>
      <c r="H29" s="771"/>
      <c r="I29" s="771"/>
      <c r="J29" s="772"/>
      <c r="K29" s="772"/>
      <c r="L29" s="772"/>
      <c r="M29" s="791">
        <f t="shared" si="1"/>
        <v>0</v>
      </c>
      <c r="N29" s="772"/>
      <c r="O29" s="772"/>
      <c r="P29" s="772"/>
      <c r="Q29" s="772"/>
      <c r="R29" s="771"/>
      <c r="S29" s="772">
        <v>612000</v>
      </c>
      <c r="T29" s="772"/>
      <c r="U29" s="771"/>
      <c r="V29" s="804"/>
      <c r="W29" s="805">
        <f t="shared" si="0"/>
        <v>0</v>
      </c>
      <c r="X29" s="807"/>
      <c r="Y29" s="814"/>
      <c r="Z29" s="754"/>
      <c r="AA29" s="754"/>
      <c r="AB29" s="754"/>
      <c r="AC29" s="754"/>
      <c r="AD29" s="754"/>
      <c r="AE29" s="754"/>
      <c r="AF29" s="754"/>
    </row>
    <row r="30" spans="1:32">
      <c r="A30" s="766"/>
      <c r="B30" s="770" t="s">
        <v>246</v>
      </c>
      <c r="C30" s="771"/>
      <c r="D30" s="771"/>
      <c r="E30" s="771"/>
      <c r="F30" s="772"/>
      <c r="G30" s="771"/>
      <c r="H30" s="771"/>
      <c r="I30" s="771"/>
      <c r="J30" s="772"/>
      <c r="K30" s="772"/>
      <c r="L30" s="772"/>
      <c r="M30" s="791">
        <f t="shared" si="1"/>
        <v>0</v>
      </c>
      <c r="N30" s="772"/>
      <c r="O30" s="772"/>
      <c r="P30" s="772"/>
      <c r="Q30" s="772"/>
      <c r="R30" s="771"/>
      <c r="S30" s="772">
        <v>2851000</v>
      </c>
      <c r="T30" s="772"/>
      <c r="U30" s="771"/>
      <c r="V30" s="804"/>
      <c r="W30" s="805">
        <f t="shared" si="0"/>
        <v>0</v>
      </c>
      <c r="X30" s="807"/>
      <c r="Y30" s="814"/>
      <c r="Z30" s="754"/>
      <c r="AA30" s="754"/>
      <c r="AB30" s="754"/>
      <c r="AC30" s="754"/>
      <c r="AD30" s="754"/>
      <c r="AE30" s="754"/>
      <c r="AF30" s="754"/>
    </row>
    <row r="31" ht="15.5" spans="1:25">
      <c r="A31" s="766"/>
      <c r="B31" s="770" t="s">
        <v>247</v>
      </c>
      <c r="C31" s="771"/>
      <c r="D31" s="771"/>
      <c r="E31" s="771"/>
      <c r="F31" s="772"/>
      <c r="G31" s="771"/>
      <c r="H31" s="771"/>
      <c r="I31" s="771"/>
      <c r="J31" s="772"/>
      <c r="K31" s="772"/>
      <c r="L31" s="772"/>
      <c r="M31" s="791">
        <f t="shared" si="1"/>
        <v>0</v>
      </c>
      <c r="N31" s="772"/>
      <c r="O31" s="772"/>
      <c r="P31" s="772"/>
      <c r="Q31" s="772"/>
      <c r="R31" s="771"/>
      <c r="S31" s="772">
        <v>2530000</v>
      </c>
      <c r="T31" s="772"/>
      <c r="U31" s="771"/>
      <c r="V31" s="804"/>
      <c r="W31" s="805">
        <f t="shared" si="0"/>
        <v>0</v>
      </c>
      <c r="X31" s="806"/>
      <c r="Y31" s="815"/>
    </row>
    <row r="32" ht="15.5" spans="1:25">
      <c r="A32" s="766"/>
      <c r="B32" s="770" t="s">
        <v>248</v>
      </c>
      <c r="C32" s="771"/>
      <c r="D32" s="771"/>
      <c r="E32" s="771"/>
      <c r="F32" s="772"/>
      <c r="G32" s="771"/>
      <c r="H32" s="771"/>
      <c r="I32" s="771"/>
      <c r="J32" s="772"/>
      <c r="K32" s="772"/>
      <c r="L32" s="772"/>
      <c r="M32" s="791">
        <f t="shared" si="1"/>
        <v>0</v>
      </c>
      <c r="N32" s="772"/>
      <c r="O32" s="772"/>
      <c r="P32" s="772"/>
      <c r="Q32" s="772"/>
      <c r="R32" s="771"/>
      <c r="S32" s="772">
        <v>600000</v>
      </c>
      <c r="T32" s="772"/>
      <c r="U32" s="771"/>
      <c r="V32" s="804"/>
      <c r="W32" s="805">
        <f t="shared" si="0"/>
        <v>0</v>
      </c>
      <c r="X32" s="62"/>
      <c r="Y32" s="815"/>
    </row>
    <row r="33" spans="1:28">
      <c r="A33" s="766"/>
      <c r="B33" s="770" t="s">
        <v>249</v>
      </c>
      <c r="C33" s="771"/>
      <c r="D33" s="771"/>
      <c r="E33" s="771"/>
      <c r="F33" s="772"/>
      <c r="G33" s="771"/>
      <c r="H33" s="771"/>
      <c r="I33" s="771"/>
      <c r="J33" s="771"/>
      <c r="K33" s="771"/>
      <c r="L33" s="772"/>
      <c r="M33" s="791">
        <f t="shared" si="1"/>
        <v>0</v>
      </c>
      <c r="N33" s="772"/>
      <c r="O33" s="772"/>
      <c r="P33" s="772"/>
      <c r="Q33" s="772"/>
      <c r="R33" s="771"/>
      <c r="S33" s="772">
        <v>285000</v>
      </c>
      <c r="T33" s="772"/>
      <c r="U33" s="771"/>
      <c r="V33" s="804"/>
      <c r="W33" s="805">
        <f t="shared" si="0"/>
        <v>0</v>
      </c>
      <c r="Y33" s="810"/>
      <c r="Z33" s="62"/>
      <c r="AA33" s="810"/>
      <c r="AB33" s="810"/>
    </row>
    <row r="34" spans="1:28">
      <c r="A34" s="766"/>
      <c r="B34" s="770" t="s">
        <v>250</v>
      </c>
      <c r="C34" s="771"/>
      <c r="D34" s="771"/>
      <c r="E34" s="771"/>
      <c r="F34" s="772"/>
      <c r="G34" s="771"/>
      <c r="H34" s="771"/>
      <c r="I34" s="771"/>
      <c r="J34" s="771"/>
      <c r="K34" s="771"/>
      <c r="L34" s="772"/>
      <c r="M34" s="791"/>
      <c r="N34" s="772"/>
      <c r="O34" s="772"/>
      <c r="P34" s="772"/>
      <c r="Q34" s="772"/>
      <c r="R34" s="771"/>
      <c r="S34" s="772">
        <v>2000000</v>
      </c>
      <c r="T34" s="772"/>
      <c r="U34" s="771"/>
      <c r="V34" s="804"/>
      <c r="W34" s="805">
        <f t="shared" si="0"/>
        <v>0</v>
      </c>
      <c r="Y34" s="810"/>
      <c r="Z34" s="62"/>
      <c r="AA34" s="810"/>
      <c r="AB34" s="810"/>
    </row>
    <row r="35" spans="1:28">
      <c r="A35" s="766"/>
      <c r="B35" s="770" t="s">
        <v>251</v>
      </c>
      <c r="C35" s="771"/>
      <c r="D35" s="771"/>
      <c r="E35" s="771"/>
      <c r="F35" s="772"/>
      <c r="G35" s="771"/>
      <c r="H35" s="771"/>
      <c r="I35" s="771"/>
      <c r="J35" s="771"/>
      <c r="K35" s="771"/>
      <c r="L35" s="772"/>
      <c r="M35" s="791"/>
      <c r="N35" s="772"/>
      <c r="O35" s="772"/>
      <c r="P35" s="772"/>
      <c r="Q35" s="772"/>
      <c r="R35" s="771"/>
      <c r="S35" s="772">
        <v>105000</v>
      </c>
      <c r="T35" s="772"/>
      <c r="U35" s="771"/>
      <c r="V35" s="804"/>
      <c r="W35" s="805"/>
      <c r="Y35" s="810"/>
      <c r="Z35" s="62"/>
      <c r="AA35" s="810"/>
      <c r="AB35" s="810"/>
    </row>
    <row r="36" spans="1:28">
      <c r="A36" s="766"/>
      <c r="B36" s="770" t="s">
        <v>252</v>
      </c>
      <c r="C36" s="771"/>
      <c r="D36" s="771"/>
      <c r="E36" s="771"/>
      <c r="F36" s="772"/>
      <c r="G36" s="771"/>
      <c r="H36" s="771"/>
      <c r="I36" s="771"/>
      <c r="J36" s="771"/>
      <c r="K36" s="771"/>
      <c r="L36" s="772"/>
      <c r="M36" s="791"/>
      <c r="N36" s="772"/>
      <c r="O36" s="772"/>
      <c r="P36" s="772"/>
      <c r="Q36" s="772"/>
      <c r="R36" s="771"/>
      <c r="S36" s="772">
        <v>1000000</v>
      </c>
      <c r="T36" s="772"/>
      <c r="U36" s="771"/>
      <c r="V36" s="804"/>
      <c r="W36" s="805"/>
      <c r="Y36" s="810"/>
      <c r="Z36" s="62"/>
      <c r="AA36" s="810"/>
      <c r="AB36" s="810"/>
    </row>
    <row r="37" spans="1:28">
      <c r="A37" s="766"/>
      <c r="B37" s="770" t="s">
        <v>253</v>
      </c>
      <c r="C37" s="771"/>
      <c r="D37" s="771"/>
      <c r="E37" s="771"/>
      <c r="F37" s="772"/>
      <c r="G37" s="771"/>
      <c r="H37" s="771"/>
      <c r="I37" s="771"/>
      <c r="J37" s="771"/>
      <c r="K37" s="771"/>
      <c r="L37" s="772"/>
      <c r="M37" s="791"/>
      <c r="N37" s="772"/>
      <c r="O37" s="772"/>
      <c r="P37" s="772"/>
      <c r="Q37" s="772"/>
      <c r="R37" s="771"/>
      <c r="S37" s="772">
        <v>1100000</v>
      </c>
      <c r="T37" s="772"/>
      <c r="U37" s="771"/>
      <c r="V37" s="804"/>
      <c r="W37" s="805"/>
      <c r="Y37" s="810"/>
      <c r="Z37" s="62"/>
      <c r="AA37" s="810"/>
      <c r="AB37" s="810"/>
    </row>
    <row r="38" spans="1:28">
      <c r="A38" s="766"/>
      <c r="B38" s="770" t="s">
        <v>254</v>
      </c>
      <c r="C38" s="771"/>
      <c r="D38" s="771"/>
      <c r="E38" s="771"/>
      <c r="F38" s="772"/>
      <c r="G38" s="771"/>
      <c r="H38" s="771"/>
      <c r="I38" s="771"/>
      <c r="J38" s="771"/>
      <c r="K38" s="771"/>
      <c r="L38" s="772"/>
      <c r="M38" s="791"/>
      <c r="N38" s="772"/>
      <c r="O38" s="772"/>
      <c r="P38" s="772"/>
      <c r="Q38" s="772"/>
      <c r="R38" s="771"/>
      <c r="S38" s="772">
        <v>500000</v>
      </c>
      <c r="T38" s="772"/>
      <c r="U38" s="771"/>
      <c r="V38" s="804"/>
      <c r="W38" s="805"/>
      <c r="Y38" s="810"/>
      <c r="Z38" s="62"/>
      <c r="AA38" s="810"/>
      <c r="AB38" s="810"/>
    </row>
    <row r="39" spans="1:28">
      <c r="A39" s="766"/>
      <c r="B39" s="770" t="s">
        <v>255</v>
      </c>
      <c r="C39" s="771"/>
      <c r="D39" s="771"/>
      <c r="E39" s="771"/>
      <c r="F39" s="772"/>
      <c r="G39" s="771"/>
      <c r="H39" s="771"/>
      <c r="I39" s="771"/>
      <c r="J39" s="771"/>
      <c r="K39" s="771"/>
      <c r="L39" s="772"/>
      <c r="M39" s="791"/>
      <c r="N39" s="772"/>
      <c r="O39" s="772"/>
      <c r="P39" s="772"/>
      <c r="Q39" s="772"/>
      <c r="R39" s="771"/>
      <c r="S39" s="772">
        <v>1200000</v>
      </c>
      <c r="T39" s="772"/>
      <c r="U39" s="771"/>
      <c r="V39" s="804"/>
      <c r="W39" s="805"/>
      <c r="Y39" s="810"/>
      <c r="Z39" s="62"/>
      <c r="AA39" s="810"/>
      <c r="AB39" s="810"/>
    </row>
    <row r="40" spans="1:28">
      <c r="A40" s="766"/>
      <c r="B40" s="770" t="s">
        <v>256</v>
      </c>
      <c r="C40" s="771"/>
      <c r="D40" s="771"/>
      <c r="E40" s="771"/>
      <c r="F40" s="772"/>
      <c r="G40" s="771"/>
      <c r="H40" s="771"/>
      <c r="I40" s="771"/>
      <c r="J40" s="771"/>
      <c r="K40" s="771"/>
      <c r="L40" s="772"/>
      <c r="M40" s="791"/>
      <c r="N40" s="772"/>
      <c r="O40" s="772"/>
      <c r="P40" s="772"/>
      <c r="Q40" s="772"/>
      <c r="R40" s="771"/>
      <c r="S40" s="772">
        <v>4765675</v>
      </c>
      <c r="T40" s="772"/>
      <c r="U40" s="771"/>
      <c r="V40" s="804"/>
      <c r="W40" s="805"/>
      <c r="Y40" s="810"/>
      <c r="Z40" s="62"/>
      <c r="AA40" s="810"/>
      <c r="AB40" s="810"/>
    </row>
    <row r="41" spans="1:28">
      <c r="A41" s="766"/>
      <c r="B41" s="770" t="s">
        <v>257</v>
      </c>
      <c r="C41" s="771"/>
      <c r="D41" s="771"/>
      <c r="E41" s="771"/>
      <c r="F41" s="772"/>
      <c r="G41" s="771"/>
      <c r="H41" s="771"/>
      <c r="I41" s="771"/>
      <c r="J41" s="771"/>
      <c r="K41" s="771"/>
      <c r="L41" s="772"/>
      <c r="M41" s="791"/>
      <c r="N41" s="772"/>
      <c r="O41" s="772"/>
      <c r="P41" s="772"/>
      <c r="Q41" s="772"/>
      <c r="R41" s="771"/>
      <c r="S41" s="772">
        <v>1000000</v>
      </c>
      <c r="T41" s="772"/>
      <c r="U41" s="771"/>
      <c r="V41" s="804"/>
      <c r="W41" s="805"/>
      <c r="Y41" s="810"/>
      <c r="Z41" s="62"/>
      <c r="AA41" s="810"/>
      <c r="AB41" s="810"/>
    </row>
    <row r="42" spans="1:28">
      <c r="A42" s="773"/>
      <c r="B42" s="770" t="s">
        <v>258</v>
      </c>
      <c r="C42" s="771"/>
      <c r="D42" s="771"/>
      <c r="E42" s="771"/>
      <c r="F42" s="772"/>
      <c r="G42" s="771"/>
      <c r="H42" s="771"/>
      <c r="I42" s="771"/>
      <c r="J42" s="771"/>
      <c r="K42" s="771"/>
      <c r="L42" s="772"/>
      <c r="M42" s="791"/>
      <c r="N42" s="772"/>
      <c r="O42" s="772"/>
      <c r="P42" s="772"/>
      <c r="Q42" s="772"/>
      <c r="R42" s="771"/>
      <c r="S42" s="772">
        <v>1133000</v>
      </c>
      <c r="T42" s="772"/>
      <c r="U42" s="771"/>
      <c r="V42" s="804"/>
      <c r="W42" s="805"/>
      <c r="Y42" s="810"/>
      <c r="Z42" s="62"/>
      <c r="AA42" s="810"/>
      <c r="AB42" s="810"/>
    </row>
    <row r="43" spans="1:28">
      <c r="A43" s="773"/>
      <c r="B43" s="770" t="s">
        <v>259</v>
      </c>
      <c r="C43" s="771"/>
      <c r="D43" s="771"/>
      <c r="E43" s="771"/>
      <c r="F43" s="772"/>
      <c r="G43" s="771"/>
      <c r="H43" s="771"/>
      <c r="I43" s="771"/>
      <c r="J43" s="771"/>
      <c r="K43" s="771"/>
      <c r="L43" s="772"/>
      <c r="M43" s="791"/>
      <c r="N43" s="772"/>
      <c r="O43" s="772"/>
      <c r="P43" s="772"/>
      <c r="Q43" s="772"/>
      <c r="R43" s="771"/>
      <c r="S43" s="772">
        <v>1500000</v>
      </c>
      <c r="T43" s="772"/>
      <c r="U43" s="771"/>
      <c r="V43" s="804"/>
      <c r="W43" s="805"/>
      <c r="Y43" s="810"/>
      <c r="Z43" s="62"/>
      <c r="AA43" s="810"/>
      <c r="AB43" s="810"/>
    </row>
    <row r="44" spans="1:28">
      <c r="A44" s="773"/>
      <c r="B44" s="770" t="s">
        <v>260</v>
      </c>
      <c r="C44" s="771"/>
      <c r="D44" s="771"/>
      <c r="E44" s="771"/>
      <c r="F44" s="772"/>
      <c r="G44" s="771"/>
      <c r="H44" s="771"/>
      <c r="I44" s="771"/>
      <c r="J44" s="771"/>
      <c r="K44" s="771"/>
      <c r="L44" s="772"/>
      <c r="M44" s="791"/>
      <c r="N44" s="772"/>
      <c r="O44" s="772"/>
      <c r="P44" s="772"/>
      <c r="Q44" s="772"/>
      <c r="R44" s="771"/>
      <c r="S44" s="772">
        <v>500000</v>
      </c>
      <c r="T44" s="772"/>
      <c r="U44" s="771"/>
      <c r="V44" s="804"/>
      <c r="W44" s="805"/>
      <c r="Y44" s="810"/>
      <c r="Z44" s="62"/>
      <c r="AA44" s="810"/>
      <c r="AB44" s="810"/>
    </row>
    <row r="45" spans="1:28">
      <c r="A45" s="773"/>
      <c r="B45" s="770" t="s">
        <v>261</v>
      </c>
      <c r="C45" s="771"/>
      <c r="D45" s="771"/>
      <c r="E45" s="771"/>
      <c r="F45" s="772"/>
      <c r="G45" s="771"/>
      <c r="H45" s="771"/>
      <c r="I45" s="771"/>
      <c r="J45" s="771"/>
      <c r="K45" s="771"/>
      <c r="L45" s="772"/>
      <c r="M45" s="791"/>
      <c r="N45" s="772"/>
      <c r="O45" s="772"/>
      <c r="P45" s="772"/>
      <c r="Q45" s="772"/>
      <c r="R45" s="771"/>
      <c r="S45" s="772">
        <v>1500000</v>
      </c>
      <c r="T45" s="772"/>
      <c r="U45" s="771"/>
      <c r="V45" s="804"/>
      <c r="W45" s="805"/>
      <c r="Y45" s="810"/>
      <c r="Z45" s="62"/>
      <c r="AA45" s="810"/>
      <c r="AB45" s="810"/>
    </row>
    <row r="46" spans="1:28">
      <c r="A46" s="1068" t="s">
        <v>262</v>
      </c>
      <c r="B46" s="769" t="s">
        <v>263</v>
      </c>
      <c r="C46" s="699"/>
      <c r="D46" s="699">
        <v>200000</v>
      </c>
      <c r="E46" s="699"/>
      <c r="F46" s="654"/>
      <c r="G46" s="699"/>
      <c r="H46" s="699"/>
      <c r="I46" s="699"/>
      <c r="J46" s="75"/>
      <c r="K46" s="75"/>
      <c r="L46" s="654"/>
      <c r="M46" s="792">
        <f>SUM(C46:L46)</f>
        <v>200000</v>
      </c>
      <c r="N46" s="654"/>
      <c r="O46" s="654"/>
      <c r="P46" s="654"/>
      <c r="Q46" s="654"/>
      <c r="R46" s="699"/>
      <c r="S46" s="654"/>
      <c r="T46" s="654"/>
      <c r="U46" s="699"/>
      <c r="V46" s="808"/>
      <c r="W46" s="802">
        <f t="shared" ref="W46:W53" si="2">SUM(M46-V46)</f>
        <v>200000</v>
      </c>
      <c r="Y46" s="810"/>
      <c r="Z46" s="62"/>
      <c r="AA46" s="810"/>
      <c r="AB46" s="810"/>
    </row>
    <row r="47" spans="1:28">
      <c r="A47" s="774"/>
      <c r="B47" s="769" t="s">
        <v>264</v>
      </c>
      <c r="C47" s="699"/>
      <c r="D47" s="699"/>
      <c r="E47" s="699"/>
      <c r="F47" s="654"/>
      <c r="G47" s="699"/>
      <c r="H47" s="699"/>
      <c r="I47" s="699"/>
      <c r="J47" s="75"/>
      <c r="K47" s="75"/>
      <c r="L47" s="654"/>
      <c r="M47" s="792">
        <f t="shared" ref="M47:M54" si="3">SUM(C47:L47)</f>
        <v>0</v>
      </c>
      <c r="N47" s="654"/>
      <c r="O47" s="654"/>
      <c r="P47" s="654"/>
      <c r="Q47" s="654"/>
      <c r="R47" s="699"/>
      <c r="S47" s="654"/>
      <c r="T47" s="654"/>
      <c r="U47" s="699">
        <v>82900000</v>
      </c>
      <c r="V47" s="808">
        <f t="shared" ref="V47:V54" si="4">SUM(N47:U47)</f>
        <v>82900000</v>
      </c>
      <c r="W47" s="809">
        <f t="shared" si="2"/>
        <v>-82900000</v>
      </c>
      <c r="Y47" s="810"/>
      <c r="Z47" s="62"/>
      <c r="AA47" s="810"/>
      <c r="AB47" s="810"/>
    </row>
    <row r="48" spans="1:28">
      <c r="A48" s="774"/>
      <c r="B48" s="769" t="s">
        <v>265</v>
      </c>
      <c r="C48" s="699"/>
      <c r="D48" s="699"/>
      <c r="E48" s="699"/>
      <c r="F48" s="654"/>
      <c r="G48" s="699"/>
      <c r="H48" s="699">
        <v>15000</v>
      </c>
      <c r="I48" s="699"/>
      <c r="J48" s="654"/>
      <c r="K48" s="654"/>
      <c r="L48" s="654"/>
      <c r="M48" s="792">
        <f t="shared" si="3"/>
        <v>15000</v>
      </c>
      <c r="N48" s="654"/>
      <c r="O48" s="654"/>
      <c r="P48" s="654"/>
      <c r="Q48" s="654"/>
      <c r="R48" s="699"/>
      <c r="S48" s="654"/>
      <c r="T48" s="654"/>
      <c r="U48" s="699"/>
      <c r="V48" s="808">
        <f t="shared" si="4"/>
        <v>0</v>
      </c>
      <c r="W48" s="809">
        <f t="shared" si="2"/>
        <v>15000</v>
      </c>
      <c r="Y48" s="816"/>
      <c r="Z48" s="62"/>
      <c r="AA48" s="810"/>
      <c r="AB48" s="810"/>
    </row>
    <row r="49" spans="1:28">
      <c r="A49" s="774"/>
      <c r="B49" s="769" t="s">
        <v>266</v>
      </c>
      <c r="C49" s="699"/>
      <c r="D49" s="699"/>
      <c r="E49" s="699"/>
      <c r="F49" s="654"/>
      <c r="G49" s="699"/>
      <c r="H49" s="699"/>
      <c r="I49" s="699"/>
      <c r="J49" s="654"/>
      <c r="K49" s="654">
        <v>45000</v>
      </c>
      <c r="L49" s="654"/>
      <c r="M49" s="792">
        <f t="shared" si="3"/>
        <v>45000</v>
      </c>
      <c r="N49" s="654"/>
      <c r="O49" s="654"/>
      <c r="P49" s="654"/>
      <c r="Q49" s="654"/>
      <c r="R49" s="699"/>
      <c r="S49" s="654"/>
      <c r="T49" s="654"/>
      <c r="U49" s="699"/>
      <c r="V49" s="808">
        <f t="shared" si="4"/>
        <v>0</v>
      </c>
      <c r="W49" s="809">
        <f t="shared" si="2"/>
        <v>45000</v>
      </c>
      <c r="Y49" s="810"/>
      <c r="Z49" s="810"/>
      <c r="AB49" s="810"/>
    </row>
    <row r="50" spans="1:28">
      <c r="A50" s="774"/>
      <c r="B50" s="769" t="s">
        <v>260</v>
      </c>
      <c r="C50" s="699"/>
      <c r="D50" s="699"/>
      <c r="E50" s="699"/>
      <c r="F50" s="654"/>
      <c r="G50" s="699"/>
      <c r="H50" s="699"/>
      <c r="I50" s="699"/>
      <c r="J50" s="654"/>
      <c r="K50" s="654"/>
      <c r="L50" s="654"/>
      <c r="M50" s="792">
        <f t="shared" si="3"/>
        <v>0</v>
      </c>
      <c r="N50" s="654"/>
      <c r="O50" s="654"/>
      <c r="P50" s="654"/>
      <c r="Q50" s="654"/>
      <c r="R50" s="699"/>
      <c r="S50" s="654"/>
      <c r="T50" s="654"/>
      <c r="U50" s="699">
        <v>500000</v>
      </c>
      <c r="V50" s="808">
        <f t="shared" si="4"/>
        <v>500000</v>
      </c>
      <c r="W50" s="809">
        <f t="shared" si="2"/>
        <v>-500000</v>
      </c>
      <c r="X50" s="810"/>
      <c r="Y50" s="810"/>
      <c r="Z50" s="810"/>
      <c r="AB50" s="810"/>
    </row>
    <row r="51" spans="1:28">
      <c r="A51" s="774"/>
      <c r="B51" s="775" t="s">
        <v>267</v>
      </c>
      <c r="C51" s="699"/>
      <c r="D51" s="699"/>
      <c r="E51" s="699"/>
      <c r="F51" s="654"/>
      <c r="G51" s="699"/>
      <c r="H51" s="699"/>
      <c r="I51" s="699"/>
      <c r="J51" s="654"/>
      <c r="K51" s="654"/>
      <c r="L51" s="654"/>
      <c r="M51" s="792">
        <f t="shared" si="3"/>
        <v>0</v>
      </c>
      <c r="N51" s="654"/>
      <c r="O51" s="654"/>
      <c r="P51" s="654"/>
      <c r="Q51" s="654"/>
      <c r="R51" s="699"/>
      <c r="S51" s="654"/>
      <c r="T51" s="654">
        <v>200000</v>
      </c>
      <c r="U51" s="699"/>
      <c r="V51" s="808">
        <f t="shared" si="4"/>
        <v>200000</v>
      </c>
      <c r="W51" s="809">
        <f t="shared" si="2"/>
        <v>-200000</v>
      </c>
      <c r="Y51" s="810"/>
      <c r="Z51" s="810"/>
      <c r="AB51" s="810"/>
    </row>
    <row r="52" spans="1:28">
      <c r="A52" s="774"/>
      <c r="B52" s="775" t="s">
        <v>268</v>
      </c>
      <c r="C52" s="699"/>
      <c r="D52" s="699"/>
      <c r="E52" s="699"/>
      <c r="F52" s="654"/>
      <c r="G52" s="699"/>
      <c r="H52" s="699"/>
      <c r="I52" s="699"/>
      <c r="J52" s="654"/>
      <c r="K52" s="654">
        <v>2000000</v>
      </c>
      <c r="L52" s="654"/>
      <c r="M52" s="792">
        <f t="shared" si="3"/>
        <v>2000000</v>
      </c>
      <c r="N52" s="654"/>
      <c r="O52" s="654"/>
      <c r="P52" s="654"/>
      <c r="Q52" s="654"/>
      <c r="R52" s="699"/>
      <c r="S52" s="654"/>
      <c r="T52" s="654"/>
      <c r="U52" s="699"/>
      <c r="V52" s="808">
        <f t="shared" si="4"/>
        <v>0</v>
      </c>
      <c r="W52" s="809">
        <f t="shared" si="2"/>
        <v>2000000</v>
      </c>
      <c r="Y52" s="810"/>
      <c r="Z52" s="810"/>
      <c r="AB52" s="810"/>
    </row>
    <row r="53" spans="1:28">
      <c r="A53" s="774"/>
      <c r="B53" s="775" t="s">
        <v>269</v>
      </c>
      <c r="C53" s="699"/>
      <c r="D53" s="699"/>
      <c r="E53" s="699"/>
      <c r="F53" s="654"/>
      <c r="G53" s="699"/>
      <c r="H53" s="699"/>
      <c r="I53" s="699"/>
      <c r="J53" s="654"/>
      <c r="K53" s="654">
        <v>2040000</v>
      </c>
      <c r="L53" s="654"/>
      <c r="M53" s="792">
        <f t="shared" si="3"/>
        <v>2040000</v>
      </c>
      <c r="N53" s="654"/>
      <c r="O53" s="654"/>
      <c r="P53" s="654"/>
      <c r="Q53" s="654"/>
      <c r="R53" s="699"/>
      <c r="S53" s="654"/>
      <c r="T53" s="654"/>
      <c r="U53" s="699"/>
      <c r="V53" s="803">
        <f t="shared" si="4"/>
        <v>0</v>
      </c>
      <c r="W53" s="809">
        <f t="shared" si="2"/>
        <v>2040000</v>
      </c>
      <c r="Y53" s="810"/>
      <c r="Z53" s="810"/>
      <c r="AB53" s="810"/>
    </row>
    <row r="54" s="754" customFormat="1" spans="1:27">
      <c r="A54" s="776"/>
      <c r="B54" s="777" t="s">
        <v>253</v>
      </c>
      <c r="C54" s="778"/>
      <c r="D54" s="771"/>
      <c r="E54" s="771"/>
      <c r="F54" s="772"/>
      <c r="G54" s="771"/>
      <c r="H54" s="771"/>
      <c r="I54" s="771"/>
      <c r="J54" s="772"/>
      <c r="K54" s="772"/>
      <c r="L54" s="772"/>
      <c r="M54" s="791">
        <f t="shared" ref="M54:M67" si="5">SUM(C54:L54)</f>
        <v>0</v>
      </c>
      <c r="N54" s="772"/>
      <c r="O54" s="772"/>
      <c r="P54" s="772"/>
      <c r="Q54" s="772"/>
      <c r="R54" s="771"/>
      <c r="S54" s="772">
        <v>8650000</v>
      </c>
      <c r="T54" s="772"/>
      <c r="U54" s="771"/>
      <c r="V54" s="771">
        <f t="shared" ref="V54:V71" si="6">SUM(N54:U54)</f>
        <v>8650000</v>
      </c>
      <c r="W54" s="811">
        <f t="shared" ref="W54:W67" si="7">SUM(M54-V54)</f>
        <v>-8650000</v>
      </c>
      <c r="X54" s="812"/>
      <c r="Y54" s="814"/>
      <c r="Z54" s="814"/>
      <c r="AA54" s="814"/>
    </row>
    <row r="55" s="754" customFormat="1" ht="13" customHeight="1" spans="1:27">
      <c r="A55" s="1069" t="s">
        <v>270</v>
      </c>
      <c r="B55" s="769" t="s">
        <v>271</v>
      </c>
      <c r="C55" s="699"/>
      <c r="D55" s="699"/>
      <c r="E55" s="699"/>
      <c r="F55" s="654"/>
      <c r="G55" s="699"/>
      <c r="H55" s="699"/>
      <c r="I55" s="699"/>
      <c r="J55" s="654"/>
      <c r="K55" s="654"/>
      <c r="L55" s="654"/>
      <c r="M55" s="792">
        <f t="shared" si="5"/>
        <v>0</v>
      </c>
      <c r="N55" s="654"/>
      <c r="O55" s="654"/>
      <c r="P55" s="654"/>
      <c r="Q55" s="654"/>
      <c r="R55" s="699"/>
      <c r="S55" s="654"/>
      <c r="T55" s="654"/>
      <c r="U55" s="699">
        <v>150000</v>
      </c>
      <c r="V55" s="803">
        <f t="shared" si="6"/>
        <v>150000</v>
      </c>
      <c r="W55" s="809">
        <f t="shared" si="7"/>
        <v>-150000</v>
      </c>
      <c r="Y55" s="812"/>
      <c r="AA55" s="817"/>
    </row>
    <row r="56" spans="1:27">
      <c r="A56" s="780"/>
      <c r="B56" s="769" t="s">
        <v>272</v>
      </c>
      <c r="C56" s="699"/>
      <c r="D56" s="699"/>
      <c r="E56" s="699"/>
      <c r="F56" s="654"/>
      <c r="G56" s="699"/>
      <c r="H56" s="699"/>
      <c r="I56" s="699"/>
      <c r="J56" s="654"/>
      <c r="K56" s="654"/>
      <c r="L56" s="654"/>
      <c r="M56" s="792">
        <f t="shared" si="5"/>
        <v>0</v>
      </c>
      <c r="N56" s="654"/>
      <c r="O56" s="654"/>
      <c r="P56" s="654"/>
      <c r="Q56" s="654"/>
      <c r="R56" s="699"/>
      <c r="S56" s="654"/>
      <c r="T56" s="654">
        <v>100000</v>
      </c>
      <c r="U56" s="699"/>
      <c r="V56" s="803">
        <f t="shared" si="6"/>
        <v>100000</v>
      </c>
      <c r="W56" s="809">
        <f t="shared" si="7"/>
        <v>-100000</v>
      </c>
      <c r="Y56" s="62"/>
      <c r="Z56" s="62" t="s">
        <v>273</v>
      </c>
      <c r="AA56" s="810">
        <v>8500000</v>
      </c>
    </row>
    <row r="57" spans="1:27">
      <c r="A57" s="780"/>
      <c r="B57" s="770" t="s">
        <v>274</v>
      </c>
      <c r="C57" s="771"/>
      <c r="D57" s="771"/>
      <c r="E57" s="771"/>
      <c r="F57" s="772"/>
      <c r="G57" s="771"/>
      <c r="H57" s="771"/>
      <c r="I57" s="771"/>
      <c r="J57" s="772"/>
      <c r="K57" s="772"/>
      <c r="L57" s="772"/>
      <c r="M57" s="791">
        <f t="shared" si="5"/>
        <v>0</v>
      </c>
      <c r="N57" s="772"/>
      <c r="O57" s="772"/>
      <c r="P57" s="772"/>
      <c r="Q57" s="772"/>
      <c r="R57" s="771"/>
      <c r="S57" s="772">
        <v>200000</v>
      </c>
      <c r="T57" s="772"/>
      <c r="U57" s="771"/>
      <c r="V57" s="804">
        <f t="shared" si="6"/>
        <v>200000</v>
      </c>
      <c r="W57" s="811">
        <f t="shared" si="7"/>
        <v>-200000</v>
      </c>
      <c r="Y57" s="62"/>
      <c r="Z57" s="62"/>
      <c r="AA57" s="810"/>
    </row>
    <row r="58" s="754" customFormat="1" spans="1:27">
      <c r="A58" s="781"/>
      <c r="B58" s="782" t="s">
        <v>275</v>
      </c>
      <c r="C58" s="699"/>
      <c r="D58" s="699"/>
      <c r="E58" s="699"/>
      <c r="F58" s="654"/>
      <c r="G58" s="699"/>
      <c r="H58" s="699"/>
      <c r="I58" s="699"/>
      <c r="J58" s="654"/>
      <c r="K58" s="654"/>
      <c r="L58" s="654"/>
      <c r="M58" s="792">
        <f t="shared" si="5"/>
        <v>0</v>
      </c>
      <c r="N58" s="654"/>
      <c r="O58" s="654"/>
      <c r="P58" s="654"/>
      <c r="Q58" s="654"/>
      <c r="R58" s="699"/>
      <c r="S58" s="654"/>
      <c r="T58" s="654">
        <v>100000</v>
      </c>
      <c r="U58" s="699"/>
      <c r="V58" s="803">
        <f t="shared" si="6"/>
        <v>100000</v>
      </c>
      <c r="W58" s="809">
        <f t="shared" si="7"/>
        <v>-100000</v>
      </c>
      <c r="Y58" s="812"/>
      <c r="Z58" s="812"/>
      <c r="AA58" s="814"/>
    </row>
    <row r="59" s="754" customFormat="1" spans="1:27">
      <c r="A59" s="1070" t="s">
        <v>276</v>
      </c>
      <c r="B59" s="782" t="s">
        <v>277</v>
      </c>
      <c r="C59" s="699"/>
      <c r="D59" s="699"/>
      <c r="E59" s="699"/>
      <c r="F59" s="654"/>
      <c r="G59" s="699"/>
      <c r="H59" s="699">
        <v>30000</v>
      </c>
      <c r="I59" s="699"/>
      <c r="J59" s="654"/>
      <c r="K59" s="654"/>
      <c r="L59" s="654"/>
      <c r="M59" s="792">
        <f t="shared" si="5"/>
        <v>30000</v>
      </c>
      <c r="N59" s="654"/>
      <c r="O59" s="654"/>
      <c r="P59" s="654"/>
      <c r="Q59" s="654"/>
      <c r="R59" s="699"/>
      <c r="S59" s="654"/>
      <c r="T59" s="654"/>
      <c r="U59" s="699"/>
      <c r="V59" s="803">
        <f t="shared" si="6"/>
        <v>0</v>
      </c>
      <c r="W59" s="809">
        <f t="shared" si="7"/>
        <v>30000</v>
      </c>
      <c r="Y59" s="812"/>
      <c r="Z59" s="812"/>
      <c r="AA59" s="814"/>
    </row>
    <row r="60" s="754" customFormat="1" spans="1:27">
      <c r="A60" s="783"/>
      <c r="B60" s="782" t="s">
        <v>266</v>
      </c>
      <c r="C60" s="699"/>
      <c r="D60" s="699"/>
      <c r="E60" s="699"/>
      <c r="F60" s="654"/>
      <c r="G60" s="699"/>
      <c r="H60" s="699"/>
      <c r="I60" s="699"/>
      <c r="J60" s="654"/>
      <c r="K60" s="654">
        <v>90000</v>
      </c>
      <c r="L60" s="654"/>
      <c r="M60" s="792">
        <f t="shared" si="5"/>
        <v>90000</v>
      </c>
      <c r="N60" s="654"/>
      <c r="O60" s="654"/>
      <c r="P60" s="654"/>
      <c r="Q60" s="654"/>
      <c r="R60" s="699"/>
      <c r="S60" s="654"/>
      <c r="T60" s="654"/>
      <c r="U60" s="699"/>
      <c r="V60" s="803">
        <f t="shared" si="6"/>
        <v>0</v>
      </c>
      <c r="W60" s="809">
        <f t="shared" si="7"/>
        <v>90000</v>
      </c>
      <c r="Y60" s="812"/>
      <c r="Z60" s="812"/>
      <c r="AA60" s="814"/>
    </row>
    <row r="61" s="754" customFormat="1" spans="1:27">
      <c r="A61" s="783"/>
      <c r="B61" s="782" t="s">
        <v>278</v>
      </c>
      <c r="C61" s="699">
        <v>200000</v>
      </c>
      <c r="D61" s="699"/>
      <c r="E61" s="699"/>
      <c r="F61" s="654"/>
      <c r="G61" s="699"/>
      <c r="H61" s="699"/>
      <c r="I61" s="699"/>
      <c r="J61" s="654"/>
      <c r="K61" s="654"/>
      <c r="L61" s="654"/>
      <c r="M61" s="792">
        <f t="shared" si="5"/>
        <v>200000</v>
      </c>
      <c r="N61" s="654"/>
      <c r="O61" s="654"/>
      <c r="P61" s="654"/>
      <c r="Q61" s="654"/>
      <c r="R61" s="699"/>
      <c r="S61" s="654"/>
      <c r="T61" s="654"/>
      <c r="U61" s="699"/>
      <c r="V61" s="803">
        <f t="shared" si="6"/>
        <v>0</v>
      </c>
      <c r="W61" s="809">
        <f t="shared" si="7"/>
        <v>200000</v>
      </c>
      <c r="Y61" s="812"/>
      <c r="Z61" s="812"/>
      <c r="AA61" s="814"/>
    </row>
    <row r="62" s="754" customFormat="1" spans="1:27">
      <c r="A62" s="783"/>
      <c r="B62" s="784" t="s">
        <v>279</v>
      </c>
      <c r="C62" s="771"/>
      <c r="D62" s="771"/>
      <c r="E62" s="771"/>
      <c r="F62" s="772"/>
      <c r="G62" s="771"/>
      <c r="H62" s="771"/>
      <c r="I62" s="771"/>
      <c r="J62" s="772"/>
      <c r="K62" s="772"/>
      <c r="L62" s="772"/>
      <c r="M62" s="791">
        <f t="shared" si="5"/>
        <v>0</v>
      </c>
      <c r="N62" s="772"/>
      <c r="O62" s="772"/>
      <c r="P62" s="772"/>
      <c r="Q62" s="772"/>
      <c r="R62" s="771"/>
      <c r="S62" s="772">
        <v>330000</v>
      </c>
      <c r="T62" s="772"/>
      <c r="U62" s="771"/>
      <c r="V62" s="804">
        <f t="shared" si="6"/>
        <v>330000</v>
      </c>
      <c r="W62" s="811">
        <f t="shared" si="7"/>
        <v>-330000</v>
      </c>
      <c r="Y62" s="812"/>
      <c r="Z62" s="812"/>
      <c r="AA62" s="814"/>
    </row>
    <row r="63" s="754" customFormat="1" spans="1:27">
      <c r="A63" s="783"/>
      <c r="B63" s="785" t="s">
        <v>238</v>
      </c>
      <c r="C63" s="699"/>
      <c r="D63" s="699"/>
      <c r="E63" s="699"/>
      <c r="F63" s="654"/>
      <c r="G63" s="699"/>
      <c r="H63" s="699"/>
      <c r="I63" s="699"/>
      <c r="J63" s="654"/>
      <c r="K63" s="654"/>
      <c r="L63" s="654"/>
      <c r="M63" s="792">
        <f t="shared" si="5"/>
        <v>0</v>
      </c>
      <c r="N63" s="654"/>
      <c r="O63" s="654"/>
      <c r="P63" s="654"/>
      <c r="Q63" s="654"/>
      <c r="R63" s="699"/>
      <c r="S63" s="654"/>
      <c r="T63" s="654"/>
      <c r="U63" s="699">
        <v>4070000</v>
      </c>
      <c r="V63" s="803">
        <f t="shared" si="6"/>
        <v>4070000</v>
      </c>
      <c r="W63" s="809">
        <f t="shared" si="7"/>
        <v>-4070000</v>
      </c>
      <c r="Y63" s="812"/>
      <c r="Z63" s="812"/>
      <c r="AA63" s="814"/>
    </row>
    <row r="64" s="754" customFormat="1" spans="1:27">
      <c r="A64" s="783"/>
      <c r="B64" s="782" t="s">
        <v>280</v>
      </c>
      <c r="C64" s="699"/>
      <c r="D64" s="699"/>
      <c r="E64" s="699"/>
      <c r="F64" s="654"/>
      <c r="G64" s="699"/>
      <c r="H64" s="699"/>
      <c r="I64" s="699"/>
      <c r="J64" s="654"/>
      <c r="K64" s="654"/>
      <c r="L64" s="654"/>
      <c r="M64" s="792">
        <f t="shared" si="5"/>
        <v>0</v>
      </c>
      <c r="N64" s="654">
        <v>600000</v>
      </c>
      <c r="O64" s="654"/>
      <c r="P64" s="654"/>
      <c r="Q64" s="654"/>
      <c r="R64" s="699"/>
      <c r="S64" s="654"/>
      <c r="T64" s="654"/>
      <c r="U64" s="699"/>
      <c r="V64" s="803">
        <f t="shared" si="6"/>
        <v>600000</v>
      </c>
      <c r="W64" s="809">
        <f t="shared" si="7"/>
        <v>-600000</v>
      </c>
      <c r="Y64" s="812"/>
      <c r="Z64" s="812"/>
      <c r="AA64" s="814"/>
    </row>
    <row r="65" s="754" customFormat="1" spans="1:27">
      <c r="A65" s="783"/>
      <c r="B65" s="770" t="s">
        <v>281</v>
      </c>
      <c r="C65" s="771"/>
      <c r="D65" s="771"/>
      <c r="E65" s="771"/>
      <c r="F65" s="772"/>
      <c r="G65" s="771"/>
      <c r="H65" s="771"/>
      <c r="I65" s="771"/>
      <c r="J65" s="772"/>
      <c r="K65" s="772"/>
      <c r="L65" s="772"/>
      <c r="M65" s="791">
        <f t="shared" si="5"/>
        <v>0</v>
      </c>
      <c r="N65" s="772"/>
      <c r="O65" s="772"/>
      <c r="P65" s="772"/>
      <c r="Q65" s="772"/>
      <c r="R65" s="771"/>
      <c r="S65" s="772">
        <v>3080000</v>
      </c>
      <c r="T65" s="772"/>
      <c r="U65" s="771"/>
      <c r="V65" s="804">
        <f t="shared" si="6"/>
        <v>3080000</v>
      </c>
      <c r="W65" s="811">
        <f t="shared" si="7"/>
        <v>-3080000</v>
      </c>
      <c r="Y65" s="812"/>
      <c r="Z65" s="812"/>
      <c r="AA65" s="814"/>
    </row>
    <row r="66" s="754" customFormat="1" spans="1:27">
      <c r="A66" s="1071" t="s">
        <v>282</v>
      </c>
      <c r="B66" s="153" t="s">
        <v>283</v>
      </c>
      <c r="C66" s="654">
        <v>100000</v>
      </c>
      <c r="D66" s="654"/>
      <c r="E66" s="654"/>
      <c r="F66" s="654"/>
      <c r="G66" s="654"/>
      <c r="H66" s="654"/>
      <c r="I66" s="654"/>
      <c r="J66" s="654"/>
      <c r="K66" s="654"/>
      <c r="L66" s="654"/>
      <c r="M66" s="792">
        <f t="shared" ref="M66:M74" si="8">SUM(C66:L66)</f>
        <v>100000</v>
      </c>
      <c r="N66" s="654"/>
      <c r="O66" s="654"/>
      <c r="P66" s="654"/>
      <c r="Q66" s="654"/>
      <c r="R66" s="654"/>
      <c r="S66" s="654"/>
      <c r="T66" s="654"/>
      <c r="U66" s="699"/>
      <c r="V66" s="803">
        <f t="shared" si="6"/>
        <v>0</v>
      </c>
      <c r="W66" s="809">
        <f t="shared" ref="W66:W74" si="9">SUM(M66-V66)</f>
        <v>100000</v>
      </c>
      <c r="Y66" s="812"/>
      <c r="Z66" s="812"/>
      <c r="AA66" s="814"/>
    </row>
    <row r="67" s="754" customFormat="1" spans="1:27">
      <c r="A67" s="780"/>
      <c r="B67" s="153" t="s">
        <v>284</v>
      </c>
      <c r="C67" s="654"/>
      <c r="D67" s="654">
        <v>100000</v>
      </c>
      <c r="E67" s="654"/>
      <c r="F67" s="654"/>
      <c r="G67" s="654"/>
      <c r="H67" s="654"/>
      <c r="I67" s="654"/>
      <c r="J67" s="654"/>
      <c r="K67" s="654"/>
      <c r="L67" s="654"/>
      <c r="M67" s="792">
        <f t="shared" si="8"/>
        <v>100000</v>
      </c>
      <c r="N67" s="654"/>
      <c r="O67" s="654"/>
      <c r="P67" s="654"/>
      <c r="Q67" s="654"/>
      <c r="R67" s="654"/>
      <c r="S67" s="654"/>
      <c r="T67" s="654"/>
      <c r="U67" s="699"/>
      <c r="V67" s="803">
        <f t="shared" si="6"/>
        <v>0</v>
      </c>
      <c r="W67" s="809">
        <f t="shared" si="9"/>
        <v>100000</v>
      </c>
      <c r="Y67" s="812"/>
      <c r="Z67" s="812"/>
      <c r="AA67" s="814"/>
    </row>
    <row r="68" s="754" customFormat="1" spans="1:27">
      <c r="A68" s="780"/>
      <c r="B68" s="153" t="s">
        <v>285</v>
      </c>
      <c r="C68" s="654">
        <v>100000</v>
      </c>
      <c r="D68" s="654"/>
      <c r="E68" s="654"/>
      <c r="F68" s="654"/>
      <c r="G68" s="654"/>
      <c r="H68" s="654"/>
      <c r="I68" s="654"/>
      <c r="J68" s="654"/>
      <c r="K68" s="654"/>
      <c r="L68" s="654"/>
      <c r="M68" s="792">
        <f t="shared" si="8"/>
        <v>100000</v>
      </c>
      <c r="N68" s="654"/>
      <c r="O68" s="654"/>
      <c r="P68" s="654"/>
      <c r="Q68" s="654"/>
      <c r="R68" s="654"/>
      <c r="S68" s="654"/>
      <c r="T68" s="654"/>
      <c r="U68" s="699"/>
      <c r="V68" s="803">
        <f t="shared" si="6"/>
        <v>0</v>
      </c>
      <c r="W68" s="809">
        <f t="shared" si="9"/>
        <v>100000</v>
      </c>
      <c r="Y68" s="812"/>
      <c r="Z68" s="812"/>
      <c r="AA68" s="814"/>
    </row>
    <row r="69" s="754" customFormat="1" spans="1:27">
      <c r="A69" s="780"/>
      <c r="B69" s="153" t="s">
        <v>286</v>
      </c>
      <c r="C69" s="654">
        <v>50000</v>
      </c>
      <c r="D69" s="654"/>
      <c r="E69" s="654"/>
      <c r="F69" s="654"/>
      <c r="G69" s="654"/>
      <c r="H69" s="654"/>
      <c r="I69" s="654"/>
      <c r="J69" s="654"/>
      <c r="K69" s="654"/>
      <c r="L69" s="654"/>
      <c r="M69" s="792">
        <f t="shared" si="8"/>
        <v>50000</v>
      </c>
      <c r="N69" s="654"/>
      <c r="O69" s="654"/>
      <c r="P69" s="654"/>
      <c r="Q69" s="654"/>
      <c r="R69" s="654"/>
      <c r="S69" s="654"/>
      <c r="T69" s="654"/>
      <c r="U69" s="699"/>
      <c r="V69" s="803">
        <f t="shared" si="6"/>
        <v>0</v>
      </c>
      <c r="W69" s="809">
        <f t="shared" si="9"/>
        <v>50000</v>
      </c>
      <c r="Y69" s="812"/>
      <c r="Z69" s="812"/>
      <c r="AA69" s="814"/>
    </row>
    <row r="70" s="754" customFormat="1" spans="1:27">
      <c r="A70" s="780"/>
      <c r="B70" s="153" t="s">
        <v>287</v>
      </c>
      <c r="C70" s="818"/>
      <c r="D70" s="654"/>
      <c r="E70" s="654"/>
      <c r="F70" s="654"/>
      <c r="G70" s="654"/>
      <c r="H70" s="654"/>
      <c r="I70" s="654"/>
      <c r="J70" s="654"/>
      <c r="K70" s="654"/>
      <c r="L70" s="654"/>
      <c r="M70" s="792">
        <f>SUM(D70:L70)</f>
        <v>0</v>
      </c>
      <c r="N70" s="654"/>
      <c r="O70" s="654"/>
      <c r="P70" s="654"/>
      <c r="Q70" s="654"/>
      <c r="R70" s="654"/>
      <c r="S70" s="654"/>
      <c r="T70" s="654"/>
      <c r="U70" s="699">
        <v>600000</v>
      </c>
      <c r="V70" s="803">
        <f t="shared" ref="V70:V84" si="10">SUM(N70:U70)</f>
        <v>600000</v>
      </c>
      <c r="W70" s="809">
        <f t="shared" ref="W70:W102" si="11">SUM(M70-V70)</f>
        <v>-600000</v>
      </c>
      <c r="Y70" s="812"/>
      <c r="Z70" s="812"/>
      <c r="AA70" s="814"/>
    </row>
    <row r="71" s="754" customFormat="1" spans="1:27">
      <c r="A71" s="780"/>
      <c r="B71" s="819" t="s">
        <v>288</v>
      </c>
      <c r="C71" s="772"/>
      <c r="D71" s="772"/>
      <c r="E71" s="772"/>
      <c r="F71" s="772"/>
      <c r="G71" s="772"/>
      <c r="H71" s="772"/>
      <c r="I71" s="772"/>
      <c r="J71" s="772"/>
      <c r="K71" s="772"/>
      <c r="L71" s="772"/>
      <c r="M71" s="791">
        <f t="shared" ref="M71:M83" si="12">SUM(C71:L71)</f>
        <v>0</v>
      </c>
      <c r="N71" s="772"/>
      <c r="O71" s="772"/>
      <c r="P71" s="772"/>
      <c r="Q71" s="772"/>
      <c r="R71" s="772"/>
      <c r="S71" s="772">
        <v>150000</v>
      </c>
      <c r="T71" s="772"/>
      <c r="U71" s="771"/>
      <c r="V71" s="804">
        <f t="shared" si="10"/>
        <v>150000</v>
      </c>
      <c r="W71" s="811">
        <f t="shared" si="11"/>
        <v>-150000</v>
      </c>
      <c r="Y71" s="812"/>
      <c r="Z71" s="812"/>
      <c r="AA71" s="814"/>
    </row>
    <row r="72" s="754" customFormat="1" spans="1:25">
      <c r="A72" s="781"/>
      <c r="B72" s="153" t="s">
        <v>289</v>
      </c>
      <c r="C72" s="654">
        <v>300000</v>
      </c>
      <c r="D72" s="654"/>
      <c r="E72" s="654"/>
      <c r="F72" s="654"/>
      <c r="G72" s="654"/>
      <c r="H72" s="654"/>
      <c r="I72" s="654"/>
      <c r="J72" s="654"/>
      <c r="K72" s="654"/>
      <c r="L72" s="654"/>
      <c r="M72" s="792">
        <f t="shared" si="12"/>
        <v>300000</v>
      </c>
      <c r="N72" s="654"/>
      <c r="O72" s="654"/>
      <c r="P72" s="654"/>
      <c r="Q72" s="654"/>
      <c r="R72" s="654"/>
      <c r="S72" s="654"/>
      <c r="T72" s="654"/>
      <c r="U72" s="699"/>
      <c r="V72" s="803">
        <f t="shared" si="10"/>
        <v>0</v>
      </c>
      <c r="W72" s="809">
        <f t="shared" si="11"/>
        <v>300000</v>
      </c>
      <c r="Y72" s="812"/>
    </row>
    <row r="73" s="754" customFormat="1" spans="1:25">
      <c r="A73" s="1072" t="s">
        <v>290</v>
      </c>
      <c r="B73" s="153" t="s">
        <v>291</v>
      </c>
      <c r="C73" s="654"/>
      <c r="D73" s="654"/>
      <c r="E73" s="654"/>
      <c r="F73" s="654"/>
      <c r="G73" s="654"/>
      <c r="H73" s="654"/>
      <c r="I73" s="654"/>
      <c r="J73" s="654"/>
      <c r="K73" s="654"/>
      <c r="L73" s="654"/>
      <c r="M73" s="792">
        <f t="shared" si="12"/>
        <v>0</v>
      </c>
      <c r="N73" s="654"/>
      <c r="O73" s="654"/>
      <c r="P73" s="654"/>
      <c r="Q73" s="654"/>
      <c r="R73" s="654"/>
      <c r="S73" s="654"/>
      <c r="T73" s="654"/>
      <c r="U73" s="699"/>
      <c r="V73" s="803">
        <f t="shared" si="10"/>
        <v>0</v>
      </c>
      <c r="W73" s="809">
        <f t="shared" si="11"/>
        <v>0</v>
      </c>
      <c r="Y73" s="812"/>
    </row>
    <row r="74" s="754" customFormat="1" spans="1:25">
      <c r="A74" s="1070" t="s">
        <v>292</v>
      </c>
      <c r="B74" s="153" t="s">
        <v>293</v>
      </c>
      <c r="C74" s="654">
        <v>200000</v>
      </c>
      <c r="D74" s="654"/>
      <c r="E74" s="654"/>
      <c r="F74" s="654"/>
      <c r="G74" s="654"/>
      <c r="H74" s="654"/>
      <c r="I74" s="654"/>
      <c r="J74" s="654"/>
      <c r="K74" s="654"/>
      <c r="L74" s="654"/>
      <c r="M74" s="792">
        <f t="shared" si="12"/>
        <v>200000</v>
      </c>
      <c r="N74" s="654"/>
      <c r="O74" s="654"/>
      <c r="P74" s="654"/>
      <c r="Q74" s="654"/>
      <c r="R74" s="654"/>
      <c r="S74" s="654"/>
      <c r="T74" s="654"/>
      <c r="U74" s="699"/>
      <c r="V74" s="803">
        <f t="shared" si="10"/>
        <v>0</v>
      </c>
      <c r="W74" s="809">
        <f t="shared" si="11"/>
        <v>200000</v>
      </c>
      <c r="Y74" s="812"/>
    </row>
    <row r="75" s="754" customFormat="1" spans="1:25">
      <c r="A75" s="783"/>
      <c r="B75" s="153" t="s">
        <v>294</v>
      </c>
      <c r="C75" s="654"/>
      <c r="D75" s="654">
        <v>288000</v>
      </c>
      <c r="E75" s="654"/>
      <c r="F75" s="654"/>
      <c r="G75" s="654"/>
      <c r="H75" s="654"/>
      <c r="I75" s="654"/>
      <c r="J75" s="654"/>
      <c r="K75" s="654"/>
      <c r="L75" s="654"/>
      <c r="M75" s="792">
        <f t="shared" si="12"/>
        <v>288000</v>
      </c>
      <c r="N75" s="654"/>
      <c r="O75" s="654"/>
      <c r="P75" s="654"/>
      <c r="Q75" s="654"/>
      <c r="R75" s="654"/>
      <c r="S75" s="654"/>
      <c r="T75" s="654"/>
      <c r="U75" s="699"/>
      <c r="V75" s="803">
        <f t="shared" si="10"/>
        <v>0</v>
      </c>
      <c r="W75" s="809">
        <f t="shared" si="11"/>
        <v>288000</v>
      </c>
      <c r="X75" s="812"/>
      <c r="Y75" s="812"/>
    </row>
    <row r="76" s="754" customFormat="1" spans="1:25">
      <c r="A76" s="783"/>
      <c r="B76" s="153" t="s">
        <v>295</v>
      </c>
      <c r="C76" s="654">
        <v>150000</v>
      </c>
      <c r="D76" s="654"/>
      <c r="E76" s="654"/>
      <c r="F76" s="654"/>
      <c r="G76" s="654"/>
      <c r="H76" s="654"/>
      <c r="I76" s="654"/>
      <c r="J76" s="654"/>
      <c r="K76" s="654"/>
      <c r="L76" s="654"/>
      <c r="M76" s="792">
        <f t="shared" si="12"/>
        <v>150000</v>
      </c>
      <c r="N76" s="654"/>
      <c r="O76" s="654"/>
      <c r="P76" s="654"/>
      <c r="Q76" s="654"/>
      <c r="R76" s="818"/>
      <c r="S76" s="654"/>
      <c r="T76" s="654"/>
      <c r="U76" s="654"/>
      <c r="V76" s="803">
        <f t="shared" si="10"/>
        <v>0</v>
      </c>
      <c r="W76" s="809">
        <f t="shared" si="11"/>
        <v>150000</v>
      </c>
      <c r="X76" s="814"/>
      <c r="Y76" s="812"/>
    </row>
    <row r="77" s="754" customFormat="1" spans="1:25">
      <c r="A77" s="783"/>
      <c r="B77" s="153" t="s">
        <v>296</v>
      </c>
      <c r="C77" s="654">
        <v>100000</v>
      </c>
      <c r="D77" s="654"/>
      <c r="E77" s="654"/>
      <c r="F77" s="654"/>
      <c r="G77" s="654"/>
      <c r="H77" s="654"/>
      <c r="I77" s="654"/>
      <c r="J77" s="654"/>
      <c r="K77" s="654"/>
      <c r="L77" s="654"/>
      <c r="M77" s="792">
        <f t="shared" si="12"/>
        <v>100000</v>
      </c>
      <c r="N77" s="654"/>
      <c r="O77" s="654"/>
      <c r="P77" s="654"/>
      <c r="Q77" s="654"/>
      <c r="R77" s="818"/>
      <c r="S77" s="654"/>
      <c r="T77" s="654"/>
      <c r="U77" s="654"/>
      <c r="V77" s="803">
        <f t="shared" si="10"/>
        <v>0</v>
      </c>
      <c r="W77" s="809">
        <f t="shared" si="11"/>
        <v>100000</v>
      </c>
      <c r="Y77" s="814"/>
    </row>
    <row r="78" s="754" customFormat="1" spans="1:25">
      <c r="A78" s="783"/>
      <c r="B78" s="821" t="s">
        <v>297</v>
      </c>
      <c r="C78" s="822">
        <v>50000</v>
      </c>
      <c r="D78" s="818"/>
      <c r="E78" s="654"/>
      <c r="F78" s="654"/>
      <c r="G78" s="823"/>
      <c r="H78" s="823"/>
      <c r="I78" s="823"/>
      <c r="J78" s="654"/>
      <c r="K78" s="654"/>
      <c r="L78" s="654"/>
      <c r="M78" s="792">
        <f t="shared" si="12"/>
        <v>50000</v>
      </c>
      <c r="N78" s="654"/>
      <c r="O78" s="654"/>
      <c r="P78" s="654"/>
      <c r="Q78" s="654"/>
      <c r="R78" s="654"/>
      <c r="S78" s="654"/>
      <c r="T78" s="654"/>
      <c r="U78" s="699"/>
      <c r="V78" s="803">
        <f t="shared" si="10"/>
        <v>0</v>
      </c>
      <c r="W78" s="809">
        <f t="shared" si="11"/>
        <v>50000</v>
      </c>
      <c r="Y78" s="814"/>
    </row>
    <row r="79" s="754" customFormat="1" spans="1:23">
      <c r="A79" s="783"/>
      <c r="B79" s="824" t="s">
        <v>298</v>
      </c>
      <c r="C79" s="654">
        <v>50000</v>
      </c>
      <c r="D79" s="654"/>
      <c r="E79" s="654"/>
      <c r="F79" s="654"/>
      <c r="G79" s="654"/>
      <c r="H79" s="654"/>
      <c r="I79" s="654"/>
      <c r="J79" s="654"/>
      <c r="K79" s="654"/>
      <c r="L79" s="654"/>
      <c r="M79" s="792">
        <f t="shared" si="12"/>
        <v>50000</v>
      </c>
      <c r="N79" s="654"/>
      <c r="O79" s="654"/>
      <c r="P79" s="654"/>
      <c r="Q79" s="654"/>
      <c r="R79" s="654"/>
      <c r="S79" s="654"/>
      <c r="T79" s="654"/>
      <c r="U79" s="699"/>
      <c r="V79" s="803">
        <f t="shared" si="10"/>
        <v>0</v>
      </c>
      <c r="W79" s="809">
        <f t="shared" si="11"/>
        <v>50000</v>
      </c>
    </row>
    <row r="80" s="754" customFormat="1" spans="1:25">
      <c r="A80" s="783"/>
      <c r="B80" s="153" t="s">
        <v>299</v>
      </c>
      <c r="C80" s="654">
        <v>100000</v>
      </c>
      <c r="D80" s="654"/>
      <c r="E80" s="654"/>
      <c r="F80" s="654"/>
      <c r="G80" s="654"/>
      <c r="H80" s="654"/>
      <c r="I80" s="654"/>
      <c r="J80" s="654"/>
      <c r="K80" s="654"/>
      <c r="L80" s="654"/>
      <c r="M80" s="792">
        <f t="shared" si="12"/>
        <v>100000</v>
      </c>
      <c r="N80" s="654"/>
      <c r="O80" s="654"/>
      <c r="P80" s="654"/>
      <c r="Q80" s="654"/>
      <c r="R80" s="654"/>
      <c r="S80" s="654"/>
      <c r="T80" s="654"/>
      <c r="U80" s="699"/>
      <c r="V80" s="803">
        <f t="shared" si="10"/>
        <v>0</v>
      </c>
      <c r="W80" s="809">
        <f t="shared" si="11"/>
        <v>100000</v>
      </c>
      <c r="X80" s="812"/>
      <c r="Y80" s="814"/>
    </row>
    <row r="81" s="754" customFormat="1" spans="1:23">
      <c r="A81" s="783"/>
      <c r="B81" s="153" t="s">
        <v>300</v>
      </c>
      <c r="C81" s="654">
        <v>100000</v>
      </c>
      <c r="D81" s="654"/>
      <c r="E81" s="654"/>
      <c r="F81" s="654"/>
      <c r="G81" s="654"/>
      <c r="H81" s="654"/>
      <c r="I81" s="654"/>
      <c r="J81" s="654"/>
      <c r="K81" s="654"/>
      <c r="L81" s="654"/>
      <c r="M81" s="792">
        <f t="shared" si="12"/>
        <v>100000</v>
      </c>
      <c r="N81" s="654"/>
      <c r="O81" s="654"/>
      <c r="P81" s="654"/>
      <c r="Q81" s="654"/>
      <c r="R81" s="654"/>
      <c r="S81" s="654"/>
      <c r="T81" s="654"/>
      <c r="U81" s="699"/>
      <c r="V81" s="803">
        <f t="shared" si="10"/>
        <v>0</v>
      </c>
      <c r="W81" s="809">
        <f t="shared" si="11"/>
        <v>100000</v>
      </c>
    </row>
    <row r="82" s="754" customFormat="1" spans="1:23">
      <c r="A82" s="783"/>
      <c r="B82" s="153" t="s">
        <v>301</v>
      </c>
      <c r="C82" s="654"/>
      <c r="D82" s="654">
        <v>100000</v>
      </c>
      <c r="E82" s="654"/>
      <c r="F82" s="654"/>
      <c r="G82" s="654"/>
      <c r="H82" s="654"/>
      <c r="I82" s="654"/>
      <c r="J82" s="654"/>
      <c r="K82" s="654"/>
      <c r="L82" s="654"/>
      <c r="M82" s="792">
        <f t="shared" si="12"/>
        <v>100000</v>
      </c>
      <c r="N82" s="654"/>
      <c r="O82" s="654"/>
      <c r="P82" s="654"/>
      <c r="Q82" s="654"/>
      <c r="R82" s="654"/>
      <c r="S82" s="654"/>
      <c r="T82" s="654"/>
      <c r="U82" s="699"/>
      <c r="V82" s="803">
        <f t="shared" si="10"/>
        <v>0</v>
      </c>
      <c r="W82" s="809">
        <f t="shared" si="11"/>
        <v>100000</v>
      </c>
    </row>
    <row r="83" s="754" customFormat="1" spans="1:23">
      <c r="A83" s="783"/>
      <c r="B83" s="153" t="s">
        <v>302</v>
      </c>
      <c r="C83" s="654">
        <v>50000</v>
      </c>
      <c r="D83" s="654"/>
      <c r="E83" s="654"/>
      <c r="F83" s="654"/>
      <c r="G83" s="654"/>
      <c r="H83" s="654"/>
      <c r="I83" s="654"/>
      <c r="J83" s="654"/>
      <c r="K83" s="654"/>
      <c r="L83" s="654"/>
      <c r="M83" s="792">
        <f t="shared" si="12"/>
        <v>50000</v>
      </c>
      <c r="N83" s="654"/>
      <c r="O83" s="654"/>
      <c r="P83" s="654"/>
      <c r="Q83" s="654"/>
      <c r="R83" s="654"/>
      <c r="S83" s="654"/>
      <c r="T83" s="654"/>
      <c r="U83" s="699"/>
      <c r="V83" s="803">
        <f t="shared" si="10"/>
        <v>0</v>
      </c>
      <c r="W83" s="809">
        <f t="shared" si="11"/>
        <v>50000</v>
      </c>
    </row>
    <row r="84" s="754" customFormat="1" spans="1:23">
      <c r="A84" s="783"/>
      <c r="B84" s="821" t="s">
        <v>303</v>
      </c>
      <c r="C84" s="825">
        <v>100000</v>
      </c>
      <c r="D84" s="654"/>
      <c r="E84" s="654"/>
      <c r="F84" s="654"/>
      <c r="G84" s="654"/>
      <c r="H84" s="654"/>
      <c r="I84" s="654"/>
      <c r="J84" s="654"/>
      <c r="K84" s="654"/>
      <c r="L84" s="654"/>
      <c r="M84" s="803">
        <f>SUM(C84:K84)</f>
        <v>100000</v>
      </c>
      <c r="N84" s="654"/>
      <c r="O84" s="654"/>
      <c r="P84" s="654"/>
      <c r="Q84" s="654"/>
      <c r="R84" s="654"/>
      <c r="S84" s="654"/>
      <c r="T84" s="654"/>
      <c r="U84" s="699"/>
      <c r="V84" s="803">
        <f t="shared" si="10"/>
        <v>0</v>
      </c>
      <c r="W84" s="809">
        <f t="shared" si="11"/>
        <v>100000</v>
      </c>
    </row>
    <row r="85" s="754" customFormat="1" spans="1:25">
      <c r="A85" s="783"/>
      <c r="B85" s="153" t="s">
        <v>304</v>
      </c>
      <c r="C85" s="654"/>
      <c r="D85" s="654">
        <v>400000</v>
      </c>
      <c r="E85" s="654"/>
      <c r="F85" s="654"/>
      <c r="G85" s="654"/>
      <c r="H85" s="654"/>
      <c r="I85" s="654"/>
      <c r="J85" s="654"/>
      <c r="K85" s="654"/>
      <c r="L85" s="654"/>
      <c r="M85" s="803">
        <f t="shared" ref="M85:M102" si="13">SUM(C85:K85)</f>
        <v>400000</v>
      </c>
      <c r="N85" s="654"/>
      <c r="O85" s="654"/>
      <c r="P85" s="654"/>
      <c r="Q85" s="654"/>
      <c r="R85" s="654"/>
      <c r="S85" s="654"/>
      <c r="T85" s="654"/>
      <c r="U85" s="699"/>
      <c r="V85" s="803">
        <f t="shared" ref="V85:V102" si="14">SUM(N85:U85)</f>
        <v>0</v>
      </c>
      <c r="W85" s="809">
        <f t="shared" si="11"/>
        <v>400000</v>
      </c>
      <c r="Y85" s="812"/>
    </row>
    <row r="86" s="754" customFormat="1" spans="1:25">
      <c r="A86" s="783"/>
      <c r="B86" s="153" t="s">
        <v>305</v>
      </c>
      <c r="C86" s="654"/>
      <c r="D86" s="654">
        <v>1000000</v>
      </c>
      <c r="E86" s="654"/>
      <c r="F86" s="654"/>
      <c r="G86" s="654"/>
      <c r="H86" s="654"/>
      <c r="I86" s="654"/>
      <c r="J86" s="654"/>
      <c r="K86" s="654"/>
      <c r="L86" s="654"/>
      <c r="M86" s="803">
        <f t="shared" si="13"/>
        <v>1000000</v>
      </c>
      <c r="N86" s="654"/>
      <c r="O86" s="654"/>
      <c r="P86" s="654"/>
      <c r="Q86" s="654"/>
      <c r="R86" s="654"/>
      <c r="S86" s="654"/>
      <c r="T86" s="654"/>
      <c r="U86" s="699"/>
      <c r="V86" s="803">
        <f t="shared" si="14"/>
        <v>0</v>
      </c>
      <c r="W86" s="809">
        <f t="shared" si="11"/>
        <v>1000000</v>
      </c>
      <c r="Y86" s="812"/>
    </row>
    <row r="87" s="754" customFormat="1" spans="1:25">
      <c r="A87" s="783"/>
      <c r="B87" s="153" t="s">
        <v>306</v>
      </c>
      <c r="C87" s="654"/>
      <c r="D87" s="654"/>
      <c r="E87" s="654"/>
      <c r="F87" s="654"/>
      <c r="G87" s="654"/>
      <c r="H87" s="654"/>
      <c r="I87" s="654"/>
      <c r="J87" s="654"/>
      <c r="K87" s="654"/>
      <c r="L87" s="654"/>
      <c r="M87" s="803">
        <f t="shared" si="13"/>
        <v>0</v>
      </c>
      <c r="N87" s="654"/>
      <c r="O87" s="654">
        <v>1000000</v>
      </c>
      <c r="P87" s="654"/>
      <c r="Q87" s="654"/>
      <c r="R87" s="654"/>
      <c r="S87" s="654"/>
      <c r="T87" s="654"/>
      <c r="U87" s="699"/>
      <c r="V87" s="803">
        <f t="shared" si="14"/>
        <v>1000000</v>
      </c>
      <c r="W87" s="809">
        <f t="shared" si="11"/>
        <v>-1000000</v>
      </c>
      <c r="Y87" s="812"/>
    </row>
    <row r="88" s="754" customFormat="1" spans="1:25">
      <c r="A88" s="783"/>
      <c r="B88" s="153" t="s">
        <v>275</v>
      </c>
      <c r="C88" s="654"/>
      <c r="D88" s="654"/>
      <c r="E88" s="654"/>
      <c r="F88" s="654"/>
      <c r="G88" s="654"/>
      <c r="H88" s="654"/>
      <c r="I88" s="654"/>
      <c r="J88" s="654"/>
      <c r="K88" s="654"/>
      <c r="L88" s="654"/>
      <c r="M88" s="803">
        <f t="shared" si="13"/>
        <v>0</v>
      </c>
      <c r="N88" s="654"/>
      <c r="O88" s="654"/>
      <c r="P88" s="654"/>
      <c r="Q88" s="654"/>
      <c r="R88" s="654"/>
      <c r="S88" s="654"/>
      <c r="T88" s="654">
        <v>150000</v>
      </c>
      <c r="U88" s="699"/>
      <c r="V88" s="803">
        <f t="shared" si="14"/>
        <v>150000</v>
      </c>
      <c r="W88" s="809">
        <f t="shared" si="11"/>
        <v>-150000</v>
      </c>
      <c r="Y88" s="812"/>
    </row>
    <row r="89" s="754" customFormat="1" spans="1:25">
      <c r="A89" s="783"/>
      <c r="B89" s="153" t="s">
        <v>307</v>
      </c>
      <c r="C89" s="654"/>
      <c r="D89" s="654"/>
      <c r="E89" s="654"/>
      <c r="F89" s="654"/>
      <c r="G89" s="654"/>
      <c r="H89" s="654"/>
      <c r="I89" s="654"/>
      <c r="J89" s="654"/>
      <c r="K89" s="654"/>
      <c r="L89" s="654"/>
      <c r="M89" s="803">
        <f t="shared" si="13"/>
        <v>0</v>
      </c>
      <c r="N89" s="654"/>
      <c r="O89" s="654"/>
      <c r="P89" s="654"/>
      <c r="Q89" s="654"/>
      <c r="R89" s="654"/>
      <c r="S89" s="654"/>
      <c r="T89" s="654"/>
      <c r="U89" s="699">
        <v>252000</v>
      </c>
      <c r="V89" s="803">
        <f t="shared" si="14"/>
        <v>252000</v>
      </c>
      <c r="W89" s="809">
        <f t="shared" si="11"/>
        <v>-252000</v>
      </c>
      <c r="Y89" s="812"/>
    </row>
    <row r="90" s="754" customFormat="1" spans="1:25">
      <c r="A90" s="1073" t="s">
        <v>308</v>
      </c>
      <c r="B90" s="153" t="s">
        <v>309</v>
      </c>
      <c r="C90" s="654"/>
      <c r="D90" s="654"/>
      <c r="E90" s="654"/>
      <c r="F90" s="654"/>
      <c r="G90" s="654"/>
      <c r="H90" s="654"/>
      <c r="I90" s="654"/>
      <c r="J90" s="654"/>
      <c r="K90" s="654"/>
      <c r="L90" s="654"/>
      <c r="M90" s="803">
        <f t="shared" si="13"/>
        <v>0</v>
      </c>
      <c r="N90" s="654"/>
      <c r="O90" s="654"/>
      <c r="P90" s="654"/>
      <c r="Q90" s="654"/>
      <c r="R90" s="654"/>
      <c r="S90" s="654"/>
      <c r="T90" s="654"/>
      <c r="U90" s="699">
        <v>1500000</v>
      </c>
      <c r="V90" s="803">
        <f t="shared" si="14"/>
        <v>1500000</v>
      </c>
      <c r="W90" s="809">
        <f t="shared" si="11"/>
        <v>-1500000</v>
      </c>
      <c r="Y90" s="814"/>
    </row>
    <row r="91" s="754" customFormat="1" spans="1:25">
      <c r="A91" s="826"/>
      <c r="B91" s="153" t="s">
        <v>310</v>
      </c>
      <c r="C91" s="654"/>
      <c r="D91" s="654"/>
      <c r="E91" s="654"/>
      <c r="F91" s="654"/>
      <c r="G91" s="654"/>
      <c r="H91" s="654"/>
      <c r="I91" s="654"/>
      <c r="J91" s="654"/>
      <c r="K91" s="654"/>
      <c r="L91" s="654"/>
      <c r="M91" s="803">
        <f t="shared" si="13"/>
        <v>0</v>
      </c>
      <c r="N91" s="654"/>
      <c r="O91" s="654"/>
      <c r="P91" s="654"/>
      <c r="Q91" s="654"/>
      <c r="R91" s="654"/>
      <c r="S91" s="654"/>
      <c r="T91" s="654"/>
      <c r="U91" s="699">
        <v>2520000</v>
      </c>
      <c r="V91" s="803">
        <f t="shared" si="14"/>
        <v>2520000</v>
      </c>
      <c r="W91" s="809">
        <f t="shared" si="11"/>
        <v>-2520000</v>
      </c>
      <c r="X91" s="814"/>
      <c r="Y91" s="814">
        <f>SUM(V90:V95)</f>
        <v>7637000</v>
      </c>
    </row>
    <row r="92" s="754" customFormat="1" spans="1:25">
      <c r="A92" s="826"/>
      <c r="B92" s="153" t="s">
        <v>311</v>
      </c>
      <c r="C92" s="654"/>
      <c r="D92" s="654"/>
      <c r="E92" s="654"/>
      <c r="F92" s="654"/>
      <c r="G92" s="654"/>
      <c r="H92" s="654"/>
      <c r="I92" s="654"/>
      <c r="J92" s="654"/>
      <c r="K92" s="654"/>
      <c r="L92" s="654"/>
      <c r="M92" s="803">
        <f t="shared" si="13"/>
        <v>0</v>
      </c>
      <c r="N92" s="654"/>
      <c r="O92" s="654"/>
      <c r="P92" s="654"/>
      <c r="Q92" s="654"/>
      <c r="R92" s="654"/>
      <c r="S92" s="654"/>
      <c r="T92" s="654"/>
      <c r="U92" s="699">
        <v>200000</v>
      </c>
      <c r="V92" s="803">
        <f t="shared" si="14"/>
        <v>200000</v>
      </c>
      <c r="W92" s="809">
        <f t="shared" si="11"/>
        <v>-200000</v>
      </c>
      <c r="X92" s="814">
        <f>T254+N254</f>
        <v>1345000</v>
      </c>
      <c r="Y92" s="814" t="e">
        <f>SUM(NERACA!#REF!)</f>
        <v>#REF!</v>
      </c>
    </row>
    <row r="93" s="754" customFormat="1" spans="1:25">
      <c r="A93" s="826"/>
      <c r="B93" s="153" t="s">
        <v>312</v>
      </c>
      <c r="C93" s="654"/>
      <c r="D93" s="654"/>
      <c r="E93" s="654"/>
      <c r="F93" s="654"/>
      <c r="G93" s="654"/>
      <c r="H93" s="654"/>
      <c r="I93" s="654"/>
      <c r="J93" s="654"/>
      <c r="K93" s="654"/>
      <c r="L93" s="654"/>
      <c r="M93" s="803">
        <f t="shared" si="13"/>
        <v>0</v>
      </c>
      <c r="N93" s="654"/>
      <c r="O93" s="654"/>
      <c r="P93" s="654"/>
      <c r="Q93" s="654"/>
      <c r="R93" s="654"/>
      <c r="S93" s="654"/>
      <c r="T93" s="654"/>
      <c r="U93" s="699">
        <v>100000</v>
      </c>
      <c r="V93" s="803">
        <f t="shared" si="14"/>
        <v>100000</v>
      </c>
      <c r="W93" s="809">
        <f t="shared" si="11"/>
        <v>-100000</v>
      </c>
      <c r="X93" s="814"/>
      <c r="Y93" s="814" t="e">
        <f>Y91-Y92</f>
        <v>#REF!</v>
      </c>
    </row>
    <row r="94" s="754" customFormat="1" spans="1:24">
      <c r="A94" s="826"/>
      <c r="B94" s="153" t="s">
        <v>313</v>
      </c>
      <c r="C94" s="654"/>
      <c r="D94" s="654"/>
      <c r="E94" s="654"/>
      <c r="F94" s="654"/>
      <c r="G94" s="654"/>
      <c r="H94" s="654"/>
      <c r="I94" s="654"/>
      <c r="J94" s="654"/>
      <c r="K94" s="654"/>
      <c r="L94" s="654"/>
      <c r="M94" s="803">
        <f t="shared" si="13"/>
        <v>0</v>
      </c>
      <c r="N94" s="654"/>
      <c r="O94" s="654"/>
      <c r="P94" s="654"/>
      <c r="Q94" s="654"/>
      <c r="R94" s="654"/>
      <c r="S94" s="654"/>
      <c r="T94" s="654"/>
      <c r="U94" s="699">
        <v>57000</v>
      </c>
      <c r="V94" s="803">
        <f t="shared" si="14"/>
        <v>57000</v>
      </c>
      <c r="W94" s="809">
        <f t="shared" si="11"/>
        <v>-57000</v>
      </c>
      <c r="X94" s="814"/>
    </row>
    <row r="95" s="754" customFormat="1" spans="1:24">
      <c r="A95" s="826"/>
      <c r="B95" s="153" t="s">
        <v>314</v>
      </c>
      <c r="C95" s="654"/>
      <c r="D95" s="654"/>
      <c r="E95" s="654"/>
      <c r="F95" s="654"/>
      <c r="G95" s="654"/>
      <c r="H95" s="654"/>
      <c r="I95" s="654"/>
      <c r="J95" s="654"/>
      <c r="K95" s="654"/>
      <c r="L95" s="654"/>
      <c r="M95" s="803">
        <f t="shared" si="13"/>
        <v>0</v>
      </c>
      <c r="N95" s="654"/>
      <c r="O95" s="654"/>
      <c r="P95" s="654"/>
      <c r="Q95" s="654"/>
      <c r="R95" s="654"/>
      <c r="S95" s="654"/>
      <c r="T95" s="654"/>
      <c r="U95" s="699">
        <v>3260000</v>
      </c>
      <c r="V95" s="803">
        <f t="shared" si="14"/>
        <v>3260000</v>
      </c>
      <c r="W95" s="809">
        <f t="shared" si="11"/>
        <v>-3260000</v>
      </c>
      <c r="X95" s="814"/>
    </row>
    <row r="96" s="754" customFormat="1" spans="1:24">
      <c r="A96" s="826"/>
      <c r="B96" s="153" t="s">
        <v>315</v>
      </c>
      <c r="C96" s="654"/>
      <c r="D96" s="654"/>
      <c r="E96" s="654"/>
      <c r="F96" s="654"/>
      <c r="G96" s="654"/>
      <c r="H96" s="654"/>
      <c r="I96" s="654"/>
      <c r="J96" s="654"/>
      <c r="K96" s="654"/>
      <c r="L96" s="654"/>
      <c r="M96" s="803">
        <f t="shared" si="13"/>
        <v>0</v>
      </c>
      <c r="N96" s="654"/>
      <c r="O96" s="654"/>
      <c r="P96" s="654"/>
      <c r="Q96" s="654"/>
      <c r="R96" s="654"/>
      <c r="S96" s="654"/>
      <c r="T96" s="654">
        <v>50000</v>
      </c>
      <c r="U96" s="699"/>
      <c r="V96" s="803">
        <f t="shared" si="14"/>
        <v>50000</v>
      </c>
      <c r="W96" s="809">
        <f t="shared" si="11"/>
        <v>-50000</v>
      </c>
      <c r="X96" s="814"/>
    </row>
    <row r="97" s="754" customFormat="1" spans="1:24">
      <c r="A97" s="826"/>
      <c r="B97" s="819" t="s">
        <v>316</v>
      </c>
      <c r="C97" s="772"/>
      <c r="D97" s="772"/>
      <c r="E97" s="772"/>
      <c r="F97" s="772"/>
      <c r="G97" s="772"/>
      <c r="H97" s="772"/>
      <c r="I97" s="772"/>
      <c r="J97" s="772"/>
      <c r="K97" s="772"/>
      <c r="L97" s="772"/>
      <c r="M97" s="804">
        <f t="shared" si="13"/>
        <v>0</v>
      </c>
      <c r="N97" s="772"/>
      <c r="O97" s="772"/>
      <c r="P97" s="772"/>
      <c r="Q97" s="772"/>
      <c r="R97" s="772"/>
      <c r="S97" s="772">
        <v>246000</v>
      </c>
      <c r="T97" s="772"/>
      <c r="U97" s="771"/>
      <c r="V97" s="804">
        <f t="shared" si="14"/>
        <v>246000</v>
      </c>
      <c r="W97" s="811">
        <f t="shared" si="11"/>
        <v>-246000</v>
      </c>
      <c r="X97" s="814"/>
    </row>
    <row r="98" s="754" customFormat="1" spans="1:24">
      <c r="A98" s="826"/>
      <c r="B98" s="153" t="s">
        <v>317</v>
      </c>
      <c r="C98" s="654"/>
      <c r="D98" s="654"/>
      <c r="E98" s="654"/>
      <c r="F98" s="654"/>
      <c r="G98" s="654"/>
      <c r="H98" s="654"/>
      <c r="I98" s="654"/>
      <c r="J98" s="654"/>
      <c r="K98" s="654"/>
      <c r="L98" s="654"/>
      <c r="M98" s="803">
        <f t="shared" si="13"/>
        <v>0</v>
      </c>
      <c r="N98" s="654"/>
      <c r="O98" s="654"/>
      <c r="P98" s="654"/>
      <c r="Q98" s="654"/>
      <c r="R98" s="654"/>
      <c r="S98" s="654"/>
      <c r="T98" s="654"/>
      <c r="U98" s="699">
        <v>136000</v>
      </c>
      <c r="V98" s="803">
        <f t="shared" si="14"/>
        <v>136000</v>
      </c>
      <c r="W98" s="809">
        <f t="shared" si="11"/>
        <v>-136000</v>
      </c>
      <c r="X98" s="814"/>
    </row>
    <row r="99" s="754" customFormat="1" spans="1:24">
      <c r="A99" s="1074" t="s">
        <v>318</v>
      </c>
      <c r="B99" s="153" t="s">
        <v>319</v>
      </c>
      <c r="C99" s="654">
        <v>250000</v>
      </c>
      <c r="D99" s="654"/>
      <c r="E99" s="654"/>
      <c r="F99" s="654"/>
      <c r="G99" s="654"/>
      <c r="H99" s="654"/>
      <c r="I99" s="654"/>
      <c r="J99" s="654"/>
      <c r="K99" s="654"/>
      <c r="L99" s="654"/>
      <c r="M99" s="803">
        <f t="shared" si="13"/>
        <v>250000</v>
      </c>
      <c r="N99" s="654"/>
      <c r="O99" s="654"/>
      <c r="P99" s="654"/>
      <c r="Q99" s="654"/>
      <c r="R99" s="654"/>
      <c r="S99" s="654"/>
      <c r="T99" s="654"/>
      <c r="U99" s="699"/>
      <c r="V99" s="803">
        <f t="shared" si="14"/>
        <v>0</v>
      </c>
      <c r="W99" s="809">
        <f t="shared" si="11"/>
        <v>250000</v>
      </c>
      <c r="X99" s="814"/>
    </row>
    <row r="100" s="754" customFormat="1" spans="1:24">
      <c r="A100" s="827"/>
      <c r="B100" s="153" t="s">
        <v>320</v>
      </c>
      <c r="C100" s="654">
        <v>1000000</v>
      </c>
      <c r="D100" s="654"/>
      <c r="E100" s="654"/>
      <c r="F100" s="654"/>
      <c r="G100" s="654"/>
      <c r="H100" s="654"/>
      <c r="I100" s="654"/>
      <c r="J100" s="654"/>
      <c r="K100" s="654"/>
      <c r="L100" s="654"/>
      <c r="M100" s="803">
        <f t="shared" si="13"/>
        <v>1000000</v>
      </c>
      <c r="N100" s="654"/>
      <c r="O100" s="654"/>
      <c r="P100" s="654"/>
      <c r="Q100" s="654"/>
      <c r="R100" s="654"/>
      <c r="S100" s="654"/>
      <c r="T100" s="654"/>
      <c r="U100" s="699"/>
      <c r="V100" s="803">
        <f t="shared" si="14"/>
        <v>0</v>
      </c>
      <c r="W100" s="809">
        <f t="shared" si="11"/>
        <v>1000000</v>
      </c>
      <c r="X100" s="814"/>
    </row>
    <row r="101" s="754" customFormat="1" spans="1:24">
      <c r="A101" s="827"/>
      <c r="B101" s="153" t="s">
        <v>321</v>
      </c>
      <c r="C101" s="654"/>
      <c r="D101" s="654"/>
      <c r="E101" s="654"/>
      <c r="F101" s="654"/>
      <c r="G101" s="654"/>
      <c r="H101" s="654"/>
      <c r="I101" s="654"/>
      <c r="J101" s="654"/>
      <c r="K101" s="654"/>
      <c r="L101" s="654"/>
      <c r="M101" s="803">
        <f t="shared" si="13"/>
        <v>0</v>
      </c>
      <c r="N101" s="654">
        <v>3550000</v>
      </c>
      <c r="O101" s="654"/>
      <c r="P101" s="654"/>
      <c r="Q101" s="654"/>
      <c r="R101" s="654"/>
      <c r="S101" s="654"/>
      <c r="T101" s="654"/>
      <c r="U101" s="699"/>
      <c r="V101" s="803">
        <f t="shared" si="14"/>
        <v>3550000</v>
      </c>
      <c r="W101" s="809">
        <f t="shared" si="11"/>
        <v>-3550000</v>
      </c>
      <c r="X101" s="814"/>
    </row>
    <row r="102" s="754" customFormat="1" spans="1:24">
      <c r="A102" s="827"/>
      <c r="B102" s="153" t="s">
        <v>322</v>
      </c>
      <c r="C102" s="654"/>
      <c r="D102" s="654"/>
      <c r="E102" s="654"/>
      <c r="F102" s="654"/>
      <c r="G102" s="654"/>
      <c r="H102" s="654"/>
      <c r="I102" s="654"/>
      <c r="J102" s="654"/>
      <c r="K102" s="654"/>
      <c r="L102" s="654"/>
      <c r="M102" s="803">
        <f>SUM(C102:L102)</f>
        <v>0</v>
      </c>
      <c r="N102" s="654"/>
      <c r="O102" s="654"/>
      <c r="P102" s="654"/>
      <c r="Q102" s="654"/>
      <c r="R102" s="654"/>
      <c r="S102" s="654"/>
      <c r="T102" s="654"/>
      <c r="U102" s="699">
        <v>3319323</v>
      </c>
      <c r="V102" s="803">
        <f t="shared" ref="V102:V123" si="15">SUM(N102:U102)</f>
        <v>3319323</v>
      </c>
      <c r="W102" s="809">
        <f t="shared" ref="W102:W113" si="16">SUM(M102-V102)</f>
        <v>-3319323</v>
      </c>
      <c r="X102" s="814"/>
    </row>
    <row r="103" s="754" customFormat="1" spans="1:24">
      <c r="A103" s="827"/>
      <c r="B103" s="153" t="s">
        <v>323</v>
      </c>
      <c r="C103" s="654"/>
      <c r="D103" s="654"/>
      <c r="E103" s="654"/>
      <c r="F103" s="654"/>
      <c r="G103" s="654"/>
      <c r="H103" s="654"/>
      <c r="I103" s="654"/>
      <c r="J103" s="654"/>
      <c r="K103" s="654"/>
      <c r="L103" s="654"/>
      <c r="M103" s="803">
        <f t="shared" ref="M102:M113" si="17">SUM(C103:K103)</f>
        <v>0</v>
      </c>
      <c r="N103" s="654"/>
      <c r="O103" s="654"/>
      <c r="P103" s="654"/>
      <c r="Q103" s="654"/>
      <c r="R103" s="654"/>
      <c r="S103" s="654"/>
      <c r="T103" s="654"/>
      <c r="U103" s="699">
        <v>110000</v>
      </c>
      <c r="V103" s="803">
        <f t="shared" si="15"/>
        <v>110000</v>
      </c>
      <c r="W103" s="809">
        <f t="shared" si="16"/>
        <v>-110000</v>
      </c>
      <c r="X103" s="814"/>
    </row>
    <row r="104" s="754" customFormat="1" spans="1:24">
      <c r="A104" s="827"/>
      <c r="B104" s="153" t="s">
        <v>277</v>
      </c>
      <c r="C104" s="654"/>
      <c r="D104" s="654"/>
      <c r="E104" s="654"/>
      <c r="F104" s="654"/>
      <c r="G104" s="654"/>
      <c r="H104" s="654">
        <v>30000</v>
      </c>
      <c r="I104" s="654"/>
      <c r="J104" s="654"/>
      <c r="K104" s="654"/>
      <c r="L104" s="654"/>
      <c r="M104" s="803">
        <f>SUM(C104:L104)</f>
        <v>30000</v>
      </c>
      <c r="N104" s="654"/>
      <c r="O104" s="654"/>
      <c r="P104" s="654"/>
      <c r="Q104" s="654"/>
      <c r="R104" s="654"/>
      <c r="S104" s="654"/>
      <c r="T104" s="654"/>
      <c r="U104" s="699"/>
      <c r="V104" s="803">
        <f t="shared" si="15"/>
        <v>0</v>
      </c>
      <c r="W104" s="809">
        <f t="shared" si="16"/>
        <v>30000</v>
      </c>
      <c r="X104" s="814"/>
    </row>
    <row r="105" s="754" customFormat="1" spans="1:24">
      <c r="A105" s="827"/>
      <c r="B105" s="153" t="s">
        <v>266</v>
      </c>
      <c r="C105" s="654"/>
      <c r="D105" s="654"/>
      <c r="E105" s="654"/>
      <c r="F105" s="654"/>
      <c r="G105" s="654"/>
      <c r="H105" s="654"/>
      <c r="I105" s="654"/>
      <c r="J105" s="654"/>
      <c r="K105" s="654">
        <v>90000</v>
      </c>
      <c r="L105" s="654"/>
      <c r="M105" s="803">
        <f t="shared" si="17"/>
        <v>90000</v>
      </c>
      <c r="N105" s="654"/>
      <c r="O105" s="654"/>
      <c r="P105" s="654"/>
      <c r="Q105" s="654"/>
      <c r="R105" s="654"/>
      <c r="S105" s="654"/>
      <c r="T105" s="654"/>
      <c r="U105" s="699"/>
      <c r="V105" s="803">
        <f t="shared" si="15"/>
        <v>0</v>
      </c>
      <c r="W105" s="809">
        <f t="shared" si="16"/>
        <v>90000</v>
      </c>
      <c r="X105" s="814"/>
    </row>
    <row r="106" s="754" customFormat="1" spans="1:24">
      <c r="A106" s="827"/>
      <c r="B106" s="153" t="s">
        <v>324</v>
      </c>
      <c r="C106" s="654"/>
      <c r="D106" s="654"/>
      <c r="E106" s="654"/>
      <c r="F106" s="654"/>
      <c r="G106" s="654"/>
      <c r="H106" s="654"/>
      <c r="I106" s="654"/>
      <c r="J106" s="654"/>
      <c r="K106" s="654">
        <v>24450000</v>
      </c>
      <c r="L106" s="654"/>
      <c r="M106" s="803">
        <f t="shared" si="17"/>
        <v>24450000</v>
      </c>
      <c r="N106" s="654"/>
      <c r="O106" s="654"/>
      <c r="P106" s="654"/>
      <c r="Q106" s="654"/>
      <c r="R106" s="654"/>
      <c r="S106" s="654"/>
      <c r="T106" s="654"/>
      <c r="U106" s="699"/>
      <c r="V106" s="803">
        <f t="shared" si="15"/>
        <v>0</v>
      </c>
      <c r="W106" s="809">
        <f t="shared" si="16"/>
        <v>24450000</v>
      </c>
      <c r="X106" s="814"/>
    </row>
    <row r="107" s="755" customFormat="1" spans="1:25">
      <c r="A107" s="828"/>
      <c r="B107" s="153" t="s">
        <v>325</v>
      </c>
      <c r="C107" s="699"/>
      <c r="D107" s="699"/>
      <c r="E107" s="803"/>
      <c r="F107" s="803"/>
      <c r="G107" s="699"/>
      <c r="H107" s="803"/>
      <c r="I107" s="803"/>
      <c r="J107" s="803"/>
      <c r="K107" s="803"/>
      <c r="L107" s="803">
        <v>50000000</v>
      </c>
      <c r="M107" s="803">
        <f>SUM(C107:L107)</f>
        <v>50000000</v>
      </c>
      <c r="N107" s="803"/>
      <c r="O107" s="803"/>
      <c r="P107" s="803"/>
      <c r="Q107" s="803"/>
      <c r="R107" s="803"/>
      <c r="S107" s="699"/>
      <c r="T107" s="803"/>
      <c r="U107" s="699"/>
      <c r="V107" s="803">
        <f t="shared" si="15"/>
        <v>0</v>
      </c>
      <c r="W107" s="809">
        <f t="shared" si="16"/>
        <v>50000000</v>
      </c>
      <c r="X107" s="832"/>
      <c r="Y107" s="832"/>
    </row>
    <row r="108" s="755" customFormat="1" spans="1:25">
      <c r="A108" s="1073" t="s">
        <v>326</v>
      </c>
      <c r="B108" s="819" t="s">
        <v>327</v>
      </c>
      <c r="C108" s="771"/>
      <c r="D108" s="804"/>
      <c r="E108" s="804"/>
      <c r="F108" s="804"/>
      <c r="G108" s="804"/>
      <c r="H108" s="804"/>
      <c r="I108" s="804"/>
      <c r="J108" s="804"/>
      <c r="K108" s="804"/>
      <c r="L108" s="804"/>
      <c r="M108" s="804">
        <f t="shared" si="17"/>
        <v>0</v>
      </c>
      <c r="N108" s="804"/>
      <c r="O108" s="804"/>
      <c r="P108" s="804"/>
      <c r="Q108" s="804"/>
      <c r="R108" s="804"/>
      <c r="S108" s="804">
        <v>800000</v>
      </c>
      <c r="T108" s="771"/>
      <c r="U108" s="771"/>
      <c r="V108" s="804">
        <f t="shared" si="15"/>
        <v>800000</v>
      </c>
      <c r="W108" s="811">
        <f t="shared" si="16"/>
        <v>-800000</v>
      </c>
      <c r="X108" s="832"/>
      <c r="Y108" s="832"/>
    </row>
    <row r="109" s="755" customFormat="1" spans="1:25">
      <c r="A109" s="826"/>
      <c r="B109" s="153" t="s">
        <v>265</v>
      </c>
      <c r="C109" s="699"/>
      <c r="D109" s="699"/>
      <c r="E109" s="803"/>
      <c r="F109" s="803"/>
      <c r="G109" s="803"/>
      <c r="H109" s="699">
        <v>75000</v>
      </c>
      <c r="I109" s="803"/>
      <c r="J109" s="803"/>
      <c r="K109" s="803"/>
      <c r="L109" s="803"/>
      <c r="M109" s="803">
        <f t="shared" si="17"/>
        <v>75000</v>
      </c>
      <c r="N109" s="803"/>
      <c r="O109" s="803"/>
      <c r="P109" s="803"/>
      <c r="Q109" s="803"/>
      <c r="R109" s="803"/>
      <c r="S109" s="803"/>
      <c r="T109" s="699"/>
      <c r="U109" s="803"/>
      <c r="V109" s="803">
        <f t="shared" si="15"/>
        <v>0</v>
      </c>
      <c r="W109" s="809">
        <f t="shared" si="16"/>
        <v>75000</v>
      </c>
      <c r="X109" s="832"/>
      <c r="Y109" s="832"/>
    </row>
    <row r="110" s="755" customFormat="1" spans="1:25">
      <c r="A110" s="826"/>
      <c r="B110" s="153" t="s">
        <v>266</v>
      </c>
      <c r="C110" s="699"/>
      <c r="D110" s="699"/>
      <c r="E110" s="803"/>
      <c r="F110" s="803"/>
      <c r="G110" s="699"/>
      <c r="H110" s="803"/>
      <c r="I110" s="803"/>
      <c r="J110" s="803"/>
      <c r="K110" s="803">
        <v>225000</v>
      </c>
      <c r="L110" s="803"/>
      <c r="M110" s="803">
        <f t="shared" si="17"/>
        <v>225000</v>
      </c>
      <c r="N110" s="803"/>
      <c r="O110" s="803"/>
      <c r="P110" s="803"/>
      <c r="Q110" s="803"/>
      <c r="R110" s="803"/>
      <c r="S110" s="803"/>
      <c r="T110" s="803"/>
      <c r="U110" s="803"/>
      <c r="V110" s="803">
        <f t="shared" si="15"/>
        <v>0</v>
      </c>
      <c r="W110" s="809">
        <f t="shared" si="16"/>
        <v>225000</v>
      </c>
      <c r="X110" s="832"/>
      <c r="Y110" s="832"/>
    </row>
    <row r="111" s="755" customFormat="1" spans="1:25">
      <c r="A111" s="1074" t="s">
        <v>328</v>
      </c>
      <c r="B111" s="153" t="s">
        <v>277</v>
      </c>
      <c r="C111" s="699"/>
      <c r="D111" s="699"/>
      <c r="E111" s="699"/>
      <c r="F111" s="699"/>
      <c r="G111" s="699"/>
      <c r="H111" s="699">
        <v>30000</v>
      </c>
      <c r="I111" s="699"/>
      <c r="J111" s="699"/>
      <c r="K111" s="699"/>
      <c r="L111" s="699"/>
      <c r="M111" s="803">
        <f>SUM(C111:L111)</f>
        <v>30000</v>
      </c>
      <c r="N111" s="803"/>
      <c r="O111" s="803"/>
      <c r="P111" s="803"/>
      <c r="Q111" s="803"/>
      <c r="R111" s="803"/>
      <c r="S111" s="803"/>
      <c r="T111" s="803"/>
      <c r="U111" s="803"/>
      <c r="V111" s="803">
        <f t="shared" si="15"/>
        <v>0</v>
      </c>
      <c r="W111" s="809">
        <f t="shared" si="16"/>
        <v>30000</v>
      </c>
      <c r="X111" s="832"/>
      <c r="Y111" s="832"/>
    </row>
    <row r="112" s="755" customFormat="1" spans="1:25">
      <c r="A112" s="828"/>
      <c r="B112" s="153" t="s">
        <v>266</v>
      </c>
      <c r="C112" s="699"/>
      <c r="D112" s="699"/>
      <c r="E112" s="699"/>
      <c r="F112" s="699"/>
      <c r="G112" s="699"/>
      <c r="H112" s="699"/>
      <c r="I112" s="699"/>
      <c r="J112" s="699"/>
      <c r="K112" s="699">
        <v>90000</v>
      </c>
      <c r="L112" s="699"/>
      <c r="M112" s="803">
        <f>SUM(C112:K112)</f>
        <v>90000</v>
      </c>
      <c r="N112" s="803"/>
      <c r="O112" s="803"/>
      <c r="P112" s="803"/>
      <c r="Q112" s="803"/>
      <c r="R112" s="803"/>
      <c r="S112" s="803"/>
      <c r="T112" s="803"/>
      <c r="U112" s="699"/>
      <c r="V112" s="803">
        <f t="shared" si="15"/>
        <v>0</v>
      </c>
      <c r="W112" s="809">
        <f t="shared" si="16"/>
        <v>90000</v>
      </c>
      <c r="X112" s="832"/>
      <c r="Y112" s="832"/>
    </row>
    <row r="113" s="755" customFormat="1" spans="1:25">
      <c r="A113" s="1073" t="s">
        <v>329</v>
      </c>
      <c r="B113" s="153" t="s">
        <v>330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803">
        <f t="shared" ref="M113:M122" si="18">SUM(C113:K113)</f>
        <v>0</v>
      </c>
      <c r="N113" s="803"/>
      <c r="O113" s="803"/>
      <c r="P113" s="803"/>
      <c r="Q113" s="803"/>
      <c r="R113" s="803"/>
      <c r="S113" s="803"/>
      <c r="T113" s="803"/>
      <c r="U113" s="803"/>
      <c r="V113" s="803">
        <f t="shared" si="15"/>
        <v>0</v>
      </c>
      <c r="W113" s="809">
        <f t="shared" ref="W113:W122" si="19">SUM(M113-V113)</f>
        <v>0</v>
      </c>
      <c r="X113" s="832"/>
      <c r="Y113" s="832"/>
    </row>
    <row r="114" s="755" customFormat="1" spans="1:25">
      <c r="A114" s="1073" t="s">
        <v>331</v>
      </c>
      <c r="B114" s="153" t="s">
        <v>291</v>
      </c>
      <c r="C114" s="699"/>
      <c r="D114" s="699"/>
      <c r="E114" s="699"/>
      <c r="F114" s="699"/>
      <c r="G114" s="699"/>
      <c r="H114" s="699"/>
      <c r="I114" s="699"/>
      <c r="J114" s="699"/>
      <c r="K114" s="699"/>
      <c r="L114" s="699"/>
      <c r="M114" s="803">
        <f t="shared" si="18"/>
        <v>0</v>
      </c>
      <c r="N114" s="803"/>
      <c r="O114" s="803"/>
      <c r="P114" s="803"/>
      <c r="Q114" s="803"/>
      <c r="R114" s="803"/>
      <c r="S114" s="803"/>
      <c r="T114" s="803"/>
      <c r="U114" s="803"/>
      <c r="V114" s="803">
        <f t="shared" si="15"/>
        <v>0</v>
      </c>
      <c r="W114" s="809">
        <f t="shared" si="19"/>
        <v>0</v>
      </c>
      <c r="X114" s="832"/>
      <c r="Y114" s="832"/>
    </row>
    <row r="115" s="755" customFormat="1" spans="1:25">
      <c r="A115" s="1073" t="s">
        <v>332</v>
      </c>
      <c r="B115" s="153" t="s">
        <v>291</v>
      </c>
      <c r="C115" s="699"/>
      <c r="D115" s="699"/>
      <c r="E115" s="699"/>
      <c r="F115" s="699"/>
      <c r="G115" s="699"/>
      <c r="H115" s="699"/>
      <c r="I115" s="699"/>
      <c r="J115" s="699"/>
      <c r="K115" s="699"/>
      <c r="L115" s="699"/>
      <c r="M115" s="803">
        <f t="shared" si="18"/>
        <v>0</v>
      </c>
      <c r="N115" s="803"/>
      <c r="O115" s="803"/>
      <c r="P115" s="803"/>
      <c r="Q115" s="803"/>
      <c r="R115" s="803"/>
      <c r="S115" s="803"/>
      <c r="T115" s="803"/>
      <c r="U115" s="803"/>
      <c r="V115" s="803">
        <f t="shared" si="15"/>
        <v>0</v>
      </c>
      <c r="W115" s="809">
        <f t="shared" si="19"/>
        <v>0</v>
      </c>
      <c r="X115" s="832"/>
      <c r="Y115" s="832"/>
    </row>
    <row r="116" s="755" customFormat="1" spans="1:25">
      <c r="A116" s="1073" t="s">
        <v>333</v>
      </c>
      <c r="B116" s="153" t="s">
        <v>334</v>
      </c>
      <c r="C116" s="699"/>
      <c r="D116" s="699">
        <v>250000</v>
      </c>
      <c r="E116" s="699"/>
      <c r="F116" s="699"/>
      <c r="G116" s="699"/>
      <c r="H116" s="699"/>
      <c r="I116" s="699"/>
      <c r="J116" s="699"/>
      <c r="K116" s="699"/>
      <c r="L116" s="699"/>
      <c r="M116" s="803">
        <f t="shared" si="18"/>
        <v>250000</v>
      </c>
      <c r="N116" s="803"/>
      <c r="O116" s="803"/>
      <c r="P116" s="803"/>
      <c r="Q116" s="803"/>
      <c r="R116" s="803"/>
      <c r="S116" s="803"/>
      <c r="T116" s="803"/>
      <c r="U116" s="803"/>
      <c r="V116" s="803">
        <f t="shared" si="15"/>
        <v>0</v>
      </c>
      <c r="W116" s="809">
        <f t="shared" si="19"/>
        <v>250000</v>
      </c>
      <c r="X116" s="832"/>
      <c r="Y116" s="832"/>
    </row>
    <row r="117" s="755" customFormat="1" spans="1:25">
      <c r="A117" s="826"/>
      <c r="B117" s="153" t="s">
        <v>335</v>
      </c>
      <c r="C117" s="699"/>
      <c r="D117" s="699"/>
      <c r="E117" s="699"/>
      <c r="F117" s="699"/>
      <c r="G117" s="699"/>
      <c r="H117" s="699"/>
      <c r="I117" s="699"/>
      <c r="J117" s="699"/>
      <c r="K117" s="699"/>
      <c r="L117" s="699"/>
      <c r="M117" s="803">
        <f t="shared" si="18"/>
        <v>0</v>
      </c>
      <c r="N117" s="803">
        <v>2000000</v>
      </c>
      <c r="O117" s="803"/>
      <c r="P117" s="803"/>
      <c r="Q117" s="803"/>
      <c r="R117" s="803"/>
      <c r="S117" s="803"/>
      <c r="T117" s="803"/>
      <c r="U117" s="803"/>
      <c r="V117" s="803">
        <f t="shared" si="15"/>
        <v>2000000</v>
      </c>
      <c r="W117" s="809">
        <f t="shared" si="19"/>
        <v>-2000000</v>
      </c>
      <c r="X117" s="832"/>
      <c r="Y117" s="832"/>
    </row>
    <row r="118" s="755" customFormat="1" spans="1:25">
      <c r="A118" s="826"/>
      <c r="B118" s="819" t="s">
        <v>336</v>
      </c>
      <c r="C118" s="771"/>
      <c r="D118" s="771"/>
      <c r="E118" s="771"/>
      <c r="F118" s="771"/>
      <c r="G118" s="771"/>
      <c r="H118" s="771"/>
      <c r="I118" s="771"/>
      <c r="J118" s="771"/>
      <c r="K118" s="771"/>
      <c r="L118" s="771"/>
      <c r="M118" s="804">
        <f t="shared" si="18"/>
        <v>0</v>
      </c>
      <c r="N118" s="804"/>
      <c r="O118" s="804"/>
      <c r="P118" s="804"/>
      <c r="Q118" s="804"/>
      <c r="R118" s="804"/>
      <c r="S118" s="804">
        <v>750000</v>
      </c>
      <c r="T118" s="804"/>
      <c r="U118" s="804"/>
      <c r="V118" s="804">
        <f t="shared" si="15"/>
        <v>750000</v>
      </c>
      <c r="W118" s="811">
        <f t="shared" si="19"/>
        <v>-750000</v>
      </c>
      <c r="X118" s="832"/>
      <c r="Y118" s="832"/>
    </row>
    <row r="119" s="755" customFormat="1" spans="1:25">
      <c r="A119" s="826"/>
      <c r="B119" s="819" t="s">
        <v>337</v>
      </c>
      <c r="C119" s="771"/>
      <c r="D119" s="771"/>
      <c r="E119" s="771"/>
      <c r="F119" s="771"/>
      <c r="G119" s="771"/>
      <c r="H119" s="771"/>
      <c r="I119" s="771"/>
      <c r="J119" s="771"/>
      <c r="K119" s="771"/>
      <c r="L119" s="771"/>
      <c r="M119" s="804">
        <f t="shared" si="18"/>
        <v>0</v>
      </c>
      <c r="N119" s="804"/>
      <c r="O119" s="804"/>
      <c r="P119" s="804"/>
      <c r="Q119" s="804"/>
      <c r="R119" s="804"/>
      <c r="S119" s="804">
        <v>500000</v>
      </c>
      <c r="T119" s="804"/>
      <c r="U119" s="804"/>
      <c r="V119" s="804">
        <f t="shared" si="15"/>
        <v>500000</v>
      </c>
      <c r="W119" s="811">
        <f t="shared" si="19"/>
        <v>-500000</v>
      </c>
      <c r="X119" s="832"/>
      <c r="Y119" s="832"/>
    </row>
    <row r="120" s="755" customFormat="1" spans="1:25">
      <c r="A120" s="826"/>
      <c r="B120" s="819" t="s">
        <v>338</v>
      </c>
      <c r="C120" s="771"/>
      <c r="D120" s="771"/>
      <c r="E120" s="771"/>
      <c r="F120" s="771"/>
      <c r="G120" s="771"/>
      <c r="H120" s="771"/>
      <c r="I120" s="771"/>
      <c r="J120" s="771"/>
      <c r="K120" s="771"/>
      <c r="L120" s="771"/>
      <c r="M120" s="804">
        <f t="shared" si="18"/>
        <v>0</v>
      </c>
      <c r="N120" s="804"/>
      <c r="O120" s="804"/>
      <c r="P120" s="804"/>
      <c r="Q120" s="804"/>
      <c r="R120" s="804"/>
      <c r="S120" s="804">
        <v>100000</v>
      </c>
      <c r="T120" s="804"/>
      <c r="U120" s="804"/>
      <c r="V120" s="804">
        <f t="shared" si="15"/>
        <v>100000</v>
      </c>
      <c r="W120" s="811">
        <f t="shared" si="19"/>
        <v>-100000</v>
      </c>
      <c r="X120" s="832"/>
      <c r="Y120" s="832"/>
    </row>
    <row r="121" s="755" customFormat="1" spans="1:25">
      <c r="A121" s="826"/>
      <c r="B121" s="153" t="s">
        <v>339</v>
      </c>
      <c r="C121" s="699"/>
      <c r="D121" s="699"/>
      <c r="E121" s="699"/>
      <c r="F121" s="699"/>
      <c r="G121" s="699"/>
      <c r="H121" s="699"/>
      <c r="I121" s="699"/>
      <c r="J121" s="699"/>
      <c r="K121" s="699"/>
      <c r="L121" s="699"/>
      <c r="M121" s="803">
        <f t="shared" si="18"/>
        <v>0</v>
      </c>
      <c r="N121" s="803"/>
      <c r="O121" s="803"/>
      <c r="P121" s="803"/>
      <c r="Q121" s="803"/>
      <c r="R121" s="803"/>
      <c r="S121" s="803"/>
      <c r="T121" s="803"/>
      <c r="U121" s="803">
        <v>60000</v>
      </c>
      <c r="V121" s="803">
        <f t="shared" si="15"/>
        <v>60000</v>
      </c>
      <c r="W121" s="809">
        <f t="shared" si="19"/>
        <v>-60000</v>
      </c>
      <c r="X121" s="832"/>
      <c r="Y121" s="832"/>
    </row>
    <row r="122" s="755" customFormat="1" spans="1:25">
      <c r="A122" s="826"/>
      <c r="B122" s="153" t="s">
        <v>340</v>
      </c>
      <c r="C122" s="699"/>
      <c r="D122" s="699"/>
      <c r="E122" s="699"/>
      <c r="F122" s="699"/>
      <c r="G122" s="699"/>
      <c r="H122" s="699"/>
      <c r="I122" s="699"/>
      <c r="J122" s="699"/>
      <c r="K122" s="699"/>
      <c r="L122" s="699"/>
      <c r="M122" s="803">
        <f t="shared" si="18"/>
        <v>0</v>
      </c>
      <c r="N122" s="803"/>
      <c r="O122" s="803"/>
      <c r="P122" s="803"/>
      <c r="Q122" s="803"/>
      <c r="R122" s="803"/>
      <c r="S122" s="803"/>
      <c r="T122" s="803">
        <v>45000</v>
      </c>
      <c r="U122" s="803"/>
      <c r="V122" s="803">
        <f t="shared" si="15"/>
        <v>45000</v>
      </c>
      <c r="W122" s="809">
        <f t="shared" si="19"/>
        <v>-45000</v>
      </c>
      <c r="X122" s="832"/>
      <c r="Y122" s="832"/>
    </row>
    <row r="123" s="755" customFormat="1" spans="1:25">
      <c r="A123" s="826"/>
      <c r="B123" s="153" t="s">
        <v>341</v>
      </c>
      <c r="C123" s="699"/>
      <c r="D123" s="699"/>
      <c r="E123" s="699"/>
      <c r="F123" s="699"/>
      <c r="G123" s="699"/>
      <c r="H123" s="699"/>
      <c r="I123" s="699"/>
      <c r="J123" s="699"/>
      <c r="K123" s="699"/>
      <c r="L123" s="699"/>
      <c r="M123" s="803">
        <f t="shared" ref="M123:M151" si="20">SUM(C123:K123)</f>
        <v>0</v>
      </c>
      <c r="N123" s="803">
        <v>5000000</v>
      </c>
      <c r="O123" s="803"/>
      <c r="P123" s="803"/>
      <c r="Q123" s="803"/>
      <c r="R123" s="803"/>
      <c r="S123" s="803"/>
      <c r="T123" s="803"/>
      <c r="U123" s="803"/>
      <c r="V123" s="803">
        <f t="shared" ref="V123:V155" si="21">SUM(N123:U123)</f>
        <v>5000000</v>
      </c>
      <c r="W123" s="809">
        <f t="shared" ref="W123:W129" si="22">SUM(M123-V123)</f>
        <v>-5000000</v>
      </c>
      <c r="X123" s="832"/>
      <c r="Y123" s="832"/>
    </row>
    <row r="124" s="755" customFormat="1" spans="1:25">
      <c r="A124" s="826"/>
      <c r="B124" s="819" t="s">
        <v>316</v>
      </c>
      <c r="C124" s="771"/>
      <c r="D124" s="771"/>
      <c r="E124" s="771"/>
      <c r="F124" s="771"/>
      <c r="G124" s="771"/>
      <c r="H124" s="771"/>
      <c r="I124" s="771"/>
      <c r="J124" s="771"/>
      <c r="K124" s="771"/>
      <c r="L124" s="771"/>
      <c r="M124" s="804">
        <f t="shared" si="20"/>
        <v>0</v>
      </c>
      <c r="N124" s="804"/>
      <c r="O124" s="804"/>
      <c r="P124" s="804"/>
      <c r="Q124" s="804"/>
      <c r="R124" s="804"/>
      <c r="S124" s="804">
        <v>150000</v>
      </c>
      <c r="T124" s="804"/>
      <c r="U124" s="804"/>
      <c r="V124" s="804">
        <f t="shared" si="21"/>
        <v>150000</v>
      </c>
      <c r="W124" s="811">
        <f t="shared" si="22"/>
        <v>-150000</v>
      </c>
      <c r="X124" s="832"/>
      <c r="Y124" s="832"/>
    </row>
    <row r="125" s="755" customFormat="1" spans="1:25">
      <c r="A125" s="826"/>
      <c r="B125" s="153" t="s">
        <v>342</v>
      </c>
      <c r="C125" s="699">
        <v>100000</v>
      </c>
      <c r="D125" s="699"/>
      <c r="E125" s="699"/>
      <c r="F125" s="699"/>
      <c r="G125" s="699"/>
      <c r="H125" s="699"/>
      <c r="I125" s="699"/>
      <c r="J125" s="699"/>
      <c r="K125" s="699"/>
      <c r="L125" s="699"/>
      <c r="M125" s="803">
        <f t="shared" si="20"/>
        <v>100000</v>
      </c>
      <c r="N125" s="803"/>
      <c r="O125" s="803"/>
      <c r="P125" s="803"/>
      <c r="Q125" s="803"/>
      <c r="R125" s="803"/>
      <c r="S125" s="803"/>
      <c r="T125" s="803"/>
      <c r="U125" s="803"/>
      <c r="V125" s="803">
        <f t="shared" si="21"/>
        <v>0</v>
      </c>
      <c r="W125" s="809">
        <f t="shared" si="22"/>
        <v>100000</v>
      </c>
      <c r="X125" s="832"/>
      <c r="Y125" s="832"/>
    </row>
    <row r="126" s="755" customFormat="1" spans="1:25">
      <c r="A126" s="1075" t="s">
        <v>343</v>
      </c>
      <c r="B126" s="153" t="s">
        <v>344</v>
      </c>
      <c r="C126" s="699"/>
      <c r="D126" s="699">
        <v>200000</v>
      </c>
      <c r="E126" s="699"/>
      <c r="F126" s="699"/>
      <c r="G126" s="699"/>
      <c r="H126" s="699"/>
      <c r="I126" s="699"/>
      <c r="J126" s="699"/>
      <c r="K126" s="699"/>
      <c r="L126" s="699"/>
      <c r="M126" s="803">
        <f>SUM(C126:L126)</f>
        <v>200000</v>
      </c>
      <c r="N126" s="803"/>
      <c r="O126" s="803"/>
      <c r="P126" s="803"/>
      <c r="Q126" s="803"/>
      <c r="R126" s="803"/>
      <c r="S126" s="803"/>
      <c r="T126" s="803"/>
      <c r="U126" s="803"/>
      <c r="V126" s="803">
        <f t="shared" si="21"/>
        <v>0</v>
      </c>
      <c r="W126" s="809">
        <f t="shared" si="22"/>
        <v>200000</v>
      </c>
      <c r="X126" s="832"/>
      <c r="Y126" s="832">
        <v>3958000</v>
      </c>
    </row>
    <row r="127" s="755" customFormat="1" spans="1:25">
      <c r="A127" s="830"/>
      <c r="B127" s="153" t="s">
        <v>261</v>
      </c>
      <c r="C127" s="699"/>
      <c r="D127" s="699"/>
      <c r="E127" s="699"/>
      <c r="F127" s="699"/>
      <c r="G127" s="699"/>
      <c r="H127" s="699"/>
      <c r="I127" s="699"/>
      <c r="J127" s="699"/>
      <c r="K127" s="699"/>
      <c r="L127" s="699"/>
      <c r="M127" s="803">
        <f>SUM(C127:L127)</f>
        <v>0</v>
      </c>
      <c r="N127" s="803"/>
      <c r="O127" s="803"/>
      <c r="P127" s="803"/>
      <c r="Q127" s="803"/>
      <c r="R127" s="803"/>
      <c r="S127" s="803"/>
      <c r="T127" s="803"/>
      <c r="U127" s="803">
        <v>1500000</v>
      </c>
      <c r="V127" s="803">
        <f t="shared" si="21"/>
        <v>1500000</v>
      </c>
      <c r="W127" s="809">
        <f t="shared" si="22"/>
        <v>-1500000</v>
      </c>
      <c r="X127" s="832"/>
      <c r="Y127" s="832"/>
    </row>
    <row r="128" s="755" customFormat="1" spans="1:25">
      <c r="A128" s="831"/>
      <c r="B128" s="153" t="s">
        <v>345</v>
      </c>
      <c r="C128" s="699"/>
      <c r="D128" s="699"/>
      <c r="E128" s="699"/>
      <c r="F128" s="699"/>
      <c r="G128" s="699"/>
      <c r="H128" s="699"/>
      <c r="I128" s="699"/>
      <c r="J128" s="699"/>
      <c r="K128" s="699"/>
      <c r="L128" s="699"/>
      <c r="M128" s="803">
        <f t="shared" si="20"/>
        <v>0</v>
      </c>
      <c r="N128" s="803"/>
      <c r="O128" s="803"/>
      <c r="P128" s="803"/>
      <c r="Q128" s="803"/>
      <c r="R128" s="803"/>
      <c r="S128" s="803"/>
      <c r="T128" s="803">
        <v>100000</v>
      </c>
      <c r="U128" s="803"/>
      <c r="V128" s="803">
        <f t="shared" si="21"/>
        <v>100000</v>
      </c>
      <c r="W128" s="809">
        <f t="shared" ref="W128:W151" si="23">SUM(M128-V128)</f>
        <v>-100000</v>
      </c>
      <c r="X128" s="832"/>
      <c r="Y128" s="832"/>
    </row>
    <row r="129" s="755" customFormat="1" spans="1:25">
      <c r="A129" s="1076" t="s">
        <v>346</v>
      </c>
      <c r="B129" s="153"/>
      <c r="C129" s="699"/>
      <c r="D129" s="699"/>
      <c r="E129" s="699"/>
      <c r="F129" s="699"/>
      <c r="G129" s="699"/>
      <c r="H129" s="699"/>
      <c r="I129" s="699"/>
      <c r="J129" s="699"/>
      <c r="K129" s="699"/>
      <c r="L129" s="699"/>
      <c r="M129" s="803">
        <f t="shared" si="20"/>
        <v>0</v>
      </c>
      <c r="N129" s="803"/>
      <c r="O129" s="803"/>
      <c r="P129" s="803"/>
      <c r="Q129" s="803"/>
      <c r="R129" s="803"/>
      <c r="S129" s="803"/>
      <c r="T129" s="803"/>
      <c r="U129" s="803"/>
      <c r="V129" s="803">
        <f t="shared" si="21"/>
        <v>0</v>
      </c>
      <c r="W129" s="809">
        <f t="shared" si="23"/>
        <v>0</v>
      </c>
      <c r="X129" s="832"/>
      <c r="Y129" s="832"/>
    </row>
    <row r="130" s="755" customFormat="1" spans="1:25">
      <c r="A130" s="1075" t="s">
        <v>347</v>
      </c>
      <c r="B130" s="153" t="s">
        <v>277</v>
      </c>
      <c r="C130" s="699"/>
      <c r="D130" s="699"/>
      <c r="E130" s="699"/>
      <c r="F130" s="699"/>
      <c r="G130" s="699"/>
      <c r="H130" s="699">
        <v>15000</v>
      </c>
      <c r="I130" s="699"/>
      <c r="J130" s="699"/>
      <c r="K130" s="699"/>
      <c r="L130" s="699"/>
      <c r="M130" s="803">
        <f t="shared" si="20"/>
        <v>15000</v>
      </c>
      <c r="N130" s="803"/>
      <c r="O130" s="803"/>
      <c r="P130" s="803"/>
      <c r="Q130" s="803"/>
      <c r="R130" s="803"/>
      <c r="S130" s="699"/>
      <c r="T130" s="803"/>
      <c r="U130" s="803"/>
      <c r="V130" s="803">
        <f t="shared" si="21"/>
        <v>0</v>
      </c>
      <c r="W130" s="809">
        <f t="shared" si="23"/>
        <v>15000</v>
      </c>
      <c r="X130" s="832"/>
      <c r="Y130" s="832"/>
    </row>
    <row r="131" s="755" customFormat="1" spans="1:25">
      <c r="A131" s="830"/>
      <c r="B131" s="153" t="s">
        <v>266</v>
      </c>
      <c r="C131" s="699"/>
      <c r="D131" s="699"/>
      <c r="E131" s="699"/>
      <c r="F131" s="699"/>
      <c r="G131" s="699"/>
      <c r="H131" s="699"/>
      <c r="I131" s="699"/>
      <c r="J131" s="699"/>
      <c r="K131" s="699">
        <v>45000</v>
      </c>
      <c r="L131" s="699"/>
      <c r="M131" s="803">
        <f t="shared" si="20"/>
        <v>45000</v>
      </c>
      <c r="N131" s="803"/>
      <c r="O131" s="803"/>
      <c r="P131" s="803"/>
      <c r="Q131" s="803"/>
      <c r="R131" s="803"/>
      <c r="S131" s="803"/>
      <c r="T131" s="803"/>
      <c r="U131" s="803"/>
      <c r="V131" s="803">
        <f t="shared" si="21"/>
        <v>0</v>
      </c>
      <c r="W131" s="809">
        <f t="shared" si="23"/>
        <v>45000</v>
      </c>
      <c r="X131" s="832"/>
      <c r="Y131" s="832"/>
    </row>
    <row r="132" s="755" customFormat="1" spans="1:25">
      <c r="A132" s="830"/>
      <c r="B132" s="153" t="s">
        <v>348</v>
      </c>
      <c r="C132" s="699"/>
      <c r="D132" s="699">
        <v>500000</v>
      </c>
      <c r="E132" s="699"/>
      <c r="F132" s="699"/>
      <c r="G132" s="699"/>
      <c r="H132" s="699"/>
      <c r="I132" s="699"/>
      <c r="J132" s="699"/>
      <c r="K132" s="699"/>
      <c r="L132" s="699"/>
      <c r="M132" s="803">
        <f t="shared" si="20"/>
        <v>500000</v>
      </c>
      <c r="N132" s="803"/>
      <c r="O132" s="803"/>
      <c r="P132" s="803"/>
      <c r="Q132" s="803"/>
      <c r="R132" s="803"/>
      <c r="S132" s="803"/>
      <c r="T132" s="803"/>
      <c r="U132" s="803"/>
      <c r="V132" s="803">
        <f t="shared" si="21"/>
        <v>0</v>
      </c>
      <c r="W132" s="809">
        <f t="shared" si="23"/>
        <v>500000</v>
      </c>
      <c r="X132" s="832"/>
      <c r="Y132" s="832"/>
    </row>
    <row r="133" s="755" customFormat="1" spans="1:25">
      <c r="A133" s="831"/>
      <c r="B133" s="153" t="s">
        <v>349</v>
      </c>
      <c r="C133" s="699">
        <v>500000</v>
      </c>
      <c r="D133" s="699"/>
      <c r="E133" s="699"/>
      <c r="F133" s="699"/>
      <c r="G133" s="699"/>
      <c r="H133" s="699"/>
      <c r="I133" s="699"/>
      <c r="J133" s="699"/>
      <c r="K133" s="699"/>
      <c r="L133" s="699"/>
      <c r="M133" s="803">
        <f t="shared" si="20"/>
        <v>500000</v>
      </c>
      <c r="N133" s="803"/>
      <c r="O133" s="803"/>
      <c r="P133" s="803"/>
      <c r="Q133" s="803"/>
      <c r="R133" s="803"/>
      <c r="S133" s="803"/>
      <c r="T133" s="803"/>
      <c r="U133" s="803"/>
      <c r="V133" s="803">
        <f t="shared" si="21"/>
        <v>0</v>
      </c>
      <c r="W133" s="809">
        <f t="shared" si="23"/>
        <v>500000</v>
      </c>
      <c r="X133" s="832"/>
      <c r="Y133" s="832"/>
    </row>
    <row r="134" s="755" customFormat="1" spans="1:25">
      <c r="A134" s="1076" t="s">
        <v>350</v>
      </c>
      <c r="B134" s="153"/>
      <c r="C134" s="699"/>
      <c r="D134" s="699"/>
      <c r="E134" s="699"/>
      <c r="F134" s="699"/>
      <c r="G134" s="699"/>
      <c r="H134" s="699"/>
      <c r="I134" s="699"/>
      <c r="J134" s="699"/>
      <c r="K134" s="699"/>
      <c r="L134" s="699"/>
      <c r="M134" s="803">
        <f t="shared" si="20"/>
        <v>0</v>
      </c>
      <c r="N134" s="803"/>
      <c r="O134" s="803"/>
      <c r="P134" s="803"/>
      <c r="Q134" s="803"/>
      <c r="R134" s="803"/>
      <c r="S134" s="803"/>
      <c r="T134" s="803"/>
      <c r="U134" s="699"/>
      <c r="V134" s="803">
        <f t="shared" si="21"/>
        <v>0</v>
      </c>
      <c r="W134" s="809">
        <f t="shared" si="23"/>
        <v>0</v>
      </c>
      <c r="X134" s="832"/>
      <c r="Y134" s="832"/>
    </row>
    <row r="135" s="755" customFormat="1" spans="1:25">
      <c r="A135" s="1076" t="s">
        <v>351</v>
      </c>
      <c r="B135" s="153"/>
      <c r="C135" s="699"/>
      <c r="D135" s="699"/>
      <c r="E135" s="699"/>
      <c r="F135" s="699"/>
      <c r="G135" s="699"/>
      <c r="H135" s="699"/>
      <c r="I135" s="699"/>
      <c r="J135" s="699"/>
      <c r="K135" s="699"/>
      <c r="L135" s="699"/>
      <c r="M135" s="803">
        <f t="shared" si="20"/>
        <v>0</v>
      </c>
      <c r="N135" s="803"/>
      <c r="O135" s="803"/>
      <c r="P135" s="803"/>
      <c r="Q135" s="803"/>
      <c r="R135" s="803"/>
      <c r="S135" s="803"/>
      <c r="T135" s="803"/>
      <c r="U135" s="699"/>
      <c r="V135" s="803">
        <f t="shared" si="21"/>
        <v>0</v>
      </c>
      <c r="W135" s="809">
        <f t="shared" si="23"/>
        <v>0</v>
      </c>
      <c r="X135" s="832"/>
      <c r="Y135" s="832"/>
    </row>
    <row r="136" s="755" customFormat="1" spans="1:25">
      <c r="A136" s="1076" t="s">
        <v>352</v>
      </c>
      <c r="B136" s="153"/>
      <c r="C136" s="699"/>
      <c r="D136" s="699"/>
      <c r="E136" s="699"/>
      <c r="F136" s="699"/>
      <c r="G136" s="699"/>
      <c r="H136" s="699"/>
      <c r="I136" s="699"/>
      <c r="J136" s="699"/>
      <c r="K136" s="699"/>
      <c r="L136" s="699"/>
      <c r="M136" s="803">
        <f t="shared" si="20"/>
        <v>0</v>
      </c>
      <c r="N136" s="803"/>
      <c r="O136" s="803"/>
      <c r="P136" s="803"/>
      <c r="Q136" s="803"/>
      <c r="R136" s="803"/>
      <c r="S136" s="803"/>
      <c r="T136" s="803"/>
      <c r="U136" s="699"/>
      <c r="V136" s="803">
        <f t="shared" si="21"/>
        <v>0</v>
      </c>
      <c r="W136" s="809">
        <f t="shared" si="23"/>
        <v>0</v>
      </c>
      <c r="X136" s="832"/>
      <c r="Y136" s="832"/>
    </row>
    <row r="137" s="755" customFormat="1" spans="1:25">
      <c r="A137" s="1075" t="s">
        <v>353</v>
      </c>
      <c r="B137" s="153" t="s">
        <v>354</v>
      </c>
      <c r="C137" s="699">
        <v>200000</v>
      </c>
      <c r="D137" s="699"/>
      <c r="E137" s="699"/>
      <c r="F137" s="699"/>
      <c r="G137" s="699"/>
      <c r="H137" s="699"/>
      <c r="I137" s="699"/>
      <c r="J137" s="699"/>
      <c r="K137" s="699"/>
      <c r="L137" s="699"/>
      <c r="M137" s="803">
        <f t="shared" si="20"/>
        <v>200000</v>
      </c>
      <c r="N137" s="803"/>
      <c r="O137" s="803"/>
      <c r="P137" s="803"/>
      <c r="Q137" s="803"/>
      <c r="R137" s="803"/>
      <c r="S137" s="803"/>
      <c r="T137" s="803"/>
      <c r="U137" s="803"/>
      <c r="V137" s="803">
        <f t="shared" si="21"/>
        <v>0</v>
      </c>
      <c r="W137" s="809">
        <f t="shared" si="23"/>
        <v>200000</v>
      </c>
      <c r="X137" s="832"/>
      <c r="Y137" s="832"/>
    </row>
    <row r="138" s="755" customFormat="1" spans="1:25">
      <c r="A138" s="830"/>
      <c r="B138" s="153" t="s">
        <v>355</v>
      </c>
      <c r="C138" s="699">
        <v>50000</v>
      </c>
      <c r="D138" s="699"/>
      <c r="E138" s="699"/>
      <c r="F138" s="699"/>
      <c r="G138" s="699"/>
      <c r="H138" s="699"/>
      <c r="I138" s="699"/>
      <c r="J138" s="699"/>
      <c r="K138" s="699"/>
      <c r="L138" s="699"/>
      <c r="M138" s="803">
        <f t="shared" si="20"/>
        <v>50000</v>
      </c>
      <c r="N138" s="803"/>
      <c r="O138" s="803"/>
      <c r="P138" s="803"/>
      <c r="Q138" s="803"/>
      <c r="R138" s="803"/>
      <c r="S138" s="803"/>
      <c r="T138" s="803"/>
      <c r="U138" s="803"/>
      <c r="V138" s="803">
        <f t="shared" si="21"/>
        <v>0</v>
      </c>
      <c r="W138" s="809">
        <f t="shared" si="23"/>
        <v>50000</v>
      </c>
      <c r="X138" s="832"/>
      <c r="Y138" s="832"/>
    </row>
    <row r="139" s="755" customFormat="1" spans="1:25">
      <c r="A139" s="830"/>
      <c r="B139" s="819" t="s">
        <v>356</v>
      </c>
      <c r="C139" s="771"/>
      <c r="D139" s="771"/>
      <c r="E139" s="771"/>
      <c r="F139" s="771"/>
      <c r="G139" s="771"/>
      <c r="H139" s="771"/>
      <c r="I139" s="771"/>
      <c r="J139" s="771"/>
      <c r="K139" s="771"/>
      <c r="L139" s="771"/>
      <c r="M139" s="804">
        <f t="shared" si="20"/>
        <v>0</v>
      </c>
      <c r="N139" s="804"/>
      <c r="O139" s="804"/>
      <c r="P139" s="804"/>
      <c r="Q139" s="804"/>
      <c r="R139" s="804"/>
      <c r="S139" s="804">
        <v>70000</v>
      </c>
      <c r="T139" s="804"/>
      <c r="U139" s="804"/>
      <c r="V139" s="804">
        <f t="shared" si="21"/>
        <v>70000</v>
      </c>
      <c r="W139" s="811">
        <f t="shared" si="23"/>
        <v>-70000</v>
      </c>
      <c r="X139" s="832"/>
      <c r="Y139" s="832"/>
    </row>
    <row r="140" s="755" customFormat="1" spans="1:25">
      <c r="A140" s="830"/>
      <c r="B140" s="153" t="s">
        <v>357</v>
      </c>
      <c r="C140" s="699">
        <v>115000</v>
      </c>
      <c r="D140" s="699"/>
      <c r="E140" s="699"/>
      <c r="F140" s="699"/>
      <c r="G140" s="699"/>
      <c r="H140" s="699"/>
      <c r="I140" s="699"/>
      <c r="J140" s="699"/>
      <c r="K140" s="699"/>
      <c r="L140" s="699"/>
      <c r="M140" s="803">
        <f t="shared" si="20"/>
        <v>115000</v>
      </c>
      <c r="N140" s="803"/>
      <c r="O140" s="803"/>
      <c r="P140" s="803"/>
      <c r="Q140" s="803"/>
      <c r="R140" s="803"/>
      <c r="S140" s="803"/>
      <c r="T140" s="803"/>
      <c r="U140" s="803"/>
      <c r="V140" s="803">
        <f t="shared" si="21"/>
        <v>0</v>
      </c>
      <c r="W140" s="809">
        <f t="shared" si="23"/>
        <v>115000</v>
      </c>
      <c r="X140" s="832"/>
      <c r="Y140" s="832"/>
    </row>
    <row r="141" s="755" customFormat="1" spans="1:25">
      <c r="A141" s="830"/>
      <c r="B141" s="153" t="s">
        <v>358</v>
      </c>
      <c r="C141" s="699">
        <v>150000</v>
      </c>
      <c r="D141" s="699"/>
      <c r="E141" s="699"/>
      <c r="F141" s="699"/>
      <c r="G141" s="699"/>
      <c r="H141" s="699"/>
      <c r="I141" s="699"/>
      <c r="J141" s="699"/>
      <c r="K141" s="699"/>
      <c r="L141" s="699"/>
      <c r="M141" s="803">
        <f t="shared" si="20"/>
        <v>150000</v>
      </c>
      <c r="N141" s="803"/>
      <c r="O141" s="803"/>
      <c r="P141" s="803"/>
      <c r="Q141" s="803"/>
      <c r="R141" s="803"/>
      <c r="S141" s="803"/>
      <c r="T141" s="803"/>
      <c r="U141" s="803"/>
      <c r="V141" s="803">
        <f t="shared" si="21"/>
        <v>0</v>
      </c>
      <c r="W141" s="809">
        <f t="shared" si="23"/>
        <v>150000</v>
      </c>
      <c r="X141" s="832"/>
      <c r="Y141" s="832"/>
    </row>
    <row r="142" s="755" customFormat="1" spans="1:25">
      <c r="A142" s="831"/>
      <c r="B142" s="153" t="s">
        <v>359</v>
      </c>
      <c r="C142" s="699"/>
      <c r="D142" s="699"/>
      <c r="E142" s="699"/>
      <c r="F142" s="699"/>
      <c r="G142" s="699"/>
      <c r="H142" s="699"/>
      <c r="I142" s="699"/>
      <c r="J142" s="699"/>
      <c r="K142" s="699"/>
      <c r="L142" s="699"/>
      <c r="M142" s="803">
        <f t="shared" si="20"/>
        <v>0</v>
      </c>
      <c r="N142" s="803">
        <v>1500000</v>
      </c>
      <c r="O142" s="803"/>
      <c r="P142" s="803"/>
      <c r="Q142" s="803"/>
      <c r="R142" s="803"/>
      <c r="S142" s="803"/>
      <c r="T142" s="803"/>
      <c r="U142" s="803"/>
      <c r="V142" s="803">
        <f t="shared" si="21"/>
        <v>1500000</v>
      </c>
      <c r="W142" s="809">
        <f t="shared" si="23"/>
        <v>-1500000</v>
      </c>
      <c r="X142" s="832"/>
      <c r="Y142" s="832"/>
    </row>
    <row r="143" s="755" customFormat="1" spans="1:25">
      <c r="A143" s="1077" t="s">
        <v>360</v>
      </c>
      <c r="B143" s="153" t="s">
        <v>361</v>
      </c>
      <c r="C143" s="699">
        <v>55000</v>
      </c>
      <c r="D143" s="699"/>
      <c r="E143" s="699"/>
      <c r="F143" s="699"/>
      <c r="G143" s="699"/>
      <c r="H143" s="699"/>
      <c r="I143" s="699"/>
      <c r="J143" s="699"/>
      <c r="K143" s="699"/>
      <c r="L143" s="699"/>
      <c r="M143" s="803">
        <f t="shared" si="20"/>
        <v>55000</v>
      </c>
      <c r="N143" s="803"/>
      <c r="O143" s="803"/>
      <c r="P143" s="803"/>
      <c r="Q143" s="803"/>
      <c r="R143" s="803"/>
      <c r="S143" s="803"/>
      <c r="T143" s="803"/>
      <c r="U143" s="803"/>
      <c r="V143" s="803">
        <f t="shared" si="21"/>
        <v>0</v>
      </c>
      <c r="W143" s="809">
        <f t="shared" si="23"/>
        <v>55000</v>
      </c>
      <c r="X143" s="832"/>
      <c r="Y143" s="832"/>
    </row>
    <row r="144" s="755" customFormat="1" spans="1:25">
      <c r="A144" s="834"/>
      <c r="B144" s="819" t="s">
        <v>362</v>
      </c>
      <c r="C144" s="771"/>
      <c r="D144" s="835"/>
      <c r="E144" s="771"/>
      <c r="F144" s="771"/>
      <c r="G144" s="771"/>
      <c r="H144" s="771"/>
      <c r="I144" s="771"/>
      <c r="J144" s="771"/>
      <c r="K144" s="771"/>
      <c r="L144" s="771"/>
      <c r="M144" s="804">
        <f t="shared" si="20"/>
        <v>0</v>
      </c>
      <c r="N144" s="804"/>
      <c r="O144" s="804"/>
      <c r="P144" s="804"/>
      <c r="Q144" s="804"/>
      <c r="R144" s="804"/>
      <c r="S144" s="804">
        <v>2800000</v>
      </c>
      <c r="T144" s="804"/>
      <c r="U144" s="804"/>
      <c r="V144" s="804">
        <f t="shared" si="21"/>
        <v>2800000</v>
      </c>
      <c r="W144" s="811">
        <f t="shared" si="23"/>
        <v>-2800000</v>
      </c>
      <c r="X144" s="832"/>
      <c r="Y144" s="832"/>
    </row>
    <row r="145" s="755" customFormat="1" spans="1:25">
      <c r="A145" s="834"/>
      <c r="B145" s="153" t="s">
        <v>363</v>
      </c>
      <c r="C145" s="699"/>
      <c r="D145" s="699"/>
      <c r="E145" s="699"/>
      <c r="F145" s="699"/>
      <c r="G145" s="699"/>
      <c r="H145" s="699"/>
      <c r="I145" s="699"/>
      <c r="J145" s="699"/>
      <c r="K145" s="699"/>
      <c r="L145" s="699"/>
      <c r="M145" s="803">
        <f t="shared" si="20"/>
        <v>0</v>
      </c>
      <c r="N145" s="803"/>
      <c r="O145" s="803"/>
      <c r="P145" s="803"/>
      <c r="Q145" s="803"/>
      <c r="R145" s="803"/>
      <c r="S145" s="803"/>
      <c r="T145" s="803">
        <v>150000</v>
      </c>
      <c r="U145" s="803"/>
      <c r="V145" s="803">
        <f t="shared" si="21"/>
        <v>150000</v>
      </c>
      <c r="W145" s="809">
        <f t="shared" si="23"/>
        <v>-150000</v>
      </c>
      <c r="X145" s="832"/>
      <c r="Y145" s="832"/>
    </row>
    <row r="146" s="755" customFormat="1" spans="1:25">
      <c r="A146" s="834"/>
      <c r="B146" s="153" t="s">
        <v>364</v>
      </c>
      <c r="C146" s="699"/>
      <c r="D146" s="699"/>
      <c r="E146" s="699"/>
      <c r="F146" s="699"/>
      <c r="G146" s="699"/>
      <c r="H146" s="699"/>
      <c r="I146" s="699"/>
      <c r="J146" s="699"/>
      <c r="K146" s="699"/>
      <c r="L146" s="699"/>
      <c r="M146" s="803">
        <f t="shared" si="20"/>
        <v>0</v>
      </c>
      <c r="N146" s="803">
        <v>1000000</v>
      </c>
      <c r="O146" s="803"/>
      <c r="P146" s="803"/>
      <c r="Q146" s="803"/>
      <c r="R146" s="803"/>
      <c r="S146" s="803"/>
      <c r="T146" s="803"/>
      <c r="U146" s="803"/>
      <c r="V146" s="803">
        <f t="shared" si="21"/>
        <v>1000000</v>
      </c>
      <c r="W146" s="809">
        <f t="shared" si="23"/>
        <v>-1000000</v>
      </c>
      <c r="X146" s="832">
        <v>1</v>
      </c>
      <c r="Y146" s="832">
        <v>8953190</v>
      </c>
    </row>
    <row r="147" s="755" customFormat="1" spans="1:25">
      <c r="A147" s="834"/>
      <c r="B147" s="153" t="s">
        <v>365</v>
      </c>
      <c r="C147" s="699"/>
      <c r="D147" s="699"/>
      <c r="E147" s="699"/>
      <c r="F147" s="699"/>
      <c r="G147" s="699"/>
      <c r="H147" s="699"/>
      <c r="I147" s="699"/>
      <c r="J147" s="699"/>
      <c r="K147" s="699"/>
      <c r="L147" s="699"/>
      <c r="M147" s="803">
        <f t="shared" si="20"/>
        <v>0</v>
      </c>
      <c r="N147" s="803">
        <v>146000</v>
      </c>
      <c r="O147" s="803"/>
      <c r="P147" s="803"/>
      <c r="Q147" s="803"/>
      <c r="R147" s="803"/>
      <c r="S147" s="803"/>
      <c r="T147" s="803"/>
      <c r="U147" s="803"/>
      <c r="V147" s="803">
        <f t="shared" si="21"/>
        <v>146000</v>
      </c>
      <c r="W147" s="809">
        <f t="shared" si="23"/>
        <v>-146000</v>
      </c>
      <c r="X147" s="832"/>
      <c r="Y147" s="832"/>
    </row>
    <row r="148" s="755" customFormat="1" spans="1:25">
      <c r="A148" s="834"/>
      <c r="B148" s="153" t="s">
        <v>366</v>
      </c>
      <c r="C148" s="699"/>
      <c r="D148" s="699"/>
      <c r="E148" s="699"/>
      <c r="F148" s="699"/>
      <c r="G148" s="699"/>
      <c r="H148" s="699"/>
      <c r="I148" s="699"/>
      <c r="J148" s="699"/>
      <c r="K148" s="699"/>
      <c r="L148" s="699"/>
      <c r="M148" s="803">
        <f t="shared" si="20"/>
        <v>0</v>
      </c>
      <c r="N148" s="803"/>
      <c r="O148" s="803"/>
      <c r="P148" s="803"/>
      <c r="Q148" s="803"/>
      <c r="R148" s="803"/>
      <c r="S148" s="803"/>
      <c r="T148" s="803">
        <v>50000</v>
      </c>
      <c r="U148" s="803"/>
      <c r="V148" s="803">
        <f t="shared" si="21"/>
        <v>50000</v>
      </c>
      <c r="W148" s="809">
        <f t="shared" si="23"/>
        <v>-50000</v>
      </c>
      <c r="X148" s="832"/>
      <c r="Y148" s="832"/>
    </row>
    <row r="149" s="755" customFormat="1" spans="1:25">
      <c r="A149" s="834"/>
      <c r="B149" s="153" t="s">
        <v>367</v>
      </c>
      <c r="C149" s="699"/>
      <c r="D149" s="699"/>
      <c r="E149" s="699"/>
      <c r="F149" s="699"/>
      <c r="G149" s="699"/>
      <c r="H149" s="699"/>
      <c r="I149" s="699"/>
      <c r="J149" s="699"/>
      <c r="K149" s="699"/>
      <c r="L149" s="699"/>
      <c r="M149" s="803">
        <f t="shared" si="20"/>
        <v>0</v>
      </c>
      <c r="N149" s="803"/>
      <c r="O149" s="803"/>
      <c r="P149" s="803"/>
      <c r="Q149" s="803"/>
      <c r="R149" s="803"/>
      <c r="S149" s="803"/>
      <c r="T149" s="803">
        <v>150000</v>
      </c>
      <c r="U149" s="803"/>
      <c r="V149" s="803">
        <f t="shared" si="21"/>
        <v>150000</v>
      </c>
      <c r="W149" s="809">
        <f t="shared" si="23"/>
        <v>-150000</v>
      </c>
      <c r="X149" s="832"/>
      <c r="Y149" s="832"/>
    </row>
    <row r="150" s="755" customFormat="1" spans="1:25">
      <c r="A150" s="834"/>
      <c r="B150" s="153" t="s">
        <v>368</v>
      </c>
      <c r="C150" s="699">
        <v>250000</v>
      </c>
      <c r="D150" s="699"/>
      <c r="E150" s="699"/>
      <c r="F150" s="699"/>
      <c r="G150" s="699"/>
      <c r="H150" s="699"/>
      <c r="I150" s="699"/>
      <c r="J150" s="699"/>
      <c r="K150" s="699"/>
      <c r="L150" s="699"/>
      <c r="M150" s="803">
        <f t="shared" si="20"/>
        <v>250000</v>
      </c>
      <c r="N150" s="803"/>
      <c r="O150" s="803"/>
      <c r="P150" s="803"/>
      <c r="Q150" s="803"/>
      <c r="R150" s="803"/>
      <c r="S150" s="803"/>
      <c r="T150" s="803"/>
      <c r="U150" s="803"/>
      <c r="V150" s="803">
        <f t="shared" si="21"/>
        <v>0</v>
      </c>
      <c r="W150" s="809">
        <f t="shared" si="23"/>
        <v>250000</v>
      </c>
      <c r="X150" s="832"/>
      <c r="Y150" s="832"/>
    </row>
    <row r="151" s="755" customFormat="1" spans="1:25">
      <c r="A151" s="834"/>
      <c r="B151" s="153" t="s">
        <v>369</v>
      </c>
      <c r="C151" s="699"/>
      <c r="D151" s="699"/>
      <c r="E151" s="699"/>
      <c r="F151" s="699"/>
      <c r="G151" s="699"/>
      <c r="H151" s="699"/>
      <c r="I151" s="699"/>
      <c r="J151" s="699"/>
      <c r="K151" s="699"/>
      <c r="L151" s="699"/>
      <c r="M151" s="699">
        <f t="shared" si="20"/>
        <v>0</v>
      </c>
      <c r="N151" s="699"/>
      <c r="O151" s="699"/>
      <c r="P151" s="699"/>
      <c r="Q151" s="699"/>
      <c r="R151" s="699"/>
      <c r="S151" s="699"/>
      <c r="T151" s="699">
        <v>50000</v>
      </c>
      <c r="U151" s="699"/>
      <c r="V151" s="699">
        <f t="shared" si="21"/>
        <v>50000</v>
      </c>
      <c r="W151" s="839">
        <f t="shared" si="23"/>
        <v>-50000</v>
      </c>
      <c r="X151" s="832"/>
      <c r="Y151" s="832"/>
    </row>
    <row r="152" s="755" customFormat="1" spans="1:25">
      <c r="A152" s="1073" t="s">
        <v>370</v>
      </c>
      <c r="B152" s="153" t="s">
        <v>371</v>
      </c>
      <c r="C152" s="699">
        <v>50000</v>
      </c>
      <c r="D152" s="699"/>
      <c r="E152" s="699"/>
      <c r="F152" s="699"/>
      <c r="G152" s="699"/>
      <c r="H152" s="699"/>
      <c r="I152" s="699"/>
      <c r="J152" s="699"/>
      <c r="K152" s="699"/>
      <c r="L152" s="699"/>
      <c r="M152" s="699">
        <f t="shared" ref="M152:M169" si="24">SUM(C152:K152)</f>
        <v>50000</v>
      </c>
      <c r="N152" s="699"/>
      <c r="O152" s="699"/>
      <c r="P152" s="699"/>
      <c r="Q152" s="699"/>
      <c r="R152" s="699"/>
      <c r="S152" s="699"/>
      <c r="T152" s="699"/>
      <c r="U152" s="699"/>
      <c r="V152" s="699">
        <f t="shared" si="21"/>
        <v>0</v>
      </c>
      <c r="W152" s="839">
        <f t="shared" ref="W152:W169" si="25">SUM(M152-V152)</f>
        <v>50000</v>
      </c>
      <c r="X152" s="832"/>
      <c r="Y152" s="832"/>
    </row>
    <row r="153" s="755" customFormat="1" spans="1:25">
      <c r="A153" s="826"/>
      <c r="B153" s="153" t="s">
        <v>372</v>
      </c>
      <c r="C153" s="699">
        <v>50000</v>
      </c>
      <c r="D153" s="699"/>
      <c r="E153" s="699"/>
      <c r="F153" s="699"/>
      <c r="G153" s="699"/>
      <c r="H153" s="699"/>
      <c r="I153" s="699"/>
      <c r="J153" s="699"/>
      <c r="K153" s="699"/>
      <c r="L153" s="699"/>
      <c r="M153" s="699">
        <f t="shared" si="24"/>
        <v>50000</v>
      </c>
      <c r="N153" s="699"/>
      <c r="O153" s="699"/>
      <c r="P153" s="699"/>
      <c r="Q153" s="699"/>
      <c r="R153" s="699"/>
      <c r="S153" s="699"/>
      <c r="T153" s="699"/>
      <c r="U153" s="699"/>
      <c r="V153" s="699">
        <f t="shared" si="21"/>
        <v>0</v>
      </c>
      <c r="W153" s="839">
        <f t="shared" si="25"/>
        <v>50000</v>
      </c>
      <c r="X153" s="832"/>
      <c r="Y153" s="832"/>
    </row>
    <row r="154" s="755" customFormat="1" spans="1:25">
      <c r="A154" s="826"/>
      <c r="B154" s="819" t="s">
        <v>373</v>
      </c>
      <c r="C154" s="771"/>
      <c r="D154" s="771"/>
      <c r="E154" s="771"/>
      <c r="F154" s="771"/>
      <c r="G154" s="771"/>
      <c r="H154" s="771"/>
      <c r="I154" s="771"/>
      <c r="J154" s="771"/>
      <c r="K154" s="771"/>
      <c r="L154" s="771"/>
      <c r="M154" s="771">
        <f t="shared" si="24"/>
        <v>0</v>
      </c>
      <c r="N154" s="771"/>
      <c r="O154" s="771"/>
      <c r="P154" s="771"/>
      <c r="Q154" s="771"/>
      <c r="R154" s="771"/>
      <c r="S154" s="771">
        <v>1000000</v>
      </c>
      <c r="T154" s="771"/>
      <c r="U154" s="771"/>
      <c r="V154" s="771">
        <f t="shared" si="21"/>
        <v>1000000</v>
      </c>
      <c r="W154" s="840">
        <f t="shared" si="25"/>
        <v>-1000000</v>
      </c>
      <c r="X154" s="832"/>
      <c r="Y154" s="832"/>
    </row>
    <row r="155" s="755" customFormat="1" spans="1:25">
      <c r="A155" s="826"/>
      <c r="B155" s="153" t="s">
        <v>374</v>
      </c>
      <c r="C155" s="699">
        <v>150000</v>
      </c>
      <c r="D155" s="699"/>
      <c r="E155" s="699"/>
      <c r="F155" s="699"/>
      <c r="G155" s="699"/>
      <c r="H155" s="699"/>
      <c r="I155" s="699"/>
      <c r="J155" s="699"/>
      <c r="K155" s="699"/>
      <c r="L155" s="699"/>
      <c r="M155" s="699">
        <f t="shared" si="24"/>
        <v>150000</v>
      </c>
      <c r="N155" s="699"/>
      <c r="O155" s="699"/>
      <c r="P155" s="699"/>
      <c r="Q155" s="699"/>
      <c r="R155" s="699"/>
      <c r="S155" s="699"/>
      <c r="T155" s="699"/>
      <c r="U155" s="699"/>
      <c r="V155" s="699">
        <f t="shared" ref="V155:V169" si="26">SUM(N155:U155)</f>
        <v>0</v>
      </c>
      <c r="W155" s="839">
        <f t="shared" si="25"/>
        <v>150000</v>
      </c>
      <c r="X155" s="832"/>
      <c r="Y155" s="832"/>
    </row>
    <row r="156" s="755" customFormat="1" spans="1:25">
      <c r="A156" s="1073" t="s">
        <v>375</v>
      </c>
      <c r="B156" s="153" t="s">
        <v>376</v>
      </c>
      <c r="C156" s="699">
        <v>50000</v>
      </c>
      <c r="D156" s="699"/>
      <c r="E156" s="699"/>
      <c r="F156" s="699"/>
      <c r="G156" s="699"/>
      <c r="H156" s="699"/>
      <c r="I156" s="699"/>
      <c r="J156" s="699"/>
      <c r="K156" s="699"/>
      <c r="L156" s="699"/>
      <c r="M156" s="699">
        <f t="shared" si="24"/>
        <v>50000</v>
      </c>
      <c r="N156" s="699"/>
      <c r="O156" s="699"/>
      <c r="P156" s="699"/>
      <c r="Q156" s="699"/>
      <c r="R156" s="699"/>
      <c r="S156" s="699"/>
      <c r="T156" s="699"/>
      <c r="U156" s="699"/>
      <c r="V156" s="699">
        <f t="shared" si="26"/>
        <v>0</v>
      </c>
      <c r="W156" s="839">
        <f t="shared" si="25"/>
        <v>50000</v>
      </c>
      <c r="X156" s="832"/>
      <c r="Y156" s="832"/>
    </row>
    <row r="157" s="755" customFormat="1" spans="1:25">
      <c r="A157" s="826"/>
      <c r="B157" s="153" t="s">
        <v>377</v>
      </c>
      <c r="C157" s="699">
        <v>100000</v>
      </c>
      <c r="D157" s="699"/>
      <c r="E157" s="699"/>
      <c r="F157" s="699"/>
      <c r="G157" s="699"/>
      <c r="H157" s="699"/>
      <c r="I157" s="699"/>
      <c r="J157" s="699"/>
      <c r="K157" s="699"/>
      <c r="L157" s="699"/>
      <c r="M157" s="699">
        <f t="shared" si="24"/>
        <v>100000</v>
      </c>
      <c r="N157" s="699"/>
      <c r="O157" s="699"/>
      <c r="P157" s="699"/>
      <c r="Q157" s="699"/>
      <c r="R157" s="699"/>
      <c r="S157" s="699"/>
      <c r="T157" s="699"/>
      <c r="U157" s="699"/>
      <c r="V157" s="699">
        <f t="shared" si="26"/>
        <v>0</v>
      </c>
      <c r="W157" s="839">
        <f t="shared" si="25"/>
        <v>100000</v>
      </c>
      <c r="X157" s="832"/>
      <c r="Y157" s="832"/>
    </row>
    <row r="158" s="755" customFormat="1" spans="1:25">
      <c r="A158" s="826"/>
      <c r="B158" s="153" t="s">
        <v>378</v>
      </c>
      <c r="C158" s="699"/>
      <c r="D158" s="699"/>
      <c r="E158" s="699"/>
      <c r="F158" s="699"/>
      <c r="G158" s="699"/>
      <c r="H158" s="699"/>
      <c r="I158" s="699"/>
      <c r="J158" s="699"/>
      <c r="K158" s="699"/>
      <c r="L158" s="699"/>
      <c r="M158" s="699">
        <f t="shared" si="24"/>
        <v>0</v>
      </c>
      <c r="N158" s="699"/>
      <c r="O158" s="699"/>
      <c r="P158" s="699"/>
      <c r="Q158" s="699"/>
      <c r="R158" s="699"/>
      <c r="S158" s="699"/>
      <c r="T158" s="699">
        <v>100000</v>
      </c>
      <c r="U158" s="699"/>
      <c r="V158" s="699">
        <f t="shared" si="26"/>
        <v>100000</v>
      </c>
      <c r="W158" s="839">
        <f t="shared" si="25"/>
        <v>-100000</v>
      </c>
      <c r="X158" s="832"/>
      <c r="Y158" s="832"/>
    </row>
    <row r="159" s="755" customFormat="1" spans="1:25">
      <c r="A159" s="1073" t="s">
        <v>379</v>
      </c>
      <c r="B159" s="153" t="s">
        <v>334</v>
      </c>
      <c r="C159" s="699">
        <v>250000</v>
      </c>
      <c r="D159" s="699"/>
      <c r="E159" s="699"/>
      <c r="F159" s="699"/>
      <c r="G159" s="699"/>
      <c r="H159" s="699"/>
      <c r="I159" s="699"/>
      <c r="J159" s="699"/>
      <c r="K159" s="699"/>
      <c r="L159" s="699"/>
      <c r="M159" s="699">
        <f t="shared" si="24"/>
        <v>250000</v>
      </c>
      <c r="N159" s="699"/>
      <c r="O159" s="699"/>
      <c r="P159" s="699"/>
      <c r="Q159" s="699"/>
      <c r="R159" s="699"/>
      <c r="S159" s="699"/>
      <c r="T159" s="699"/>
      <c r="U159" s="699"/>
      <c r="V159" s="699">
        <f t="shared" si="26"/>
        <v>0</v>
      </c>
      <c r="W159" s="839">
        <f t="shared" si="25"/>
        <v>250000</v>
      </c>
      <c r="X159" s="832"/>
      <c r="Y159" s="832"/>
    </row>
    <row r="160" s="755" customFormat="1" spans="1:25">
      <c r="A160" s="826"/>
      <c r="B160" s="153" t="s">
        <v>380</v>
      </c>
      <c r="C160" s="699">
        <v>200000</v>
      </c>
      <c r="D160" s="699"/>
      <c r="E160" s="699"/>
      <c r="F160" s="699"/>
      <c r="G160" s="699"/>
      <c r="H160" s="699"/>
      <c r="I160" s="699"/>
      <c r="J160" s="699"/>
      <c r="K160" s="699"/>
      <c r="L160" s="699"/>
      <c r="M160" s="699">
        <f t="shared" si="24"/>
        <v>200000</v>
      </c>
      <c r="N160" s="699"/>
      <c r="O160" s="699"/>
      <c r="P160" s="699"/>
      <c r="Q160" s="699"/>
      <c r="R160" s="699"/>
      <c r="S160" s="699"/>
      <c r="T160" s="699"/>
      <c r="U160" s="699"/>
      <c r="V160" s="699">
        <f t="shared" si="26"/>
        <v>0</v>
      </c>
      <c r="W160" s="839">
        <f t="shared" si="25"/>
        <v>200000</v>
      </c>
      <c r="X160" s="832"/>
      <c r="Y160" s="832"/>
    </row>
    <row r="161" s="755" customFormat="1" spans="1:25">
      <c r="A161" s="826"/>
      <c r="B161" s="153" t="s">
        <v>381</v>
      </c>
      <c r="C161" s="699">
        <v>100000</v>
      </c>
      <c r="D161" s="699"/>
      <c r="E161" s="699"/>
      <c r="F161" s="699"/>
      <c r="G161" s="699"/>
      <c r="H161" s="699"/>
      <c r="I161" s="699"/>
      <c r="J161" s="699"/>
      <c r="K161" s="699"/>
      <c r="L161" s="699"/>
      <c r="M161" s="699">
        <f t="shared" si="24"/>
        <v>100000</v>
      </c>
      <c r="N161" s="699"/>
      <c r="O161" s="699"/>
      <c r="P161" s="699"/>
      <c r="Q161" s="699"/>
      <c r="R161" s="699"/>
      <c r="S161" s="699"/>
      <c r="T161" s="699"/>
      <c r="U161" s="699"/>
      <c r="V161" s="699">
        <f t="shared" si="26"/>
        <v>0</v>
      </c>
      <c r="W161" s="839">
        <f t="shared" si="25"/>
        <v>100000</v>
      </c>
      <c r="X161" s="832"/>
      <c r="Y161" s="832"/>
    </row>
    <row r="162" s="755" customFormat="1" spans="1:25">
      <c r="A162" s="826"/>
      <c r="B162" s="153" t="s">
        <v>382</v>
      </c>
      <c r="C162" s="699"/>
      <c r="D162" s="699"/>
      <c r="E162" s="699"/>
      <c r="F162" s="699"/>
      <c r="G162" s="699"/>
      <c r="H162" s="699"/>
      <c r="I162" s="699"/>
      <c r="J162" s="699"/>
      <c r="K162" s="699"/>
      <c r="L162" s="699"/>
      <c r="M162" s="699">
        <f t="shared" si="24"/>
        <v>0</v>
      </c>
      <c r="N162" s="699"/>
      <c r="O162" s="699">
        <v>3500000</v>
      </c>
      <c r="P162" s="699"/>
      <c r="Q162" s="699"/>
      <c r="R162" s="699"/>
      <c r="S162" s="699"/>
      <c r="T162" s="699"/>
      <c r="U162" s="699"/>
      <c r="V162" s="699">
        <f t="shared" si="26"/>
        <v>3500000</v>
      </c>
      <c r="W162" s="839">
        <f t="shared" si="25"/>
        <v>-3500000</v>
      </c>
      <c r="X162" s="832"/>
      <c r="Y162" s="832"/>
    </row>
    <row r="163" s="755" customFormat="1" spans="1:25">
      <c r="A163" s="826"/>
      <c r="B163" s="153" t="s">
        <v>383</v>
      </c>
      <c r="C163" s="699">
        <v>60000</v>
      </c>
      <c r="D163" s="699"/>
      <c r="E163" s="699"/>
      <c r="F163" s="699"/>
      <c r="G163" s="699"/>
      <c r="H163" s="699"/>
      <c r="I163" s="699"/>
      <c r="J163" s="699"/>
      <c r="K163" s="699"/>
      <c r="L163" s="699"/>
      <c r="M163" s="699">
        <f t="shared" si="24"/>
        <v>60000</v>
      </c>
      <c r="N163" s="699"/>
      <c r="O163" s="699"/>
      <c r="P163" s="699"/>
      <c r="Q163" s="699"/>
      <c r="R163" s="699"/>
      <c r="S163" s="699"/>
      <c r="T163" s="699"/>
      <c r="U163" s="699"/>
      <c r="V163" s="699">
        <f t="shared" si="26"/>
        <v>0</v>
      </c>
      <c r="W163" s="839">
        <f t="shared" si="25"/>
        <v>60000</v>
      </c>
      <c r="X163" s="832"/>
      <c r="Y163" s="832"/>
    </row>
    <row r="164" s="755" customFormat="1" spans="1:25">
      <c r="A164" s="826"/>
      <c r="B164" s="153" t="s">
        <v>384</v>
      </c>
      <c r="C164" s="699">
        <v>250000</v>
      </c>
      <c r="D164" s="699"/>
      <c r="E164" s="699"/>
      <c r="F164" s="699"/>
      <c r="G164" s="699"/>
      <c r="H164" s="699"/>
      <c r="I164" s="699"/>
      <c r="J164" s="699"/>
      <c r="K164" s="699"/>
      <c r="L164" s="699"/>
      <c r="M164" s="699">
        <f t="shared" si="24"/>
        <v>250000</v>
      </c>
      <c r="N164" s="699"/>
      <c r="O164" s="699"/>
      <c r="P164" s="699"/>
      <c r="Q164" s="699"/>
      <c r="R164" s="699"/>
      <c r="S164" s="699"/>
      <c r="T164" s="699"/>
      <c r="U164" s="699"/>
      <c r="V164" s="699">
        <f t="shared" si="26"/>
        <v>0</v>
      </c>
      <c r="W164" s="839">
        <f t="shared" si="25"/>
        <v>250000</v>
      </c>
      <c r="X164" s="832"/>
      <c r="Y164" s="832"/>
    </row>
    <row r="165" s="755" customFormat="1" spans="1:25">
      <c r="A165" s="826"/>
      <c r="B165" s="153" t="s">
        <v>385</v>
      </c>
      <c r="C165" s="699">
        <v>250000</v>
      </c>
      <c r="D165" s="699"/>
      <c r="E165" s="699"/>
      <c r="F165" s="699"/>
      <c r="G165" s="699"/>
      <c r="H165" s="699"/>
      <c r="I165" s="699"/>
      <c r="J165" s="699"/>
      <c r="K165" s="699"/>
      <c r="L165" s="699"/>
      <c r="M165" s="699">
        <f t="shared" si="24"/>
        <v>250000</v>
      </c>
      <c r="N165" s="699"/>
      <c r="O165" s="699"/>
      <c r="P165" s="699"/>
      <c r="Q165" s="699"/>
      <c r="R165" s="699"/>
      <c r="S165" s="699"/>
      <c r="T165" s="699"/>
      <c r="U165" s="699"/>
      <c r="V165" s="699">
        <f t="shared" si="26"/>
        <v>0</v>
      </c>
      <c r="W165" s="839">
        <f t="shared" si="25"/>
        <v>250000</v>
      </c>
      <c r="X165" s="832"/>
      <c r="Y165" s="832"/>
    </row>
    <row r="166" s="755" customFormat="1" spans="1:25">
      <c r="A166" s="826"/>
      <c r="B166" s="153" t="s">
        <v>386</v>
      </c>
      <c r="C166" s="699">
        <v>300000</v>
      </c>
      <c r="D166" s="699"/>
      <c r="E166" s="699"/>
      <c r="F166" s="699"/>
      <c r="G166" s="699"/>
      <c r="H166" s="699"/>
      <c r="I166" s="699"/>
      <c r="J166" s="699"/>
      <c r="K166" s="699"/>
      <c r="L166" s="699"/>
      <c r="M166" s="699">
        <f t="shared" si="24"/>
        <v>300000</v>
      </c>
      <c r="N166" s="699"/>
      <c r="O166" s="699"/>
      <c r="P166" s="699"/>
      <c r="Q166" s="699"/>
      <c r="R166" s="699"/>
      <c r="S166" s="699"/>
      <c r="T166" s="699"/>
      <c r="U166" s="699"/>
      <c r="V166" s="699">
        <f t="shared" si="26"/>
        <v>0</v>
      </c>
      <c r="W166" s="839">
        <f t="shared" si="25"/>
        <v>300000</v>
      </c>
      <c r="X166" s="832"/>
      <c r="Y166" s="832"/>
    </row>
    <row r="167" s="755" customFormat="1" spans="1:25">
      <c r="A167" s="1078" t="s">
        <v>387</v>
      </c>
      <c r="B167" s="153" t="s">
        <v>345</v>
      </c>
      <c r="C167" s="699"/>
      <c r="D167" s="699"/>
      <c r="E167" s="699"/>
      <c r="F167" s="699"/>
      <c r="G167" s="699"/>
      <c r="H167" s="699"/>
      <c r="I167" s="699"/>
      <c r="J167" s="699"/>
      <c r="K167" s="699"/>
      <c r="L167" s="699"/>
      <c r="M167" s="699">
        <f t="shared" si="24"/>
        <v>0</v>
      </c>
      <c r="N167" s="699"/>
      <c r="O167" s="699"/>
      <c r="P167" s="699"/>
      <c r="Q167" s="699"/>
      <c r="R167" s="699"/>
      <c r="S167" s="699"/>
      <c r="T167" s="699">
        <v>100000</v>
      </c>
      <c r="U167" s="699"/>
      <c r="V167" s="699">
        <f t="shared" si="26"/>
        <v>100000</v>
      </c>
      <c r="W167" s="839">
        <f t="shared" si="25"/>
        <v>-100000</v>
      </c>
      <c r="X167" s="832"/>
      <c r="Y167" s="832"/>
    </row>
    <row r="168" s="755" customFormat="1" spans="1:25">
      <c r="A168" s="836"/>
      <c r="B168" s="153" t="s">
        <v>388</v>
      </c>
      <c r="C168" s="699">
        <v>500000</v>
      </c>
      <c r="D168" s="699"/>
      <c r="E168" s="699"/>
      <c r="F168" s="699"/>
      <c r="G168" s="699"/>
      <c r="H168" s="699"/>
      <c r="I168" s="699"/>
      <c r="J168" s="699"/>
      <c r="K168" s="699"/>
      <c r="L168" s="699"/>
      <c r="M168" s="699">
        <f t="shared" ref="M168:M195" si="27">SUM(C168:K168)</f>
        <v>500000</v>
      </c>
      <c r="N168" s="699"/>
      <c r="O168" s="699"/>
      <c r="P168" s="699"/>
      <c r="Q168" s="699"/>
      <c r="R168" s="699"/>
      <c r="S168" s="699"/>
      <c r="T168" s="699"/>
      <c r="U168" s="699"/>
      <c r="V168" s="699">
        <f t="shared" ref="V168:V200" si="28">SUM(N168:U168)</f>
        <v>0</v>
      </c>
      <c r="W168" s="839">
        <f t="shared" ref="W168:W200" si="29">SUM(M168-V168)</f>
        <v>500000</v>
      </c>
      <c r="X168" s="832"/>
      <c r="Y168" s="832"/>
    </row>
    <row r="169" s="755" customFormat="1" spans="1:25">
      <c r="A169" s="836"/>
      <c r="B169" s="153" t="s">
        <v>389</v>
      </c>
      <c r="C169" s="699"/>
      <c r="D169" s="699">
        <v>250000</v>
      </c>
      <c r="E169" s="699"/>
      <c r="F169" s="699"/>
      <c r="G169" s="699"/>
      <c r="H169" s="699"/>
      <c r="I169" s="699"/>
      <c r="J169" s="699"/>
      <c r="K169" s="699"/>
      <c r="L169" s="699"/>
      <c r="M169" s="699">
        <f t="shared" si="27"/>
        <v>250000</v>
      </c>
      <c r="N169" s="699"/>
      <c r="O169" s="699"/>
      <c r="P169" s="699"/>
      <c r="Q169" s="699"/>
      <c r="R169" s="699"/>
      <c r="S169" s="699"/>
      <c r="T169" s="699"/>
      <c r="U169" s="699"/>
      <c r="V169" s="699">
        <f t="shared" si="28"/>
        <v>0</v>
      </c>
      <c r="W169" s="839">
        <f t="shared" si="29"/>
        <v>250000</v>
      </c>
      <c r="X169" s="832"/>
      <c r="Y169" s="832"/>
    </row>
    <row r="170" s="755" customFormat="1" spans="1:25">
      <c r="A170" s="836"/>
      <c r="B170" s="153" t="s">
        <v>390</v>
      </c>
      <c r="C170" s="699">
        <v>100000</v>
      </c>
      <c r="D170" s="699"/>
      <c r="E170" s="699"/>
      <c r="F170" s="699"/>
      <c r="G170" s="699"/>
      <c r="H170" s="699"/>
      <c r="I170" s="699"/>
      <c r="J170" s="699"/>
      <c r="K170" s="699"/>
      <c r="L170" s="699"/>
      <c r="M170" s="699">
        <f t="shared" si="27"/>
        <v>100000</v>
      </c>
      <c r="N170" s="699"/>
      <c r="O170" s="699"/>
      <c r="P170" s="699"/>
      <c r="Q170" s="699"/>
      <c r="R170" s="699"/>
      <c r="S170" s="699"/>
      <c r="T170" s="699"/>
      <c r="U170" s="699"/>
      <c r="V170" s="699">
        <f t="shared" si="28"/>
        <v>0</v>
      </c>
      <c r="W170" s="839">
        <f t="shared" si="29"/>
        <v>100000</v>
      </c>
      <c r="X170" s="832"/>
      <c r="Y170" s="832"/>
    </row>
    <row r="171" s="755" customFormat="1" spans="1:25">
      <c r="A171" s="836"/>
      <c r="B171" s="153" t="s">
        <v>391</v>
      </c>
      <c r="C171" s="699">
        <v>225000</v>
      </c>
      <c r="D171" s="699"/>
      <c r="E171" s="699"/>
      <c r="F171" s="699"/>
      <c r="G171" s="699"/>
      <c r="H171" s="699"/>
      <c r="I171" s="699"/>
      <c r="J171" s="699"/>
      <c r="K171" s="699"/>
      <c r="L171" s="699"/>
      <c r="M171" s="699">
        <f t="shared" si="27"/>
        <v>225000</v>
      </c>
      <c r="N171" s="699"/>
      <c r="O171" s="699"/>
      <c r="P171" s="699"/>
      <c r="Q171" s="699"/>
      <c r="R171" s="699"/>
      <c r="S171" s="699"/>
      <c r="T171" s="699"/>
      <c r="U171" s="699"/>
      <c r="V171" s="699">
        <f t="shared" si="28"/>
        <v>0</v>
      </c>
      <c r="W171" s="839">
        <f t="shared" si="29"/>
        <v>225000</v>
      </c>
      <c r="X171" s="832"/>
      <c r="Y171" s="832"/>
    </row>
    <row r="172" s="755" customFormat="1" spans="1:25">
      <c r="A172" s="836"/>
      <c r="B172" s="153" t="s">
        <v>392</v>
      </c>
      <c r="C172" s="699">
        <v>100000</v>
      </c>
      <c r="D172" s="699"/>
      <c r="E172" s="699"/>
      <c r="F172" s="699"/>
      <c r="G172" s="699"/>
      <c r="H172" s="699"/>
      <c r="I172" s="699"/>
      <c r="J172" s="699"/>
      <c r="K172" s="699"/>
      <c r="L172" s="699"/>
      <c r="M172" s="699">
        <f t="shared" si="27"/>
        <v>100000</v>
      </c>
      <c r="N172" s="699"/>
      <c r="O172" s="699"/>
      <c r="P172" s="699"/>
      <c r="Q172" s="699"/>
      <c r="R172" s="699"/>
      <c r="S172" s="699"/>
      <c r="T172" s="699"/>
      <c r="U172" s="699"/>
      <c r="V172" s="699">
        <f t="shared" si="28"/>
        <v>0</v>
      </c>
      <c r="W172" s="839">
        <f t="shared" si="29"/>
        <v>100000</v>
      </c>
      <c r="X172" s="832"/>
      <c r="Y172" s="832"/>
    </row>
    <row r="173" s="755" customFormat="1" spans="1:25">
      <c r="A173" s="836"/>
      <c r="B173" s="153" t="s">
        <v>393</v>
      </c>
      <c r="C173" s="699">
        <v>100000</v>
      </c>
      <c r="D173" s="699"/>
      <c r="E173" s="699"/>
      <c r="F173" s="699"/>
      <c r="G173" s="699"/>
      <c r="H173" s="699"/>
      <c r="I173" s="699"/>
      <c r="J173" s="699"/>
      <c r="K173" s="699"/>
      <c r="L173" s="699"/>
      <c r="M173" s="699">
        <f t="shared" si="27"/>
        <v>100000</v>
      </c>
      <c r="N173" s="699"/>
      <c r="O173" s="699"/>
      <c r="P173" s="699"/>
      <c r="Q173" s="699"/>
      <c r="R173" s="699"/>
      <c r="S173" s="699"/>
      <c r="T173" s="699"/>
      <c r="U173" s="699"/>
      <c r="V173" s="699">
        <f t="shared" si="28"/>
        <v>0</v>
      </c>
      <c r="W173" s="839">
        <f t="shared" si="29"/>
        <v>100000</v>
      </c>
      <c r="X173" s="832"/>
      <c r="Y173" s="832"/>
    </row>
    <row r="174" s="755" customFormat="1" spans="1:25">
      <c r="A174" s="836"/>
      <c r="B174" s="153" t="s">
        <v>394</v>
      </c>
      <c r="C174" s="699">
        <v>300000</v>
      </c>
      <c r="D174" s="699"/>
      <c r="E174" s="699"/>
      <c r="F174" s="699"/>
      <c r="G174" s="699"/>
      <c r="H174" s="699"/>
      <c r="I174" s="699"/>
      <c r="J174" s="699"/>
      <c r="K174" s="699"/>
      <c r="L174" s="699"/>
      <c r="M174" s="699">
        <f t="shared" si="27"/>
        <v>300000</v>
      </c>
      <c r="N174" s="699"/>
      <c r="O174" s="699"/>
      <c r="P174" s="699"/>
      <c r="Q174" s="699"/>
      <c r="R174" s="699"/>
      <c r="S174" s="699"/>
      <c r="T174" s="699"/>
      <c r="U174" s="699"/>
      <c r="V174" s="699">
        <f t="shared" si="28"/>
        <v>0</v>
      </c>
      <c r="W174" s="839">
        <f t="shared" si="29"/>
        <v>300000</v>
      </c>
      <c r="X174" s="832"/>
      <c r="Y174" s="832"/>
    </row>
    <row r="175" s="755" customFormat="1" spans="1:25">
      <c r="A175" s="836"/>
      <c r="B175" s="153" t="s">
        <v>395</v>
      </c>
      <c r="C175" s="699">
        <v>50000</v>
      </c>
      <c r="D175" s="699"/>
      <c r="E175" s="699"/>
      <c r="F175" s="699"/>
      <c r="G175" s="699"/>
      <c r="H175" s="699"/>
      <c r="I175" s="699"/>
      <c r="J175" s="699"/>
      <c r="K175" s="699"/>
      <c r="L175" s="699"/>
      <c r="M175" s="699">
        <f t="shared" si="27"/>
        <v>50000</v>
      </c>
      <c r="N175" s="699"/>
      <c r="O175" s="699"/>
      <c r="P175" s="699"/>
      <c r="Q175" s="699"/>
      <c r="R175" s="699"/>
      <c r="S175" s="699"/>
      <c r="T175" s="699"/>
      <c r="U175" s="699"/>
      <c r="V175" s="699">
        <f t="shared" si="28"/>
        <v>0</v>
      </c>
      <c r="W175" s="839">
        <f t="shared" si="29"/>
        <v>50000</v>
      </c>
      <c r="X175" s="832"/>
      <c r="Y175" s="832"/>
    </row>
    <row r="176" s="755" customFormat="1" spans="1:25">
      <c r="A176" s="837"/>
      <c r="B176" s="153" t="s">
        <v>396</v>
      </c>
      <c r="C176" s="699">
        <v>30000</v>
      </c>
      <c r="D176" s="699"/>
      <c r="E176" s="699"/>
      <c r="F176" s="699"/>
      <c r="G176" s="699"/>
      <c r="H176" s="699"/>
      <c r="I176" s="699"/>
      <c r="J176" s="699"/>
      <c r="K176" s="699"/>
      <c r="L176" s="699"/>
      <c r="M176" s="699">
        <f t="shared" si="27"/>
        <v>30000</v>
      </c>
      <c r="N176" s="699"/>
      <c r="O176" s="699"/>
      <c r="P176" s="699"/>
      <c r="Q176" s="699"/>
      <c r="R176" s="699"/>
      <c r="S176" s="699"/>
      <c r="T176" s="699"/>
      <c r="U176" s="699"/>
      <c r="V176" s="699">
        <f t="shared" si="28"/>
        <v>0</v>
      </c>
      <c r="W176" s="839">
        <f t="shared" si="29"/>
        <v>30000</v>
      </c>
      <c r="X176" s="832"/>
      <c r="Y176" s="832"/>
    </row>
    <row r="177" s="755" customFormat="1" spans="1:25">
      <c r="A177" s="833"/>
      <c r="B177" s="153" t="s">
        <v>397</v>
      </c>
      <c r="C177" s="699">
        <v>100000</v>
      </c>
      <c r="D177" s="699" t="s">
        <v>223</v>
      </c>
      <c r="E177" s="699"/>
      <c r="F177" s="699"/>
      <c r="G177" s="699"/>
      <c r="H177" s="699"/>
      <c r="I177" s="699"/>
      <c r="J177" s="699"/>
      <c r="K177" s="699"/>
      <c r="L177" s="699"/>
      <c r="M177" s="699">
        <f t="shared" si="27"/>
        <v>100000</v>
      </c>
      <c r="N177" s="699"/>
      <c r="O177" s="699"/>
      <c r="P177" s="699"/>
      <c r="Q177" s="699"/>
      <c r="R177" s="699"/>
      <c r="S177" s="699"/>
      <c r="T177" s="699"/>
      <c r="U177" s="699"/>
      <c r="V177" s="699">
        <f t="shared" si="28"/>
        <v>0</v>
      </c>
      <c r="W177" s="839">
        <f t="shared" si="29"/>
        <v>100000</v>
      </c>
      <c r="X177" s="832"/>
      <c r="Y177" s="832"/>
    </row>
    <row r="178" s="755" customFormat="1" spans="1:25">
      <c r="A178" s="833"/>
      <c r="B178" s="153" t="s">
        <v>398</v>
      </c>
      <c r="C178" s="699">
        <v>200000</v>
      </c>
      <c r="D178" s="699"/>
      <c r="E178" s="699"/>
      <c r="F178" s="699"/>
      <c r="G178" s="699"/>
      <c r="H178" s="699"/>
      <c r="I178" s="699"/>
      <c r="J178" s="699"/>
      <c r="K178" s="699"/>
      <c r="L178" s="699"/>
      <c r="M178" s="699">
        <f t="shared" si="27"/>
        <v>200000</v>
      </c>
      <c r="N178" s="699"/>
      <c r="O178" s="699"/>
      <c r="P178" s="699"/>
      <c r="Q178" s="699"/>
      <c r="R178" s="699"/>
      <c r="S178" s="699"/>
      <c r="T178" s="699"/>
      <c r="U178" s="699"/>
      <c r="V178" s="699">
        <f t="shared" si="28"/>
        <v>0</v>
      </c>
      <c r="W178" s="839">
        <f t="shared" si="29"/>
        <v>200000</v>
      </c>
      <c r="X178" s="832"/>
      <c r="Y178" s="832"/>
    </row>
    <row r="179" s="755" customFormat="1" spans="1:25">
      <c r="A179" s="833"/>
      <c r="B179" s="153" t="s">
        <v>399</v>
      </c>
      <c r="C179" s="699">
        <v>65000</v>
      </c>
      <c r="D179" s="699"/>
      <c r="E179" s="699"/>
      <c r="F179" s="699"/>
      <c r="G179" s="699"/>
      <c r="H179" s="699"/>
      <c r="I179" s="699"/>
      <c r="J179" s="699"/>
      <c r="K179" s="699"/>
      <c r="L179" s="699"/>
      <c r="M179" s="699">
        <f t="shared" si="27"/>
        <v>65000</v>
      </c>
      <c r="N179" s="699"/>
      <c r="O179" s="699"/>
      <c r="P179" s="699"/>
      <c r="Q179" s="699"/>
      <c r="R179" s="699"/>
      <c r="S179" s="699"/>
      <c r="T179" s="699"/>
      <c r="U179" s="699"/>
      <c r="V179" s="699">
        <f t="shared" si="28"/>
        <v>0</v>
      </c>
      <c r="W179" s="839">
        <f t="shared" si="29"/>
        <v>65000</v>
      </c>
      <c r="X179" s="832"/>
      <c r="Y179" s="832"/>
    </row>
    <row r="180" s="755" customFormat="1" spans="1:25">
      <c r="A180" s="833"/>
      <c r="B180" s="153" t="s">
        <v>400</v>
      </c>
      <c r="C180" s="699">
        <v>50000</v>
      </c>
      <c r="D180" s="699"/>
      <c r="E180" s="699"/>
      <c r="F180" s="699"/>
      <c r="G180" s="699"/>
      <c r="H180" s="699"/>
      <c r="I180" s="699"/>
      <c r="J180" s="699"/>
      <c r="K180" s="699"/>
      <c r="L180" s="699"/>
      <c r="M180" s="699">
        <f t="shared" si="27"/>
        <v>50000</v>
      </c>
      <c r="N180" s="699"/>
      <c r="O180" s="699"/>
      <c r="P180" s="699"/>
      <c r="Q180" s="699"/>
      <c r="R180" s="699"/>
      <c r="S180" s="699"/>
      <c r="T180" s="699"/>
      <c r="U180" s="699"/>
      <c r="V180" s="699">
        <f t="shared" si="28"/>
        <v>0</v>
      </c>
      <c r="W180" s="839">
        <f t="shared" si="29"/>
        <v>50000</v>
      </c>
      <c r="X180" s="832"/>
      <c r="Y180" s="832"/>
    </row>
    <row r="181" s="755" customFormat="1" spans="1:25">
      <c r="A181" s="833"/>
      <c r="B181" s="153" t="s">
        <v>401</v>
      </c>
      <c r="C181" s="699"/>
      <c r="D181" s="699">
        <v>600000</v>
      </c>
      <c r="E181" s="699"/>
      <c r="F181" s="699"/>
      <c r="G181" s="699"/>
      <c r="H181" s="699"/>
      <c r="I181" s="699"/>
      <c r="J181" s="699"/>
      <c r="K181" s="699"/>
      <c r="L181" s="699"/>
      <c r="M181" s="699">
        <f t="shared" si="27"/>
        <v>600000</v>
      </c>
      <c r="N181" s="699"/>
      <c r="O181" s="699"/>
      <c r="P181" s="699"/>
      <c r="Q181" s="699"/>
      <c r="R181" s="699"/>
      <c r="S181" s="699"/>
      <c r="T181" s="699"/>
      <c r="U181" s="699"/>
      <c r="V181" s="699">
        <f t="shared" si="28"/>
        <v>0</v>
      </c>
      <c r="W181" s="839">
        <f t="shared" si="29"/>
        <v>600000</v>
      </c>
      <c r="X181" s="832"/>
      <c r="Y181" s="832"/>
    </row>
    <row r="182" s="755" customFormat="1" spans="1:25">
      <c r="A182" s="833"/>
      <c r="B182" s="153" t="s">
        <v>402</v>
      </c>
      <c r="C182" s="699">
        <v>1050000</v>
      </c>
      <c r="D182" s="699"/>
      <c r="E182" s="699"/>
      <c r="F182" s="699"/>
      <c r="G182" s="699"/>
      <c r="H182" s="699"/>
      <c r="I182" s="699"/>
      <c r="J182" s="699"/>
      <c r="K182" s="699"/>
      <c r="L182" s="699"/>
      <c r="M182" s="699">
        <f t="shared" si="27"/>
        <v>1050000</v>
      </c>
      <c r="N182" s="699"/>
      <c r="O182" s="699"/>
      <c r="P182" s="699"/>
      <c r="Q182" s="699"/>
      <c r="R182" s="699"/>
      <c r="S182" s="699"/>
      <c r="T182" s="699"/>
      <c r="U182" s="699"/>
      <c r="V182" s="699">
        <f t="shared" si="28"/>
        <v>0</v>
      </c>
      <c r="W182" s="839">
        <f t="shared" si="29"/>
        <v>1050000</v>
      </c>
      <c r="X182" s="832"/>
      <c r="Y182" s="832"/>
    </row>
    <row r="183" s="755" customFormat="1" spans="1:25">
      <c r="A183" s="833"/>
      <c r="B183" s="153" t="s">
        <v>403</v>
      </c>
      <c r="C183" s="699"/>
      <c r="D183" s="699">
        <v>172500</v>
      </c>
      <c r="E183" s="699"/>
      <c r="F183" s="699"/>
      <c r="G183" s="699"/>
      <c r="H183" s="699"/>
      <c r="I183" s="699"/>
      <c r="J183" s="699"/>
      <c r="K183" s="699"/>
      <c r="L183" s="699"/>
      <c r="M183" s="699">
        <f t="shared" si="27"/>
        <v>172500</v>
      </c>
      <c r="N183" s="699"/>
      <c r="O183" s="699"/>
      <c r="P183" s="699"/>
      <c r="Q183" s="699"/>
      <c r="R183" s="699"/>
      <c r="S183" s="699"/>
      <c r="T183" s="699"/>
      <c r="U183" s="699"/>
      <c r="V183" s="699">
        <f t="shared" si="28"/>
        <v>0</v>
      </c>
      <c r="W183" s="839">
        <f t="shared" si="29"/>
        <v>172500</v>
      </c>
      <c r="X183" s="832"/>
      <c r="Y183" s="832"/>
    </row>
    <row r="184" s="755" customFormat="1" spans="1:25">
      <c r="A184" s="833"/>
      <c r="B184" s="153" t="s">
        <v>404</v>
      </c>
      <c r="C184" s="699"/>
      <c r="D184" s="699">
        <v>500000</v>
      </c>
      <c r="E184" s="699"/>
      <c r="F184" s="699"/>
      <c r="G184" s="699"/>
      <c r="H184" s="699"/>
      <c r="I184" s="699"/>
      <c r="J184" s="699"/>
      <c r="K184" s="699"/>
      <c r="L184" s="699"/>
      <c r="M184" s="699">
        <f t="shared" si="27"/>
        <v>500000</v>
      </c>
      <c r="N184" s="699"/>
      <c r="O184" s="699"/>
      <c r="P184" s="699"/>
      <c r="Q184" s="699"/>
      <c r="R184" s="699"/>
      <c r="S184" s="699"/>
      <c r="T184" s="699"/>
      <c r="U184" s="699"/>
      <c r="V184" s="699">
        <f t="shared" si="28"/>
        <v>0</v>
      </c>
      <c r="W184" s="839">
        <f t="shared" si="29"/>
        <v>500000</v>
      </c>
      <c r="X184" s="832"/>
      <c r="Y184" s="832"/>
    </row>
    <row r="185" s="755" customFormat="1" spans="1:25">
      <c r="A185" s="833"/>
      <c r="B185" s="153" t="s">
        <v>405</v>
      </c>
      <c r="C185" s="699"/>
      <c r="D185" s="699">
        <v>1600000</v>
      </c>
      <c r="E185" s="699"/>
      <c r="F185" s="699"/>
      <c r="G185" s="699"/>
      <c r="H185" s="699"/>
      <c r="I185" s="699"/>
      <c r="J185" s="699"/>
      <c r="K185" s="699"/>
      <c r="L185" s="699"/>
      <c r="M185" s="699">
        <f t="shared" si="27"/>
        <v>1600000</v>
      </c>
      <c r="N185" s="699"/>
      <c r="O185" s="699"/>
      <c r="P185" s="699"/>
      <c r="Q185" s="699"/>
      <c r="R185" s="699"/>
      <c r="S185" s="699"/>
      <c r="T185" s="699"/>
      <c r="U185" s="699"/>
      <c r="V185" s="699">
        <f t="shared" si="28"/>
        <v>0</v>
      </c>
      <c r="W185" s="839">
        <f t="shared" si="29"/>
        <v>1600000</v>
      </c>
      <c r="X185" s="832"/>
      <c r="Y185" s="832"/>
    </row>
    <row r="186" s="755" customFormat="1" spans="1:25">
      <c r="A186" s="833"/>
      <c r="B186" s="153" t="s">
        <v>406</v>
      </c>
      <c r="C186" s="699"/>
      <c r="D186" s="699">
        <v>1268000</v>
      </c>
      <c r="E186" s="699"/>
      <c r="F186" s="699"/>
      <c r="G186" s="699"/>
      <c r="H186" s="699"/>
      <c r="I186" s="699"/>
      <c r="J186" s="699"/>
      <c r="K186" s="699"/>
      <c r="L186" s="699"/>
      <c r="M186" s="699">
        <f t="shared" si="27"/>
        <v>1268000</v>
      </c>
      <c r="N186" s="699"/>
      <c r="O186" s="699"/>
      <c r="P186" s="699"/>
      <c r="Q186" s="699"/>
      <c r="R186" s="699"/>
      <c r="S186" s="699"/>
      <c r="T186" s="699"/>
      <c r="U186" s="699"/>
      <c r="V186" s="699">
        <f t="shared" si="28"/>
        <v>0</v>
      </c>
      <c r="W186" s="839">
        <f t="shared" si="29"/>
        <v>1268000</v>
      </c>
      <c r="X186" s="832"/>
      <c r="Y186" s="832"/>
    </row>
    <row r="187" s="756" customFormat="1" spans="1:25">
      <c r="A187" s="838"/>
      <c r="B187" s="153" t="s">
        <v>407</v>
      </c>
      <c r="C187" s="699"/>
      <c r="D187" s="699">
        <v>200000</v>
      </c>
      <c r="E187" s="699"/>
      <c r="F187" s="699"/>
      <c r="G187" s="699"/>
      <c r="H187" s="699"/>
      <c r="I187" s="699"/>
      <c r="J187" s="699"/>
      <c r="K187" s="699"/>
      <c r="L187" s="699"/>
      <c r="M187" s="699">
        <f t="shared" si="27"/>
        <v>200000</v>
      </c>
      <c r="N187" s="699"/>
      <c r="O187" s="699"/>
      <c r="P187" s="699"/>
      <c r="Q187" s="699"/>
      <c r="R187" s="699"/>
      <c r="S187" s="699"/>
      <c r="T187" s="699"/>
      <c r="U187" s="699"/>
      <c r="V187" s="699">
        <f t="shared" si="28"/>
        <v>0</v>
      </c>
      <c r="W187" s="839">
        <f t="shared" si="29"/>
        <v>200000</v>
      </c>
      <c r="X187" s="841"/>
      <c r="Y187" s="841"/>
    </row>
    <row r="188" s="756" customFormat="1" spans="1:25">
      <c r="A188" s="838"/>
      <c r="B188" s="153" t="s">
        <v>408</v>
      </c>
      <c r="C188" s="699"/>
      <c r="D188" s="699">
        <v>100000</v>
      </c>
      <c r="E188" s="699"/>
      <c r="F188" s="699"/>
      <c r="G188" s="699"/>
      <c r="H188" s="699"/>
      <c r="I188" s="699"/>
      <c r="J188" s="699"/>
      <c r="K188" s="699"/>
      <c r="L188" s="699"/>
      <c r="M188" s="699">
        <f t="shared" si="27"/>
        <v>100000</v>
      </c>
      <c r="N188" s="699"/>
      <c r="O188" s="699"/>
      <c r="P188" s="699"/>
      <c r="Q188" s="699"/>
      <c r="R188" s="699"/>
      <c r="S188" s="699"/>
      <c r="T188" s="699"/>
      <c r="U188" s="699"/>
      <c r="V188" s="699">
        <f t="shared" si="28"/>
        <v>0</v>
      </c>
      <c r="W188" s="839">
        <f t="shared" si="29"/>
        <v>100000</v>
      </c>
      <c r="X188" s="841"/>
      <c r="Y188" s="841"/>
    </row>
    <row r="189" s="756" customFormat="1" spans="1:25">
      <c r="A189" s="838"/>
      <c r="B189" s="153" t="s">
        <v>409</v>
      </c>
      <c r="C189" s="699"/>
      <c r="D189" s="699"/>
      <c r="E189" s="699"/>
      <c r="F189" s="699"/>
      <c r="G189" s="699"/>
      <c r="H189" s="699"/>
      <c r="I189" s="699"/>
      <c r="J189" s="699"/>
      <c r="K189" s="699"/>
      <c r="L189" s="699"/>
      <c r="M189" s="699">
        <f t="shared" si="27"/>
        <v>0</v>
      </c>
      <c r="N189" s="699"/>
      <c r="O189" s="699"/>
      <c r="P189" s="699"/>
      <c r="Q189" s="699"/>
      <c r="R189" s="699"/>
      <c r="S189" s="699"/>
      <c r="T189" s="699"/>
      <c r="U189" s="699">
        <v>10550000</v>
      </c>
      <c r="V189" s="699">
        <f t="shared" si="28"/>
        <v>10550000</v>
      </c>
      <c r="W189" s="839">
        <f t="shared" si="29"/>
        <v>-10550000</v>
      </c>
      <c r="X189" s="841"/>
      <c r="Y189" s="841"/>
    </row>
    <row r="190" s="756" customFormat="1" spans="1:25">
      <c r="A190" s="838"/>
      <c r="B190" s="153" t="s">
        <v>410</v>
      </c>
      <c r="C190" s="699"/>
      <c r="D190" s="699"/>
      <c r="E190" s="699"/>
      <c r="F190" s="699"/>
      <c r="G190" s="699"/>
      <c r="H190" s="699"/>
      <c r="I190" s="699"/>
      <c r="J190" s="699"/>
      <c r="K190" s="699">
        <v>1480000</v>
      </c>
      <c r="L190" s="699"/>
      <c r="M190" s="699">
        <f t="shared" si="27"/>
        <v>1480000</v>
      </c>
      <c r="N190" s="699"/>
      <c r="O190" s="699"/>
      <c r="P190" s="699"/>
      <c r="Q190" s="699"/>
      <c r="R190" s="699"/>
      <c r="S190" s="699"/>
      <c r="T190" s="699"/>
      <c r="U190" s="699"/>
      <c r="V190" s="699">
        <f t="shared" si="28"/>
        <v>0</v>
      </c>
      <c r="W190" s="839">
        <f t="shared" si="29"/>
        <v>1480000</v>
      </c>
      <c r="X190" s="841"/>
      <c r="Y190" s="841"/>
    </row>
    <row r="191" s="756" customFormat="1" spans="1:25">
      <c r="A191" s="838"/>
      <c r="B191" s="153" t="s">
        <v>411</v>
      </c>
      <c r="C191" s="699"/>
      <c r="D191" s="699"/>
      <c r="E191" s="699">
        <v>2196000</v>
      </c>
      <c r="F191" s="699"/>
      <c r="G191" s="699"/>
      <c r="H191" s="699"/>
      <c r="I191" s="699"/>
      <c r="J191" s="699"/>
      <c r="K191" s="699"/>
      <c r="L191" s="699"/>
      <c r="M191" s="699">
        <f t="shared" si="27"/>
        <v>2196000</v>
      </c>
      <c r="N191" s="699"/>
      <c r="O191" s="699"/>
      <c r="P191" s="699"/>
      <c r="Q191" s="699"/>
      <c r="R191" s="699"/>
      <c r="S191" s="699"/>
      <c r="T191" s="699"/>
      <c r="U191" s="699"/>
      <c r="V191" s="699">
        <f t="shared" si="28"/>
        <v>0</v>
      </c>
      <c r="W191" s="839">
        <f t="shared" si="29"/>
        <v>2196000</v>
      </c>
      <c r="X191" s="841"/>
      <c r="Y191" s="841"/>
    </row>
    <row r="192" s="756" customFormat="1" spans="1:25">
      <c r="A192" s="838"/>
      <c r="B192" s="153" t="s">
        <v>412</v>
      </c>
      <c r="C192" s="699"/>
      <c r="D192" s="699">
        <v>400000</v>
      </c>
      <c r="E192" s="699"/>
      <c r="F192" s="699"/>
      <c r="G192" s="699"/>
      <c r="H192" s="699"/>
      <c r="I192" s="699"/>
      <c r="J192" s="699"/>
      <c r="K192" s="699"/>
      <c r="L192" s="699"/>
      <c r="M192" s="699">
        <f t="shared" si="27"/>
        <v>400000</v>
      </c>
      <c r="N192" s="699"/>
      <c r="O192" s="699"/>
      <c r="P192" s="699"/>
      <c r="Q192" s="699"/>
      <c r="R192" s="699"/>
      <c r="S192" s="699"/>
      <c r="T192" s="699"/>
      <c r="U192" s="699"/>
      <c r="V192" s="699">
        <f t="shared" si="28"/>
        <v>0</v>
      </c>
      <c r="W192" s="839">
        <f t="shared" si="29"/>
        <v>400000</v>
      </c>
      <c r="X192" s="841"/>
      <c r="Y192" s="841"/>
    </row>
    <row r="193" s="756" customFormat="1" spans="1:25">
      <c r="A193" s="838"/>
      <c r="B193" s="153" t="s">
        <v>413</v>
      </c>
      <c r="C193" s="699">
        <v>500000</v>
      </c>
      <c r="D193" s="699"/>
      <c r="E193" s="699"/>
      <c r="F193" s="699"/>
      <c r="G193" s="699"/>
      <c r="H193" s="699"/>
      <c r="I193" s="699"/>
      <c r="J193" s="699"/>
      <c r="K193" s="699"/>
      <c r="L193" s="699"/>
      <c r="M193" s="699">
        <f t="shared" si="27"/>
        <v>500000</v>
      </c>
      <c r="N193" s="803"/>
      <c r="O193" s="803"/>
      <c r="P193" s="803"/>
      <c r="Q193" s="803"/>
      <c r="R193" s="803"/>
      <c r="S193" s="803"/>
      <c r="T193" s="803"/>
      <c r="U193" s="803"/>
      <c r="V193" s="803">
        <f t="shared" si="28"/>
        <v>0</v>
      </c>
      <c r="W193" s="839">
        <f t="shared" si="29"/>
        <v>500000</v>
      </c>
      <c r="X193" s="841"/>
      <c r="Y193" s="841"/>
    </row>
    <row r="194" s="756" customFormat="1" spans="1:25">
      <c r="A194" s="838"/>
      <c r="B194" s="153" t="s">
        <v>414</v>
      </c>
      <c r="C194" s="699">
        <v>300000</v>
      </c>
      <c r="D194" s="699"/>
      <c r="E194" s="699"/>
      <c r="F194" s="699"/>
      <c r="G194" s="699"/>
      <c r="H194" s="699"/>
      <c r="I194" s="699"/>
      <c r="J194" s="699"/>
      <c r="K194" s="699"/>
      <c r="L194" s="699"/>
      <c r="M194" s="699">
        <f t="shared" si="27"/>
        <v>300000</v>
      </c>
      <c r="N194" s="803"/>
      <c r="O194" s="803"/>
      <c r="P194" s="803"/>
      <c r="Q194" s="803"/>
      <c r="R194" s="803"/>
      <c r="S194" s="803"/>
      <c r="T194" s="803"/>
      <c r="U194" s="803"/>
      <c r="V194" s="803">
        <f t="shared" si="28"/>
        <v>0</v>
      </c>
      <c r="W194" s="839">
        <f t="shared" si="29"/>
        <v>300000</v>
      </c>
      <c r="X194" s="841"/>
      <c r="Y194" s="841"/>
    </row>
    <row r="195" s="756" customFormat="1" spans="1:25">
      <c r="A195" s="838"/>
      <c r="B195" s="153" t="s">
        <v>415</v>
      </c>
      <c r="C195" s="699"/>
      <c r="D195" s="699">
        <v>875000</v>
      </c>
      <c r="E195" s="699"/>
      <c r="F195" s="699"/>
      <c r="G195" s="699"/>
      <c r="H195" s="699"/>
      <c r="I195" s="699"/>
      <c r="J195" s="699"/>
      <c r="K195" s="699"/>
      <c r="L195" s="699"/>
      <c r="M195" s="699">
        <f t="shared" ref="M195:M206" si="30">SUM(C195:L195)</f>
        <v>875000</v>
      </c>
      <c r="N195" s="803"/>
      <c r="O195" s="803"/>
      <c r="P195" s="803"/>
      <c r="Q195" s="803"/>
      <c r="R195" s="803"/>
      <c r="S195" s="803"/>
      <c r="T195" s="803"/>
      <c r="U195" s="803"/>
      <c r="V195" s="803">
        <f t="shared" si="28"/>
        <v>0</v>
      </c>
      <c r="W195" s="839">
        <f t="shared" si="29"/>
        <v>875000</v>
      </c>
      <c r="X195" s="841"/>
      <c r="Y195" s="841"/>
    </row>
    <row r="196" s="756" customFormat="1" spans="1:25">
      <c r="A196" s="838"/>
      <c r="B196" s="153" t="s">
        <v>416</v>
      </c>
      <c r="C196" s="699">
        <v>300000</v>
      </c>
      <c r="D196" s="699"/>
      <c r="E196" s="699"/>
      <c r="F196" s="699"/>
      <c r="G196" s="699"/>
      <c r="H196" s="699"/>
      <c r="I196" s="699"/>
      <c r="J196" s="699"/>
      <c r="K196" s="699"/>
      <c r="L196" s="699"/>
      <c r="M196" s="699">
        <f t="shared" si="30"/>
        <v>300000</v>
      </c>
      <c r="N196" s="803"/>
      <c r="O196" s="803"/>
      <c r="P196" s="803"/>
      <c r="Q196" s="803"/>
      <c r="R196" s="803"/>
      <c r="S196" s="803"/>
      <c r="T196" s="803"/>
      <c r="U196" s="803"/>
      <c r="V196" s="803">
        <f t="shared" si="28"/>
        <v>0</v>
      </c>
      <c r="W196" s="839">
        <f t="shared" si="29"/>
        <v>300000</v>
      </c>
      <c r="X196" s="841"/>
      <c r="Y196" s="841"/>
    </row>
    <row r="197" s="756" customFormat="1" spans="1:25">
      <c r="A197" s="838"/>
      <c r="B197" s="153" t="s">
        <v>417</v>
      </c>
      <c r="C197" s="699">
        <v>500000</v>
      </c>
      <c r="D197" s="699"/>
      <c r="E197" s="699"/>
      <c r="F197" s="699"/>
      <c r="G197" s="699"/>
      <c r="H197" s="699"/>
      <c r="I197" s="699"/>
      <c r="J197" s="699"/>
      <c r="K197" s="699"/>
      <c r="L197" s="699"/>
      <c r="M197" s="699">
        <f t="shared" si="30"/>
        <v>500000</v>
      </c>
      <c r="N197" s="699"/>
      <c r="O197" s="699"/>
      <c r="P197" s="699"/>
      <c r="Q197" s="699"/>
      <c r="R197" s="699"/>
      <c r="S197" s="699"/>
      <c r="T197" s="699"/>
      <c r="U197" s="699"/>
      <c r="V197" s="803">
        <f t="shared" si="28"/>
        <v>0</v>
      </c>
      <c r="W197" s="839">
        <f t="shared" si="29"/>
        <v>500000</v>
      </c>
      <c r="X197" s="841"/>
      <c r="Y197" s="841"/>
    </row>
    <row r="198" s="756" customFormat="1" spans="1:25">
      <c r="A198" s="838"/>
      <c r="B198" s="153" t="s">
        <v>418</v>
      </c>
      <c r="C198" s="699">
        <v>175000</v>
      </c>
      <c r="D198" s="699"/>
      <c r="E198" s="699"/>
      <c r="F198" s="699"/>
      <c r="G198" s="699"/>
      <c r="H198" s="699"/>
      <c r="I198" s="699"/>
      <c r="J198" s="699"/>
      <c r="K198" s="699"/>
      <c r="L198" s="699"/>
      <c r="M198" s="699">
        <f t="shared" si="30"/>
        <v>175000</v>
      </c>
      <c r="N198" s="699"/>
      <c r="O198" s="699"/>
      <c r="P198" s="699"/>
      <c r="Q198" s="699"/>
      <c r="R198" s="699"/>
      <c r="S198" s="699"/>
      <c r="T198" s="699"/>
      <c r="U198" s="699"/>
      <c r="V198" s="699">
        <f t="shared" si="28"/>
        <v>0</v>
      </c>
      <c r="W198" s="839">
        <f t="shared" si="29"/>
        <v>175000</v>
      </c>
      <c r="X198" s="841"/>
      <c r="Y198" s="841"/>
    </row>
    <row r="199" s="756" customFormat="1" spans="1:25">
      <c r="A199" s="838"/>
      <c r="B199" s="153" t="s">
        <v>419</v>
      </c>
      <c r="C199" s="699">
        <v>50000</v>
      </c>
      <c r="D199" s="699"/>
      <c r="E199" s="699"/>
      <c r="F199" s="699"/>
      <c r="G199" s="699"/>
      <c r="H199" s="699"/>
      <c r="I199" s="699"/>
      <c r="J199" s="699"/>
      <c r="K199" s="699"/>
      <c r="L199" s="699"/>
      <c r="M199" s="699">
        <f t="shared" si="30"/>
        <v>50000</v>
      </c>
      <c r="N199" s="699"/>
      <c r="O199" s="699"/>
      <c r="P199" s="699"/>
      <c r="Q199" s="699"/>
      <c r="R199" s="699"/>
      <c r="S199" s="699"/>
      <c r="T199" s="699"/>
      <c r="U199" s="699"/>
      <c r="V199" s="699">
        <f t="shared" ref="V199:V206" si="31">SUM(N199:U199)</f>
        <v>0</v>
      </c>
      <c r="W199" s="839">
        <f t="shared" ref="W199:W206" si="32">SUM(M199-V199)</f>
        <v>50000</v>
      </c>
      <c r="X199" s="841"/>
      <c r="Y199" s="841"/>
    </row>
    <row r="200" s="756" customFormat="1" spans="1:25">
      <c r="A200" s="838"/>
      <c r="B200" s="153" t="s">
        <v>420</v>
      </c>
      <c r="C200" s="699"/>
      <c r="D200" s="699">
        <v>137000</v>
      </c>
      <c r="E200" s="699"/>
      <c r="F200" s="699"/>
      <c r="G200" s="699"/>
      <c r="H200" s="699"/>
      <c r="I200" s="699"/>
      <c r="J200" s="699"/>
      <c r="K200" s="699"/>
      <c r="L200" s="699"/>
      <c r="M200" s="699">
        <f t="shared" si="30"/>
        <v>137000</v>
      </c>
      <c r="N200" s="699"/>
      <c r="O200" s="699"/>
      <c r="P200" s="699"/>
      <c r="Q200" s="699"/>
      <c r="R200" s="699"/>
      <c r="S200" s="699"/>
      <c r="T200" s="699"/>
      <c r="U200" s="699"/>
      <c r="V200" s="699">
        <f t="shared" si="31"/>
        <v>0</v>
      </c>
      <c r="W200" s="839">
        <f t="shared" si="32"/>
        <v>137000</v>
      </c>
      <c r="X200" s="841"/>
      <c r="Y200" s="841"/>
    </row>
    <row r="201" s="756" customFormat="1" spans="1:25">
      <c r="A201" s="838"/>
      <c r="B201" s="153" t="s">
        <v>421</v>
      </c>
      <c r="C201" s="699">
        <v>100000</v>
      </c>
      <c r="D201" s="699"/>
      <c r="E201" s="699"/>
      <c r="F201" s="699"/>
      <c r="G201" s="699"/>
      <c r="H201" s="699"/>
      <c r="I201" s="699"/>
      <c r="J201" s="699"/>
      <c r="K201" s="699"/>
      <c r="L201" s="699"/>
      <c r="M201" s="699">
        <f t="shared" si="30"/>
        <v>100000</v>
      </c>
      <c r="N201" s="699"/>
      <c r="O201" s="699"/>
      <c r="P201" s="699"/>
      <c r="Q201" s="699"/>
      <c r="R201" s="699"/>
      <c r="S201" s="699"/>
      <c r="T201" s="699"/>
      <c r="U201" s="699"/>
      <c r="V201" s="699">
        <f t="shared" si="31"/>
        <v>0</v>
      </c>
      <c r="W201" s="839">
        <f t="shared" si="32"/>
        <v>100000</v>
      </c>
      <c r="X201" s="841"/>
      <c r="Y201" s="841"/>
    </row>
    <row r="202" s="756" customFormat="1" spans="1:25">
      <c r="A202" s="838"/>
      <c r="B202" s="153" t="s">
        <v>422</v>
      </c>
      <c r="C202" s="699">
        <v>150000</v>
      </c>
      <c r="D202" s="699"/>
      <c r="E202" s="699"/>
      <c r="F202" s="699"/>
      <c r="G202" s="699"/>
      <c r="H202" s="699"/>
      <c r="I202" s="699"/>
      <c r="J202" s="699"/>
      <c r="K202" s="699"/>
      <c r="L202" s="699"/>
      <c r="M202" s="699">
        <f t="shared" si="30"/>
        <v>150000</v>
      </c>
      <c r="N202" s="699"/>
      <c r="O202" s="699"/>
      <c r="P202" s="699"/>
      <c r="Q202" s="699"/>
      <c r="R202" s="699"/>
      <c r="S202" s="699"/>
      <c r="T202" s="699"/>
      <c r="U202" s="699"/>
      <c r="V202" s="699">
        <f t="shared" si="31"/>
        <v>0</v>
      </c>
      <c r="W202" s="839">
        <f t="shared" si="32"/>
        <v>150000</v>
      </c>
      <c r="X202" s="841"/>
      <c r="Y202" s="841"/>
    </row>
    <row r="203" s="756" customFormat="1" spans="1:25">
      <c r="A203" s="838"/>
      <c r="B203" s="153" t="s">
        <v>423</v>
      </c>
      <c r="C203" s="699">
        <v>25000</v>
      </c>
      <c r="D203" s="699"/>
      <c r="E203" s="699"/>
      <c r="F203" s="699"/>
      <c r="G203" s="699"/>
      <c r="H203" s="699"/>
      <c r="I203" s="699"/>
      <c r="J203" s="699"/>
      <c r="K203" s="699"/>
      <c r="L203" s="699"/>
      <c r="M203" s="699">
        <f t="shared" si="30"/>
        <v>25000</v>
      </c>
      <c r="N203" s="699"/>
      <c r="O203" s="699"/>
      <c r="P203" s="699"/>
      <c r="Q203" s="699"/>
      <c r="R203" s="699"/>
      <c r="S203" s="699"/>
      <c r="T203" s="699"/>
      <c r="U203" s="699"/>
      <c r="V203" s="699">
        <f t="shared" si="31"/>
        <v>0</v>
      </c>
      <c r="W203" s="839">
        <f t="shared" si="32"/>
        <v>25000</v>
      </c>
      <c r="X203" s="841"/>
      <c r="Y203" s="841"/>
    </row>
    <row r="204" s="756" customFormat="1" spans="1:25">
      <c r="A204" s="838"/>
      <c r="B204" s="153" t="s">
        <v>300</v>
      </c>
      <c r="C204" s="699">
        <v>50000</v>
      </c>
      <c r="D204" s="699"/>
      <c r="E204" s="699"/>
      <c r="F204" s="699"/>
      <c r="G204" s="699"/>
      <c r="H204" s="699"/>
      <c r="I204" s="699"/>
      <c r="J204" s="699"/>
      <c r="K204" s="699"/>
      <c r="L204" s="699"/>
      <c r="M204" s="699">
        <f t="shared" si="30"/>
        <v>50000</v>
      </c>
      <c r="N204" s="699"/>
      <c r="O204" s="699"/>
      <c r="P204" s="699"/>
      <c r="Q204" s="699"/>
      <c r="R204" s="699"/>
      <c r="S204" s="699"/>
      <c r="T204" s="699"/>
      <c r="U204" s="699"/>
      <c r="V204" s="699">
        <f t="shared" si="31"/>
        <v>0</v>
      </c>
      <c r="W204" s="839">
        <f t="shared" si="32"/>
        <v>50000</v>
      </c>
      <c r="X204" s="841"/>
      <c r="Y204" s="841"/>
    </row>
    <row r="205" s="757" customFormat="1" spans="1:25">
      <c r="A205" s="842"/>
      <c r="B205" s="153" t="s">
        <v>299</v>
      </c>
      <c r="C205" s="699">
        <v>50000</v>
      </c>
      <c r="D205" s="699"/>
      <c r="E205" s="699"/>
      <c r="F205" s="699"/>
      <c r="G205" s="699"/>
      <c r="H205" s="699"/>
      <c r="I205" s="699"/>
      <c r="J205" s="699"/>
      <c r="K205" s="699"/>
      <c r="L205" s="699"/>
      <c r="M205" s="699">
        <f t="shared" si="30"/>
        <v>50000</v>
      </c>
      <c r="N205" s="699"/>
      <c r="O205" s="699"/>
      <c r="P205" s="699"/>
      <c r="Q205" s="699"/>
      <c r="R205" s="699"/>
      <c r="S205" s="699"/>
      <c r="T205" s="699"/>
      <c r="U205" s="699"/>
      <c r="V205" s="699">
        <f t="shared" si="31"/>
        <v>0</v>
      </c>
      <c r="W205" s="839">
        <f t="shared" si="32"/>
        <v>50000</v>
      </c>
      <c r="X205" s="851"/>
      <c r="Y205" s="851"/>
    </row>
    <row r="206" s="757" customFormat="1" spans="1:25">
      <c r="A206" s="842"/>
      <c r="B206" s="153" t="s">
        <v>424</v>
      </c>
      <c r="C206" s="699"/>
      <c r="D206" s="699"/>
      <c r="E206" s="699"/>
      <c r="F206" s="699"/>
      <c r="G206" s="699"/>
      <c r="H206" s="699"/>
      <c r="I206" s="699"/>
      <c r="J206" s="699">
        <f>SUM('TOKO BENGKEL'!N71)</f>
        <v>232302</v>
      </c>
      <c r="K206" s="699"/>
      <c r="L206" s="699"/>
      <c r="M206" s="699">
        <f t="shared" si="30"/>
        <v>232302</v>
      </c>
      <c r="N206" s="699"/>
      <c r="O206" s="699"/>
      <c r="P206" s="699"/>
      <c r="Q206" s="699"/>
      <c r="R206" s="699"/>
      <c r="S206" s="699"/>
      <c r="T206" s="699"/>
      <c r="U206" s="699"/>
      <c r="V206" s="699">
        <f t="shared" si="31"/>
        <v>0</v>
      </c>
      <c r="W206" s="839">
        <f t="shared" si="32"/>
        <v>232302</v>
      </c>
      <c r="X206" s="851"/>
      <c r="Y206" s="851"/>
    </row>
    <row r="207" s="757" customFormat="1" spans="1:25">
      <c r="A207" s="842"/>
      <c r="B207" s="153" t="s">
        <v>425</v>
      </c>
      <c r="C207" s="699">
        <v>160000</v>
      </c>
      <c r="D207" s="699"/>
      <c r="E207" s="699"/>
      <c r="F207" s="699"/>
      <c r="G207" s="699"/>
      <c r="H207" s="699"/>
      <c r="I207" s="699"/>
      <c r="J207" s="699"/>
      <c r="K207" s="699"/>
      <c r="L207" s="699"/>
      <c r="M207" s="699">
        <f t="shared" ref="M207:M247" si="33">SUM(C207:L207)</f>
        <v>160000</v>
      </c>
      <c r="N207" s="699"/>
      <c r="O207" s="699"/>
      <c r="P207" s="699"/>
      <c r="Q207" s="699"/>
      <c r="R207" s="699"/>
      <c r="S207" s="699"/>
      <c r="T207" s="699"/>
      <c r="U207" s="699"/>
      <c r="V207" s="699">
        <f t="shared" ref="V207:V216" si="34">SUM(N207:U207)</f>
        <v>0</v>
      </c>
      <c r="W207" s="839">
        <f t="shared" ref="W207:W216" si="35">SUM(M207-V207)</f>
        <v>160000</v>
      </c>
      <c r="X207" s="851"/>
      <c r="Y207" s="851"/>
    </row>
    <row r="208" s="757" customFormat="1" spans="1:25">
      <c r="A208" s="842"/>
      <c r="B208" s="153" t="s">
        <v>426</v>
      </c>
      <c r="C208" s="699">
        <v>25000</v>
      </c>
      <c r="D208" s="699"/>
      <c r="E208" s="699"/>
      <c r="F208" s="699"/>
      <c r="G208" s="699"/>
      <c r="H208" s="699"/>
      <c r="I208" s="699"/>
      <c r="J208" s="699"/>
      <c r="K208" s="699"/>
      <c r="L208" s="699"/>
      <c r="M208" s="699">
        <f t="shared" si="33"/>
        <v>25000</v>
      </c>
      <c r="N208" s="699"/>
      <c r="O208" s="699"/>
      <c r="P208" s="699"/>
      <c r="Q208" s="699"/>
      <c r="R208" s="699"/>
      <c r="S208" s="699"/>
      <c r="T208" s="699"/>
      <c r="U208" s="699"/>
      <c r="V208" s="699">
        <f t="shared" si="34"/>
        <v>0</v>
      </c>
      <c r="W208" s="839">
        <f t="shared" si="35"/>
        <v>25000</v>
      </c>
      <c r="X208" s="851"/>
      <c r="Y208" s="851"/>
    </row>
    <row r="209" s="756" customFormat="1" spans="1:25">
      <c r="A209" s="838"/>
      <c r="B209" s="153" t="s">
        <v>427</v>
      </c>
      <c r="C209" s="699">
        <v>50000</v>
      </c>
      <c r="D209" s="699"/>
      <c r="E209" s="699"/>
      <c r="F209" s="699"/>
      <c r="G209" s="699"/>
      <c r="H209" s="699"/>
      <c r="I209" s="699"/>
      <c r="J209" s="699"/>
      <c r="K209" s="699"/>
      <c r="L209" s="699"/>
      <c r="M209" s="699">
        <f t="shared" si="33"/>
        <v>50000</v>
      </c>
      <c r="N209" s="803"/>
      <c r="O209" s="803"/>
      <c r="P209" s="803"/>
      <c r="Q209" s="803"/>
      <c r="R209" s="803"/>
      <c r="S209" s="803"/>
      <c r="T209" s="803"/>
      <c r="U209" s="803"/>
      <c r="V209" s="803">
        <f t="shared" si="34"/>
        <v>0</v>
      </c>
      <c r="W209" s="839">
        <f t="shared" si="35"/>
        <v>50000</v>
      </c>
      <c r="X209" s="841"/>
      <c r="Y209" s="841"/>
    </row>
    <row r="210" s="756" customFormat="1" spans="1:25">
      <c r="A210" s="838"/>
      <c r="B210" s="153" t="s">
        <v>428</v>
      </c>
      <c r="C210" s="699"/>
      <c r="D210" s="699"/>
      <c r="E210" s="699">
        <v>1031641</v>
      </c>
      <c r="F210" s="699"/>
      <c r="G210" s="699"/>
      <c r="H210" s="699"/>
      <c r="I210" s="699"/>
      <c r="J210" s="699"/>
      <c r="K210" s="699"/>
      <c r="L210" s="699"/>
      <c r="M210" s="699">
        <f t="shared" si="33"/>
        <v>1031641</v>
      </c>
      <c r="N210" s="803"/>
      <c r="O210" s="803"/>
      <c r="P210" s="803"/>
      <c r="Q210" s="803"/>
      <c r="R210" s="803"/>
      <c r="S210" s="803"/>
      <c r="T210" s="803"/>
      <c r="U210" s="803"/>
      <c r="V210" s="803">
        <f t="shared" si="34"/>
        <v>0</v>
      </c>
      <c r="W210" s="839">
        <f t="shared" si="35"/>
        <v>1031641</v>
      </c>
      <c r="X210" s="841"/>
      <c r="Y210" s="841"/>
    </row>
    <row r="211" s="756" customFormat="1" spans="1:25">
      <c r="A211" s="838"/>
      <c r="B211" s="153" t="s">
        <v>429</v>
      </c>
      <c r="C211" s="699"/>
      <c r="D211" s="699"/>
      <c r="E211" s="699">
        <v>136000</v>
      </c>
      <c r="F211" s="699"/>
      <c r="G211" s="699"/>
      <c r="H211" s="699"/>
      <c r="I211" s="699"/>
      <c r="J211" s="699"/>
      <c r="K211" s="699"/>
      <c r="L211" s="699"/>
      <c r="M211" s="699">
        <f t="shared" si="33"/>
        <v>136000</v>
      </c>
      <c r="N211" s="803"/>
      <c r="O211" s="803"/>
      <c r="P211" s="803"/>
      <c r="Q211" s="803"/>
      <c r="R211" s="803"/>
      <c r="S211" s="803"/>
      <c r="T211" s="803"/>
      <c r="U211" s="803"/>
      <c r="V211" s="803">
        <f t="shared" si="34"/>
        <v>0</v>
      </c>
      <c r="W211" s="839">
        <f t="shared" si="35"/>
        <v>136000</v>
      </c>
      <c r="X211" s="841"/>
      <c r="Y211" s="841"/>
    </row>
    <row r="212" s="756" customFormat="1" spans="1:25">
      <c r="A212" s="838"/>
      <c r="B212" s="153" t="s">
        <v>430</v>
      </c>
      <c r="C212" s="699"/>
      <c r="D212" s="699"/>
      <c r="E212" s="699">
        <v>40000</v>
      </c>
      <c r="F212" s="699"/>
      <c r="G212" s="699"/>
      <c r="H212" s="699"/>
      <c r="I212" s="699"/>
      <c r="J212" s="699"/>
      <c r="K212" s="699"/>
      <c r="L212" s="699"/>
      <c r="M212" s="699">
        <f t="shared" si="33"/>
        <v>40000</v>
      </c>
      <c r="N212" s="803"/>
      <c r="O212" s="803"/>
      <c r="P212" s="803"/>
      <c r="Q212" s="803"/>
      <c r="R212" s="803"/>
      <c r="S212" s="803"/>
      <c r="T212" s="803"/>
      <c r="U212" s="803"/>
      <c r="V212" s="803">
        <f t="shared" si="34"/>
        <v>0</v>
      </c>
      <c r="W212" s="839">
        <f t="shared" si="35"/>
        <v>40000</v>
      </c>
      <c r="X212" s="841"/>
      <c r="Y212" s="841"/>
    </row>
    <row r="213" s="756" customFormat="1" spans="1:25">
      <c r="A213" s="838"/>
      <c r="B213" s="153" t="s">
        <v>431</v>
      </c>
      <c r="C213" s="699">
        <v>2000000</v>
      </c>
      <c r="D213" s="699"/>
      <c r="E213" s="699"/>
      <c r="F213" s="699"/>
      <c r="G213" s="699"/>
      <c r="H213" s="699"/>
      <c r="I213" s="699"/>
      <c r="J213" s="699"/>
      <c r="K213" s="699"/>
      <c r="L213" s="699"/>
      <c r="M213" s="699">
        <f t="shared" si="33"/>
        <v>2000000</v>
      </c>
      <c r="N213" s="803"/>
      <c r="O213" s="803"/>
      <c r="P213" s="803"/>
      <c r="Q213" s="803"/>
      <c r="R213" s="803"/>
      <c r="S213" s="803"/>
      <c r="T213" s="803"/>
      <c r="U213" s="803"/>
      <c r="V213" s="803">
        <f t="shared" si="34"/>
        <v>0</v>
      </c>
      <c r="W213" s="839">
        <f t="shared" si="35"/>
        <v>2000000</v>
      </c>
      <c r="X213" s="841"/>
      <c r="Y213" s="841"/>
    </row>
    <row r="214" s="756" customFormat="1" spans="1:25">
      <c r="A214" s="838"/>
      <c r="B214" s="153" t="s">
        <v>432</v>
      </c>
      <c r="C214" s="699"/>
      <c r="D214" s="699">
        <v>12558000</v>
      </c>
      <c r="E214" s="699"/>
      <c r="F214" s="699"/>
      <c r="G214" s="699"/>
      <c r="H214" s="699"/>
      <c r="I214" s="699"/>
      <c r="J214" s="699"/>
      <c r="K214" s="699"/>
      <c r="L214" s="699"/>
      <c r="M214" s="699">
        <f t="shared" si="33"/>
        <v>12558000</v>
      </c>
      <c r="N214" s="803"/>
      <c r="O214" s="803"/>
      <c r="P214" s="803"/>
      <c r="Q214" s="803"/>
      <c r="R214" s="803"/>
      <c r="S214" s="803"/>
      <c r="T214" s="803"/>
      <c r="U214" s="803"/>
      <c r="V214" s="803">
        <f t="shared" si="34"/>
        <v>0</v>
      </c>
      <c r="W214" s="839">
        <f t="shared" si="35"/>
        <v>12558000</v>
      </c>
      <c r="X214" s="841"/>
      <c r="Y214" s="841"/>
    </row>
    <row r="215" s="756" customFormat="1" spans="1:25">
      <c r="A215" s="838"/>
      <c r="B215" s="153" t="s">
        <v>433</v>
      </c>
      <c r="C215" s="699">
        <v>50000</v>
      </c>
      <c r="D215" s="699"/>
      <c r="E215" s="699"/>
      <c r="F215" s="699"/>
      <c r="G215" s="699"/>
      <c r="H215" s="699"/>
      <c r="I215" s="699"/>
      <c r="J215" s="699"/>
      <c r="K215" s="699"/>
      <c r="L215" s="699"/>
      <c r="M215" s="699">
        <f t="shared" si="33"/>
        <v>50000</v>
      </c>
      <c r="N215" s="803"/>
      <c r="O215" s="803"/>
      <c r="P215" s="803"/>
      <c r="Q215" s="803"/>
      <c r="R215" s="803"/>
      <c r="S215" s="803"/>
      <c r="T215" s="803"/>
      <c r="U215" s="803"/>
      <c r="V215" s="803">
        <f t="shared" si="34"/>
        <v>0</v>
      </c>
      <c r="W215" s="839">
        <f t="shared" si="35"/>
        <v>50000</v>
      </c>
      <c r="X215" s="841"/>
      <c r="Y215" s="841"/>
    </row>
    <row r="216" s="756" customFormat="1" spans="1:25">
      <c r="A216" s="838"/>
      <c r="B216" s="153" t="s">
        <v>434</v>
      </c>
      <c r="C216" s="699">
        <v>50000</v>
      </c>
      <c r="D216" s="699"/>
      <c r="E216" s="699"/>
      <c r="F216" s="699"/>
      <c r="G216" s="699"/>
      <c r="H216" s="699"/>
      <c r="I216" s="699"/>
      <c r="J216" s="699"/>
      <c r="K216" s="699"/>
      <c r="L216" s="699"/>
      <c r="M216" s="699">
        <f t="shared" si="33"/>
        <v>50000</v>
      </c>
      <c r="N216" s="803"/>
      <c r="O216" s="803"/>
      <c r="P216" s="803"/>
      <c r="Q216" s="803"/>
      <c r="R216" s="803"/>
      <c r="S216" s="803"/>
      <c r="T216" s="803"/>
      <c r="U216" s="803"/>
      <c r="V216" s="803">
        <f t="shared" si="34"/>
        <v>0</v>
      </c>
      <c r="W216" s="839">
        <f t="shared" si="35"/>
        <v>50000</v>
      </c>
      <c r="X216" s="841"/>
      <c r="Y216" s="841"/>
    </row>
    <row r="217" s="756" customFormat="1" spans="1:25">
      <c r="A217" s="838"/>
      <c r="B217" s="153" t="s">
        <v>435</v>
      </c>
      <c r="C217" s="699">
        <v>35000</v>
      </c>
      <c r="D217" s="699"/>
      <c r="E217" s="699"/>
      <c r="F217" s="699"/>
      <c r="G217" s="699"/>
      <c r="H217" s="699"/>
      <c r="I217" s="699"/>
      <c r="J217" s="699"/>
      <c r="K217" s="699"/>
      <c r="L217" s="699"/>
      <c r="M217" s="699">
        <f t="shared" si="33"/>
        <v>35000</v>
      </c>
      <c r="N217" s="803"/>
      <c r="O217" s="803"/>
      <c r="P217" s="803"/>
      <c r="Q217" s="803"/>
      <c r="R217" s="803"/>
      <c r="S217" s="803"/>
      <c r="T217" s="803"/>
      <c r="U217" s="803"/>
      <c r="V217" s="803">
        <f t="shared" ref="V217:V225" si="36">SUM(N217:U217)</f>
        <v>0</v>
      </c>
      <c r="W217" s="839">
        <f t="shared" ref="W217:W225" si="37">SUM(M217-V217)</f>
        <v>35000</v>
      </c>
      <c r="X217" s="841"/>
      <c r="Y217" s="841"/>
    </row>
    <row r="218" s="756" customFormat="1" spans="1:25">
      <c r="A218" s="838"/>
      <c r="B218" s="153" t="s">
        <v>436</v>
      </c>
      <c r="C218" s="699">
        <v>300000</v>
      </c>
      <c r="D218" s="699"/>
      <c r="E218" s="699"/>
      <c r="F218" s="699"/>
      <c r="G218" s="699"/>
      <c r="H218" s="699"/>
      <c r="I218" s="699"/>
      <c r="J218" s="699"/>
      <c r="K218" s="699"/>
      <c r="L218" s="699"/>
      <c r="M218" s="699">
        <f t="shared" si="33"/>
        <v>300000</v>
      </c>
      <c r="N218" s="803"/>
      <c r="O218" s="803"/>
      <c r="P218" s="803"/>
      <c r="Q218" s="803"/>
      <c r="R218" s="803"/>
      <c r="S218" s="803"/>
      <c r="T218" s="803"/>
      <c r="U218" s="803"/>
      <c r="V218" s="803">
        <f t="shared" si="36"/>
        <v>0</v>
      </c>
      <c r="W218" s="839">
        <f t="shared" si="37"/>
        <v>300000</v>
      </c>
      <c r="X218" s="841"/>
      <c r="Y218" s="841"/>
    </row>
    <row r="219" s="756" customFormat="1" spans="1:25">
      <c r="A219" s="838"/>
      <c r="B219" s="153" t="s">
        <v>437</v>
      </c>
      <c r="C219" s="699">
        <v>120000</v>
      </c>
      <c r="D219" s="699"/>
      <c r="E219" s="699"/>
      <c r="F219" s="699"/>
      <c r="G219" s="699"/>
      <c r="H219" s="699"/>
      <c r="I219" s="699"/>
      <c r="J219" s="699"/>
      <c r="K219" s="699"/>
      <c r="L219" s="699"/>
      <c r="M219" s="699">
        <f t="shared" si="33"/>
        <v>120000</v>
      </c>
      <c r="N219" s="803"/>
      <c r="O219" s="803"/>
      <c r="P219" s="803"/>
      <c r="Q219" s="803"/>
      <c r="R219" s="803"/>
      <c r="S219" s="803"/>
      <c r="T219" s="803"/>
      <c r="U219" s="803"/>
      <c r="V219" s="803">
        <f t="shared" si="36"/>
        <v>0</v>
      </c>
      <c r="W219" s="839">
        <f t="shared" si="37"/>
        <v>120000</v>
      </c>
      <c r="X219" s="841"/>
      <c r="Y219" s="841"/>
    </row>
    <row r="220" s="756" customFormat="1" spans="1:25">
      <c r="A220" s="838"/>
      <c r="B220" s="153" t="s">
        <v>438</v>
      </c>
      <c r="C220" s="699">
        <v>200000</v>
      </c>
      <c r="D220" s="699"/>
      <c r="E220" s="699"/>
      <c r="F220" s="699"/>
      <c r="G220" s="699"/>
      <c r="H220" s="699"/>
      <c r="I220" s="699"/>
      <c r="J220" s="699"/>
      <c r="K220" s="699"/>
      <c r="L220" s="699"/>
      <c r="M220" s="699">
        <f t="shared" si="33"/>
        <v>200000</v>
      </c>
      <c r="N220" s="803"/>
      <c r="O220" s="803"/>
      <c r="P220" s="803"/>
      <c r="Q220" s="803"/>
      <c r="R220" s="803"/>
      <c r="S220" s="803"/>
      <c r="T220" s="803"/>
      <c r="U220" s="803"/>
      <c r="V220" s="803">
        <f t="shared" si="36"/>
        <v>0</v>
      </c>
      <c r="W220" s="839">
        <f t="shared" si="37"/>
        <v>200000</v>
      </c>
      <c r="X220" s="841"/>
      <c r="Y220" s="841"/>
    </row>
    <row r="221" s="756" customFormat="1" spans="1:25">
      <c r="A221" s="838"/>
      <c r="B221" s="153" t="s">
        <v>439</v>
      </c>
      <c r="C221" s="699">
        <v>30000</v>
      </c>
      <c r="D221" s="699"/>
      <c r="E221" s="699"/>
      <c r="F221" s="699"/>
      <c r="G221" s="699"/>
      <c r="H221" s="699"/>
      <c r="I221" s="699"/>
      <c r="J221" s="699"/>
      <c r="K221" s="699"/>
      <c r="L221" s="699"/>
      <c r="M221" s="699">
        <f t="shared" si="33"/>
        <v>30000</v>
      </c>
      <c r="N221" s="803"/>
      <c r="O221" s="803"/>
      <c r="P221" s="803"/>
      <c r="Q221" s="803"/>
      <c r="R221" s="803"/>
      <c r="S221" s="803"/>
      <c r="T221" s="803"/>
      <c r="U221" s="803"/>
      <c r="V221" s="803">
        <f t="shared" si="36"/>
        <v>0</v>
      </c>
      <c r="W221" s="839">
        <f t="shared" si="37"/>
        <v>30000</v>
      </c>
      <c r="X221" s="841"/>
      <c r="Y221" s="841"/>
    </row>
    <row r="222" s="756" customFormat="1" spans="1:25">
      <c r="A222" s="838"/>
      <c r="B222" s="153" t="s">
        <v>440</v>
      </c>
      <c r="C222" s="699"/>
      <c r="D222" s="699"/>
      <c r="E222" s="699"/>
      <c r="F222" s="699">
        <v>800000</v>
      </c>
      <c r="G222" s="699"/>
      <c r="H222" s="699"/>
      <c r="I222" s="699"/>
      <c r="J222" s="699"/>
      <c r="K222" s="699"/>
      <c r="L222" s="699"/>
      <c r="M222" s="699">
        <f t="shared" si="33"/>
        <v>800000</v>
      </c>
      <c r="N222" s="803"/>
      <c r="O222" s="803"/>
      <c r="P222" s="803"/>
      <c r="Q222" s="803"/>
      <c r="R222" s="803"/>
      <c r="S222" s="803"/>
      <c r="T222" s="803"/>
      <c r="U222" s="803"/>
      <c r="V222" s="803">
        <f t="shared" si="36"/>
        <v>0</v>
      </c>
      <c r="W222" s="839">
        <f t="shared" si="37"/>
        <v>800000</v>
      </c>
      <c r="X222" s="841"/>
      <c r="Y222" s="841"/>
    </row>
    <row r="223" s="756" customFormat="1" spans="1:25">
      <c r="A223" s="838"/>
      <c r="B223" s="153" t="s">
        <v>441</v>
      </c>
      <c r="C223" s="699">
        <v>50000</v>
      </c>
      <c r="D223" s="699"/>
      <c r="E223" s="699"/>
      <c r="F223" s="699"/>
      <c r="G223" s="699"/>
      <c r="H223" s="699"/>
      <c r="I223" s="699"/>
      <c r="J223" s="699"/>
      <c r="K223" s="699"/>
      <c r="L223" s="699"/>
      <c r="M223" s="699">
        <f t="shared" si="33"/>
        <v>50000</v>
      </c>
      <c r="N223" s="803"/>
      <c r="O223" s="803"/>
      <c r="P223" s="803"/>
      <c r="Q223" s="803"/>
      <c r="R223" s="803"/>
      <c r="S223" s="803"/>
      <c r="T223" s="803"/>
      <c r="U223" s="803"/>
      <c r="V223" s="803">
        <f t="shared" si="36"/>
        <v>0</v>
      </c>
      <c r="W223" s="839">
        <f t="shared" si="37"/>
        <v>50000</v>
      </c>
      <c r="X223" s="841"/>
      <c r="Y223" s="841"/>
    </row>
    <row r="224" s="756" customFormat="1" spans="1:25">
      <c r="A224" s="838"/>
      <c r="B224" s="153" t="s">
        <v>442</v>
      </c>
      <c r="C224" s="699">
        <v>150000</v>
      </c>
      <c r="D224" s="699"/>
      <c r="E224" s="699"/>
      <c r="F224" s="699"/>
      <c r="G224" s="699"/>
      <c r="H224" s="699"/>
      <c r="I224" s="699"/>
      <c r="J224" s="699"/>
      <c r="K224" s="699"/>
      <c r="L224" s="699"/>
      <c r="M224" s="699">
        <f t="shared" si="33"/>
        <v>150000</v>
      </c>
      <c r="N224" s="803"/>
      <c r="O224" s="803"/>
      <c r="P224" s="803"/>
      <c r="Q224" s="803"/>
      <c r="R224" s="803"/>
      <c r="S224" s="803"/>
      <c r="T224" s="803"/>
      <c r="U224" s="803"/>
      <c r="V224" s="803">
        <f t="shared" si="36"/>
        <v>0</v>
      </c>
      <c r="W224" s="839">
        <f t="shared" si="37"/>
        <v>150000</v>
      </c>
      <c r="X224" s="841"/>
      <c r="Y224" s="841"/>
    </row>
    <row r="225" s="756" customFormat="1" spans="1:25">
      <c r="A225" s="838"/>
      <c r="B225" s="819" t="s">
        <v>443</v>
      </c>
      <c r="C225" s="771"/>
      <c r="D225" s="771"/>
      <c r="E225" s="771"/>
      <c r="F225" s="771"/>
      <c r="G225" s="771"/>
      <c r="H225" s="771"/>
      <c r="I225" s="771"/>
      <c r="J225" s="771"/>
      <c r="K225" s="771"/>
      <c r="L225" s="771"/>
      <c r="M225" s="771">
        <f t="shared" si="33"/>
        <v>0</v>
      </c>
      <c r="N225" s="804"/>
      <c r="O225" s="804"/>
      <c r="P225" s="804"/>
      <c r="Q225" s="804"/>
      <c r="R225" s="804"/>
      <c r="S225" s="804">
        <v>150000</v>
      </c>
      <c r="T225" s="804"/>
      <c r="U225" s="804"/>
      <c r="V225" s="804">
        <f t="shared" si="36"/>
        <v>150000</v>
      </c>
      <c r="W225" s="840">
        <f t="shared" si="37"/>
        <v>-150000</v>
      </c>
      <c r="X225" s="852"/>
      <c r="Y225" s="841"/>
    </row>
    <row r="226" s="756" customFormat="1" spans="1:25">
      <c r="A226" s="838"/>
      <c r="B226" s="153" t="s">
        <v>414</v>
      </c>
      <c r="C226" s="699">
        <v>150000</v>
      </c>
      <c r="D226" s="699"/>
      <c r="E226" s="699"/>
      <c r="F226" s="699"/>
      <c r="G226" s="699"/>
      <c r="H226" s="699"/>
      <c r="I226" s="699"/>
      <c r="J226" s="699"/>
      <c r="K226" s="699"/>
      <c r="L226" s="699"/>
      <c r="M226" s="699">
        <f t="shared" si="33"/>
        <v>150000</v>
      </c>
      <c r="N226" s="803"/>
      <c r="O226" s="803"/>
      <c r="P226" s="803"/>
      <c r="Q226" s="803"/>
      <c r="R226" s="803"/>
      <c r="S226" s="803"/>
      <c r="T226" s="803"/>
      <c r="U226" s="803"/>
      <c r="V226" s="803">
        <f t="shared" ref="V226:V247" si="38">SUM(N226:U226)</f>
        <v>0</v>
      </c>
      <c r="W226" s="839">
        <f t="shared" ref="W226:W247" si="39">SUM(M226-V226)</f>
        <v>150000</v>
      </c>
      <c r="X226" s="841"/>
      <c r="Y226" s="841"/>
    </row>
    <row r="227" s="756" customFormat="1" spans="1:25">
      <c r="A227" s="838"/>
      <c r="B227" s="843" t="s">
        <v>444</v>
      </c>
      <c r="C227" s="699">
        <v>120000</v>
      </c>
      <c r="D227" s="699"/>
      <c r="E227" s="699"/>
      <c r="F227" s="699"/>
      <c r="G227" s="699"/>
      <c r="H227" s="699"/>
      <c r="I227" s="699"/>
      <c r="J227" s="699"/>
      <c r="K227" s="699"/>
      <c r="L227" s="699"/>
      <c r="M227" s="699">
        <f t="shared" si="33"/>
        <v>120000</v>
      </c>
      <c r="N227" s="803"/>
      <c r="O227" s="803"/>
      <c r="P227" s="803"/>
      <c r="Q227" s="803"/>
      <c r="R227" s="803"/>
      <c r="S227" s="803"/>
      <c r="T227" s="803"/>
      <c r="U227" s="803"/>
      <c r="V227" s="803"/>
      <c r="W227" s="839">
        <f t="shared" si="39"/>
        <v>120000</v>
      </c>
      <c r="X227" s="841"/>
      <c r="Y227" s="841"/>
    </row>
    <row r="228" s="756" customFormat="1" spans="1:25">
      <c r="A228" s="838"/>
      <c r="B228" s="153" t="s">
        <v>278</v>
      </c>
      <c r="C228" s="699">
        <v>100000</v>
      </c>
      <c r="D228" s="699"/>
      <c r="E228" s="699"/>
      <c r="F228" s="699"/>
      <c r="G228" s="699"/>
      <c r="H228" s="699"/>
      <c r="I228" s="699"/>
      <c r="J228" s="699"/>
      <c r="K228" s="699"/>
      <c r="L228" s="699"/>
      <c r="M228" s="699">
        <f t="shared" si="33"/>
        <v>100000</v>
      </c>
      <c r="N228" s="803"/>
      <c r="O228" s="803"/>
      <c r="P228" s="803"/>
      <c r="Q228" s="803"/>
      <c r="R228" s="803"/>
      <c r="S228" s="803"/>
      <c r="T228" s="803"/>
      <c r="U228" s="803"/>
      <c r="V228" s="803"/>
      <c r="W228" s="839">
        <f t="shared" si="39"/>
        <v>100000</v>
      </c>
      <c r="X228" s="841"/>
      <c r="Y228" s="841"/>
    </row>
    <row r="229" s="756" customFormat="1" spans="1:25">
      <c r="A229" s="838"/>
      <c r="B229" s="153" t="s">
        <v>445</v>
      </c>
      <c r="C229" s="699">
        <v>100000</v>
      </c>
      <c r="D229" s="699"/>
      <c r="E229" s="699"/>
      <c r="F229" s="699"/>
      <c r="G229" s="699"/>
      <c r="H229" s="699"/>
      <c r="I229" s="699"/>
      <c r="J229" s="699"/>
      <c r="K229" s="699"/>
      <c r="L229" s="699"/>
      <c r="M229" s="699">
        <f t="shared" si="33"/>
        <v>100000</v>
      </c>
      <c r="N229" s="803"/>
      <c r="O229" s="803"/>
      <c r="P229" s="803"/>
      <c r="Q229" s="803"/>
      <c r="R229" s="803"/>
      <c r="S229" s="803"/>
      <c r="T229" s="803"/>
      <c r="U229" s="803"/>
      <c r="V229" s="803">
        <f t="shared" si="38"/>
        <v>0</v>
      </c>
      <c r="W229" s="839">
        <f t="shared" si="39"/>
        <v>100000</v>
      </c>
      <c r="X229" s="841"/>
      <c r="Y229" s="841"/>
    </row>
    <row r="230" s="756" customFormat="1" spans="1:25">
      <c r="A230" s="838"/>
      <c r="B230" s="153" t="s">
        <v>446</v>
      </c>
      <c r="C230" s="699">
        <v>200000</v>
      </c>
      <c r="D230" s="699"/>
      <c r="E230" s="699"/>
      <c r="F230" s="699"/>
      <c r="G230" s="699"/>
      <c r="H230" s="699"/>
      <c r="I230" s="699"/>
      <c r="J230" s="699"/>
      <c r="K230" s="699"/>
      <c r="L230" s="699"/>
      <c r="M230" s="699">
        <f t="shared" si="33"/>
        <v>200000</v>
      </c>
      <c r="N230" s="803"/>
      <c r="O230" s="803"/>
      <c r="P230" s="803"/>
      <c r="Q230" s="803"/>
      <c r="R230" s="803"/>
      <c r="S230" s="803"/>
      <c r="T230" s="803"/>
      <c r="U230" s="803"/>
      <c r="V230" s="803">
        <f t="shared" si="38"/>
        <v>0</v>
      </c>
      <c r="W230" s="839">
        <f t="shared" si="39"/>
        <v>200000</v>
      </c>
      <c r="X230" s="841"/>
      <c r="Y230" s="841"/>
    </row>
    <row r="231" s="756" customFormat="1" spans="1:25">
      <c r="A231" s="838"/>
      <c r="B231" s="153" t="s">
        <v>447</v>
      </c>
      <c r="C231" s="699">
        <v>100000</v>
      </c>
      <c r="D231" s="699"/>
      <c r="E231" s="699"/>
      <c r="F231" s="699"/>
      <c r="G231" s="699"/>
      <c r="H231" s="699"/>
      <c r="I231" s="699"/>
      <c r="J231" s="699"/>
      <c r="K231" s="699"/>
      <c r="L231" s="699"/>
      <c r="M231" s="699">
        <f t="shared" si="33"/>
        <v>100000</v>
      </c>
      <c r="N231" s="803"/>
      <c r="O231" s="803"/>
      <c r="P231" s="803"/>
      <c r="Q231" s="803"/>
      <c r="R231" s="803"/>
      <c r="S231" s="803"/>
      <c r="T231" s="803"/>
      <c r="U231" s="803"/>
      <c r="V231" s="803">
        <f t="shared" si="38"/>
        <v>0</v>
      </c>
      <c r="W231" s="839">
        <f t="shared" si="39"/>
        <v>100000</v>
      </c>
      <c r="X231" s="841"/>
      <c r="Y231" s="841"/>
    </row>
    <row r="232" s="756" customFormat="1" spans="1:25">
      <c r="A232" s="838"/>
      <c r="B232" s="153" t="s">
        <v>289</v>
      </c>
      <c r="C232" s="699">
        <v>100000</v>
      </c>
      <c r="D232" s="699"/>
      <c r="E232" s="699"/>
      <c r="F232" s="699"/>
      <c r="G232" s="699"/>
      <c r="H232" s="699"/>
      <c r="I232" s="699"/>
      <c r="J232" s="699"/>
      <c r="K232" s="699"/>
      <c r="L232" s="699"/>
      <c r="M232" s="699">
        <f t="shared" si="33"/>
        <v>100000</v>
      </c>
      <c r="N232" s="803"/>
      <c r="O232" s="803"/>
      <c r="P232" s="803"/>
      <c r="Q232" s="803"/>
      <c r="R232" s="803"/>
      <c r="S232" s="803"/>
      <c r="T232" s="803"/>
      <c r="U232" s="803"/>
      <c r="V232" s="803">
        <f t="shared" si="38"/>
        <v>0</v>
      </c>
      <c r="W232" s="839">
        <f t="shared" si="39"/>
        <v>100000</v>
      </c>
      <c r="X232" s="841"/>
      <c r="Y232" s="841"/>
    </row>
    <row r="233" s="756" customFormat="1" spans="1:25">
      <c r="A233" s="838"/>
      <c r="B233" s="153" t="s">
        <v>448</v>
      </c>
      <c r="C233" s="699">
        <v>100000</v>
      </c>
      <c r="D233" s="699"/>
      <c r="E233" s="699"/>
      <c r="F233" s="699"/>
      <c r="G233" s="699"/>
      <c r="H233" s="699"/>
      <c r="I233" s="699"/>
      <c r="J233" s="699"/>
      <c r="K233" s="699"/>
      <c r="L233" s="699"/>
      <c r="M233" s="699">
        <f t="shared" si="33"/>
        <v>100000</v>
      </c>
      <c r="N233" s="803"/>
      <c r="O233" s="803"/>
      <c r="P233" s="803"/>
      <c r="Q233" s="803"/>
      <c r="R233" s="803"/>
      <c r="S233" s="803"/>
      <c r="T233" s="803"/>
      <c r="U233" s="803"/>
      <c r="V233" s="803">
        <f t="shared" si="38"/>
        <v>0</v>
      </c>
      <c r="W233" s="839">
        <f t="shared" si="39"/>
        <v>100000</v>
      </c>
      <c r="X233" s="841"/>
      <c r="Y233" s="841"/>
    </row>
    <row r="234" s="756" customFormat="1" spans="1:25">
      <c r="A234" s="838"/>
      <c r="B234" s="153" t="s">
        <v>392</v>
      </c>
      <c r="C234" s="699">
        <v>200000</v>
      </c>
      <c r="D234" s="699"/>
      <c r="E234" s="699"/>
      <c r="F234" s="699"/>
      <c r="G234" s="699"/>
      <c r="H234" s="699"/>
      <c r="I234" s="699"/>
      <c r="J234" s="699"/>
      <c r="K234" s="699"/>
      <c r="L234" s="699"/>
      <c r="M234" s="699">
        <f t="shared" si="33"/>
        <v>200000</v>
      </c>
      <c r="N234" s="699"/>
      <c r="O234" s="803"/>
      <c r="P234" s="803"/>
      <c r="Q234" s="803"/>
      <c r="R234" s="803"/>
      <c r="S234" s="803"/>
      <c r="T234" s="803"/>
      <c r="U234" s="803"/>
      <c r="V234" s="803">
        <f t="shared" si="38"/>
        <v>0</v>
      </c>
      <c r="W234" s="839">
        <f t="shared" si="39"/>
        <v>200000</v>
      </c>
      <c r="X234" s="841"/>
      <c r="Y234" s="841"/>
    </row>
    <row r="235" s="756" customFormat="1" spans="1:25">
      <c r="A235" s="838"/>
      <c r="B235" s="153" t="s">
        <v>449</v>
      </c>
      <c r="C235" s="699"/>
      <c r="D235" s="699">
        <v>500000</v>
      </c>
      <c r="E235" s="699"/>
      <c r="F235" s="699"/>
      <c r="G235" s="699"/>
      <c r="H235" s="699"/>
      <c r="I235" s="699"/>
      <c r="J235" s="699"/>
      <c r="K235" s="699"/>
      <c r="L235" s="699"/>
      <c r="M235" s="699">
        <f t="shared" si="33"/>
        <v>500000</v>
      </c>
      <c r="N235" s="803"/>
      <c r="O235" s="803"/>
      <c r="P235" s="803"/>
      <c r="Q235" s="803"/>
      <c r="R235" s="803"/>
      <c r="S235" s="803"/>
      <c r="T235" s="803"/>
      <c r="U235" s="803"/>
      <c r="V235" s="803">
        <f t="shared" si="38"/>
        <v>0</v>
      </c>
      <c r="W235" s="839">
        <f t="shared" si="39"/>
        <v>500000</v>
      </c>
      <c r="X235" s="841"/>
      <c r="Y235" s="841"/>
    </row>
    <row r="236" s="756" customFormat="1" spans="1:25">
      <c r="A236" s="838"/>
      <c r="B236" s="153" t="s">
        <v>450</v>
      </c>
      <c r="C236" s="699"/>
      <c r="D236" s="699">
        <v>200000</v>
      </c>
      <c r="E236" s="699"/>
      <c r="F236" s="699"/>
      <c r="G236" s="699"/>
      <c r="H236" s="699"/>
      <c r="I236" s="699"/>
      <c r="J236" s="699"/>
      <c r="K236" s="699"/>
      <c r="L236" s="699"/>
      <c r="M236" s="699">
        <f t="shared" si="33"/>
        <v>200000</v>
      </c>
      <c r="N236" s="803"/>
      <c r="O236" s="803"/>
      <c r="P236" s="803"/>
      <c r="Q236" s="803"/>
      <c r="R236" s="803"/>
      <c r="S236" s="803"/>
      <c r="T236" s="803"/>
      <c r="U236" s="803"/>
      <c r="V236" s="803">
        <f t="shared" si="38"/>
        <v>0</v>
      </c>
      <c r="W236" s="839">
        <f t="shared" si="39"/>
        <v>200000</v>
      </c>
      <c r="X236" s="841"/>
      <c r="Y236" s="841"/>
    </row>
    <row r="237" s="756" customFormat="1" spans="1:25">
      <c r="A237" s="838"/>
      <c r="B237" s="153" t="s">
        <v>451</v>
      </c>
      <c r="C237" s="699"/>
      <c r="D237" s="699">
        <v>350000</v>
      </c>
      <c r="E237" s="699"/>
      <c r="F237" s="699"/>
      <c r="G237" s="699"/>
      <c r="H237" s="699"/>
      <c r="I237" s="699"/>
      <c r="J237" s="699"/>
      <c r="K237" s="699"/>
      <c r="L237" s="699"/>
      <c r="M237" s="699">
        <f t="shared" si="33"/>
        <v>350000</v>
      </c>
      <c r="N237" s="803"/>
      <c r="O237" s="803"/>
      <c r="P237" s="803"/>
      <c r="Q237" s="803"/>
      <c r="R237" s="803"/>
      <c r="S237" s="803"/>
      <c r="T237" s="803"/>
      <c r="U237" s="803"/>
      <c r="V237" s="803">
        <f t="shared" si="38"/>
        <v>0</v>
      </c>
      <c r="W237" s="839">
        <f t="shared" si="39"/>
        <v>350000</v>
      </c>
      <c r="X237" s="841"/>
      <c r="Y237" s="841"/>
    </row>
    <row r="238" s="756" customFormat="1" spans="1:25">
      <c r="A238" s="838"/>
      <c r="B238" s="153" t="s">
        <v>452</v>
      </c>
      <c r="C238" s="699"/>
      <c r="D238" s="699">
        <v>220000</v>
      </c>
      <c r="E238" s="699"/>
      <c r="F238" s="699"/>
      <c r="G238" s="699"/>
      <c r="H238" s="699"/>
      <c r="I238" s="699"/>
      <c r="J238" s="699"/>
      <c r="K238" s="699"/>
      <c r="L238" s="699"/>
      <c r="M238" s="699">
        <f t="shared" si="33"/>
        <v>220000</v>
      </c>
      <c r="N238" s="803"/>
      <c r="O238" s="803"/>
      <c r="P238" s="803"/>
      <c r="Q238" s="803"/>
      <c r="R238" s="803"/>
      <c r="S238" s="803"/>
      <c r="T238" s="803"/>
      <c r="U238" s="803"/>
      <c r="V238" s="803">
        <f t="shared" si="38"/>
        <v>0</v>
      </c>
      <c r="W238" s="839">
        <f t="shared" si="39"/>
        <v>220000</v>
      </c>
      <c r="X238" s="841"/>
      <c r="Y238" s="841"/>
    </row>
    <row r="239" s="756" customFormat="1" spans="1:25">
      <c r="A239" s="838"/>
      <c r="B239" s="153" t="s">
        <v>453</v>
      </c>
      <c r="C239" s="699">
        <v>7151169</v>
      </c>
      <c r="D239" s="699"/>
      <c r="E239" s="699"/>
      <c r="F239" s="699"/>
      <c r="G239" s="699"/>
      <c r="H239" s="699"/>
      <c r="I239" s="699"/>
      <c r="J239" s="699"/>
      <c r="K239" s="699"/>
      <c r="L239" s="699"/>
      <c r="M239" s="699">
        <f t="shared" si="33"/>
        <v>7151169</v>
      </c>
      <c r="N239" s="803"/>
      <c r="O239" s="803"/>
      <c r="P239" s="803"/>
      <c r="Q239" s="803"/>
      <c r="R239" s="803"/>
      <c r="S239" s="803"/>
      <c r="T239" s="803"/>
      <c r="U239" s="803"/>
      <c r="V239" s="803">
        <f t="shared" si="38"/>
        <v>0</v>
      </c>
      <c r="W239" s="839">
        <f t="shared" si="39"/>
        <v>7151169</v>
      </c>
      <c r="X239" s="841"/>
      <c r="Y239" s="841"/>
    </row>
    <row r="240" s="756" customFormat="1" spans="1:25">
      <c r="A240" s="838"/>
      <c r="B240" s="153" t="s">
        <v>454</v>
      </c>
      <c r="C240" s="699"/>
      <c r="D240" s="699">
        <v>248831</v>
      </c>
      <c r="E240" s="699"/>
      <c r="F240" s="699"/>
      <c r="G240" s="699"/>
      <c r="H240" s="699"/>
      <c r="I240" s="699"/>
      <c r="J240" s="699"/>
      <c r="K240" s="699"/>
      <c r="L240" s="699"/>
      <c r="M240" s="699">
        <f t="shared" si="33"/>
        <v>248831</v>
      </c>
      <c r="N240" s="803"/>
      <c r="O240" s="803"/>
      <c r="P240" s="803"/>
      <c r="Q240" s="803"/>
      <c r="R240" s="803"/>
      <c r="S240" s="803"/>
      <c r="T240" s="803"/>
      <c r="U240" s="803"/>
      <c r="V240" s="803">
        <f t="shared" si="38"/>
        <v>0</v>
      </c>
      <c r="W240" s="839">
        <f t="shared" si="39"/>
        <v>248831</v>
      </c>
      <c r="X240" s="841"/>
      <c r="Y240" s="841"/>
    </row>
    <row r="241" s="756" customFormat="1" spans="1:25">
      <c r="A241" s="838"/>
      <c r="B241" s="153" t="s">
        <v>455</v>
      </c>
      <c r="C241" s="699">
        <v>110000</v>
      </c>
      <c r="D241" s="699"/>
      <c r="E241" s="699"/>
      <c r="F241" s="699"/>
      <c r="G241" s="699"/>
      <c r="H241" s="699"/>
      <c r="I241" s="699"/>
      <c r="J241" s="699"/>
      <c r="K241" s="699"/>
      <c r="L241" s="699"/>
      <c r="M241" s="699">
        <f t="shared" si="33"/>
        <v>110000</v>
      </c>
      <c r="N241" s="803"/>
      <c r="O241" s="803"/>
      <c r="P241" s="803"/>
      <c r="Q241" s="803"/>
      <c r="R241" s="803"/>
      <c r="S241" s="803"/>
      <c r="T241" s="803"/>
      <c r="U241" s="803"/>
      <c r="V241" s="803">
        <f t="shared" si="38"/>
        <v>0</v>
      </c>
      <c r="W241" s="839">
        <f t="shared" si="39"/>
        <v>110000</v>
      </c>
      <c r="X241" s="841"/>
      <c r="Y241" s="841"/>
    </row>
    <row r="242" s="756" customFormat="1" spans="1:25">
      <c r="A242" s="838"/>
      <c r="B242" s="153" t="s">
        <v>456</v>
      </c>
      <c r="C242" s="699"/>
      <c r="D242" s="699">
        <v>160000</v>
      </c>
      <c r="E242" s="699"/>
      <c r="F242" s="699"/>
      <c r="G242" s="699"/>
      <c r="H242" s="699"/>
      <c r="I242" s="699"/>
      <c r="J242" s="699"/>
      <c r="K242" s="699"/>
      <c r="L242" s="699"/>
      <c r="M242" s="699">
        <f t="shared" si="33"/>
        <v>160000</v>
      </c>
      <c r="N242" s="803"/>
      <c r="O242" s="803"/>
      <c r="P242" s="803"/>
      <c r="Q242" s="803"/>
      <c r="R242" s="803"/>
      <c r="S242" s="803"/>
      <c r="T242" s="803"/>
      <c r="U242" s="803"/>
      <c r="V242" s="803">
        <f t="shared" si="38"/>
        <v>0</v>
      </c>
      <c r="W242" s="839">
        <f t="shared" si="39"/>
        <v>160000</v>
      </c>
      <c r="X242" s="841"/>
      <c r="Y242" s="841"/>
    </row>
    <row r="243" s="756" customFormat="1" spans="1:25">
      <c r="A243" s="838"/>
      <c r="B243" s="844" t="s">
        <v>457</v>
      </c>
      <c r="C243" s="699">
        <v>500000</v>
      </c>
      <c r="D243" s="699"/>
      <c r="E243" s="699"/>
      <c r="F243" s="699"/>
      <c r="G243" s="699"/>
      <c r="H243" s="699"/>
      <c r="I243" s="699"/>
      <c r="J243" s="699"/>
      <c r="K243" s="699"/>
      <c r="L243" s="699"/>
      <c r="M243" s="699">
        <f t="shared" si="33"/>
        <v>500000</v>
      </c>
      <c r="N243" s="803"/>
      <c r="O243" s="803"/>
      <c r="P243" s="803"/>
      <c r="Q243" s="803"/>
      <c r="R243" s="803"/>
      <c r="S243" s="803"/>
      <c r="T243" s="803"/>
      <c r="U243" s="803"/>
      <c r="V243" s="803">
        <f t="shared" si="38"/>
        <v>0</v>
      </c>
      <c r="W243" s="839">
        <f t="shared" si="39"/>
        <v>500000</v>
      </c>
      <c r="X243" s="841"/>
      <c r="Y243" s="841"/>
    </row>
    <row r="244" s="756" customFormat="1" spans="1:25">
      <c r="A244" s="838"/>
      <c r="B244" s="844" t="s">
        <v>458</v>
      </c>
      <c r="C244" s="699">
        <v>250000</v>
      </c>
      <c r="D244" s="699"/>
      <c r="E244" s="699"/>
      <c r="F244" s="699"/>
      <c r="G244" s="699"/>
      <c r="H244" s="699"/>
      <c r="I244" s="699"/>
      <c r="J244" s="699"/>
      <c r="K244" s="699"/>
      <c r="L244" s="699"/>
      <c r="M244" s="699">
        <f t="shared" si="33"/>
        <v>250000</v>
      </c>
      <c r="N244" s="803"/>
      <c r="O244" s="803"/>
      <c r="P244" s="803"/>
      <c r="Q244" s="803"/>
      <c r="R244" s="803"/>
      <c r="S244" s="803"/>
      <c r="T244" s="803"/>
      <c r="U244" s="803"/>
      <c r="V244" s="803">
        <f t="shared" si="38"/>
        <v>0</v>
      </c>
      <c r="W244" s="839">
        <f t="shared" si="39"/>
        <v>250000</v>
      </c>
      <c r="X244" s="841"/>
      <c r="Y244" s="841"/>
    </row>
    <row r="245" s="756" customFormat="1" spans="1:25">
      <c r="A245" s="838"/>
      <c r="B245" s="844" t="s">
        <v>459</v>
      </c>
      <c r="C245" s="699">
        <v>100000</v>
      </c>
      <c r="D245" s="699"/>
      <c r="E245" s="699"/>
      <c r="F245" s="699"/>
      <c r="G245" s="699"/>
      <c r="H245" s="699"/>
      <c r="I245" s="699"/>
      <c r="J245" s="699"/>
      <c r="K245" s="699"/>
      <c r="L245" s="699"/>
      <c r="M245" s="699">
        <f t="shared" si="33"/>
        <v>100000</v>
      </c>
      <c r="N245" s="803"/>
      <c r="O245" s="803"/>
      <c r="P245" s="803"/>
      <c r="Q245" s="803"/>
      <c r="R245" s="803"/>
      <c r="S245" s="803"/>
      <c r="T245" s="803"/>
      <c r="U245" s="803"/>
      <c r="V245" s="803">
        <f t="shared" si="38"/>
        <v>0</v>
      </c>
      <c r="W245" s="839">
        <f t="shared" si="39"/>
        <v>100000</v>
      </c>
      <c r="X245" s="841"/>
      <c r="Y245" s="841"/>
    </row>
    <row r="246" s="756" customFormat="1" spans="1:25">
      <c r="A246" s="838"/>
      <c r="B246" s="844" t="s">
        <v>460</v>
      </c>
      <c r="C246" s="699"/>
      <c r="D246" s="699">
        <v>1184000</v>
      </c>
      <c r="E246" s="699"/>
      <c r="F246" s="699"/>
      <c r="G246" s="699"/>
      <c r="H246" s="699"/>
      <c r="I246" s="699"/>
      <c r="J246" s="699"/>
      <c r="K246" s="699"/>
      <c r="L246" s="699"/>
      <c r="M246" s="699">
        <f t="shared" si="33"/>
        <v>1184000</v>
      </c>
      <c r="N246" s="803"/>
      <c r="O246" s="803"/>
      <c r="P246" s="803"/>
      <c r="Q246" s="803"/>
      <c r="R246" s="803"/>
      <c r="S246" s="803"/>
      <c r="T246" s="803"/>
      <c r="U246" s="803"/>
      <c r="V246" s="803">
        <f t="shared" si="38"/>
        <v>0</v>
      </c>
      <c r="W246" s="839">
        <f t="shared" si="39"/>
        <v>1184000</v>
      </c>
      <c r="X246" s="841"/>
      <c r="Y246" s="841"/>
    </row>
    <row r="247" s="756" customFormat="1" spans="1:25">
      <c r="A247" s="838"/>
      <c r="B247" s="844" t="s">
        <v>461</v>
      </c>
      <c r="C247" s="699"/>
      <c r="D247" s="699">
        <v>280000</v>
      </c>
      <c r="E247" s="699"/>
      <c r="F247" s="699"/>
      <c r="G247" s="699"/>
      <c r="H247" s="699"/>
      <c r="I247" s="699"/>
      <c r="J247" s="699"/>
      <c r="K247" s="699"/>
      <c r="L247" s="699"/>
      <c r="M247" s="699">
        <f t="shared" si="33"/>
        <v>280000</v>
      </c>
      <c r="N247" s="803"/>
      <c r="O247" s="803"/>
      <c r="P247" s="803"/>
      <c r="Q247" s="803"/>
      <c r="R247" s="803"/>
      <c r="S247" s="803"/>
      <c r="T247" s="803"/>
      <c r="U247" s="803"/>
      <c r="V247" s="803">
        <f t="shared" si="38"/>
        <v>0</v>
      </c>
      <c r="W247" s="839">
        <f t="shared" si="39"/>
        <v>280000</v>
      </c>
      <c r="X247" s="841"/>
      <c r="Y247" s="841"/>
    </row>
    <row r="248" s="756" customFormat="1" spans="1:25">
      <c r="A248" s="838"/>
      <c r="B248" s="153" t="s">
        <v>462</v>
      </c>
      <c r="C248" s="699">
        <v>500000</v>
      </c>
      <c r="D248" s="699"/>
      <c r="E248" s="699"/>
      <c r="F248" s="699"/>
      <c r="G248" s="699"/>
      <c r="H248" s="699"/>
      <c r="I248" s="699"/>
      <c r="J248" s="699"/>
      <c r="K248" s="699"/>
      <c r="L248" s="699"/>
      <c r="M248" s="699">
        <f t="shared" ref="M248:M253" si="40">SUM(C248:L248)</f>
        <v>500000</v>
      </c>
      <c r="N248" s="803"/>
      <c r="O248" s="803"/>
      <c r="P248" s="803"/>
      <c r="Q248" s="803"/>
      <c r="R248" s="803"/>
      <c r="S248" s="803"/>
      <c r="T248" s="803"/>
      <c r="U248" s="803"/>
      <c r="V248" s="803">
        <f t="shared" ref="V248:V253" si="41">SUM(N248:U248)</f>
        <v>0</v>
      </c>
      <c r="W248" s="839">
        <f t="shared" ref="W248:W253" si="42">SUM(M248-V248)</f>
        <v>500000</v>
      </c>
      <c r="X248" s="841"/>
      <c r="Y248" s="841"/>
    </row>
    <row r="249" s="756" customFormat="1" spans="1:25">
      <c r="A249" s="838"/>
      <c r="B249" s="844" t="s">
        <v>463</v>
      </c>
      <c r="C249" s="699"/>
      <c r="D249" s="699">
        <v>250000</v>
      </c>
      <c r="E249" s="699"/>
      <c r="F249" s="699"/>
      <c r="G249" s="699"/>
      <c r="H249" s="699"/>
      <c r="I249" s="699"/>
      <c r="J249" s="699"/>
      <c r="K249" s="699"/>
      <c r="L249" s="699"/>
      <c r="M249" s="699">
        <f t="shared" si="40"/>
        <v>250000</v>
      </c>
      <c r="N249" s="803"/>
      <c r="O249" s="803"/>
      <c r="P249" s="803"/>
      <c r="Q249" s="803"/>
      <c r="R249" s="803"/>
      <c r="S249" s="803"/>
      <c r="T249" s="803"/>
      <c r="U249" s="803"/>
      <c r="V249" s="803">
        <f t="shared" si="41"/>
        <v>0</v>
      </c>
      <c r="W249" s="839">
        <f t="shared" si="42"/>
        <v>250000</v>
      </c>
      <c r="X249" s="841"/>
      <c r="Y249" s="841"/>
    </row>
    <row r="250" s="756" customFormat="1" spans="1:25">
      <c r="A250" s="838"/>
      <c r="B250" s="844" t="s">
        <v>464</v>
      </c>
      <c r="C250" s="699"/>
      <c r="D250" s="699">
        <v>500000</v>
      </c>
      <c r="E250" s="699"/>
      <c r="F250" s="699"/>
      <c r="G250" s="699"/>
      <c r="H250" s="699"/>
      <c r="I250" s="699"/>
      <c r="J250" s="699"/>
      <c r="K250" s="699"/>
      <c r="L250" s="699"/>
      <c r="M250" s="699">
        <f t="shared" si="40"/>
        <v>500000</v>
      </c>
      <c r="N250" s="803"/>
      <c r="O250" s="803"/>
      <c r="P250" s="803"/>
      <c r="Q250" s="803"/>
      <c r="R250" s="803"/>
      <c r="S250" s="803"/>
      <c r="T250" s="803"/>
      <c r="U250" s="803"/>
      <c r="V250" s="803">
        <f t="shared" si="41"/>
        <v>0</v>
      </c>
      <c r="W250" s="839">
        <f t="shared" si="42"/>
        <v>500000</v>
      </c>
      <c r="X250" s="841"/>
      <c r="Y250" s="841"/>
    </row>
    <row r="251" s="756" customFormat="1" spans="1:25">
      <c r="A251" s="838"/>
      <c r="B251" s="844" t="s">
        <v>465</v>
      </c>
      <c r="C251" s="699">
        <v>150000</v>
      </c>
      <c r="D251" s="699"/>
      <c r="E251" s="699"/>
      <c r="F251" s="699"/>
      <c r="G251" s="699"/>
      <c r="H251" s="699"/>
      <c r="I251" s="699"/>
      <c r="J251" s="699"/>
      <c r="K251" s="699"/>
      <c r="L251" s="699"/>
      <c r="M251" s="699">
        <f t="shared" si="40"/>
        <v>150000</v>
      </c>
      <c r="N251" s="803"/>
      <c r="O251" s="803"/>
      <c r="P251" s="803"/>
      <c r="Q251" s="803"/>
      <c r="R251" s="803"/>
      <c r="S251" s="803"/>
      <c r="T251" s="803"/>
      <c r="U251" s="803"/>
      <c r="V251" s="803">
        <f t="shared" si="41"/>
        <v>0</v>
      </c>
      <c r="W251" s="839">
        <f t="shared" si="42"/>
        <v>150000</v>
      </c>
      <c r="X251" s="841"/>
      <c r="Y251" s="841"/>
    </row>
    <row r="252" s="756" customFormat="1" spans="1:25">
      <c r="A252" s="838"/>
      <c r="B252" s="845"/>
      <c r="C252" s="699"/>
      <c r="D252" s="699"/>
      <c r="E252" s="699"/>
      <c r="F252" s="699"/>
      <c r="G252" s="699"/>
      <c r="H252" s="699"/>
      <c r="I252" s="699"/>
      <c r="J252" s="699"/>
      <c r="K252" s="699"/>
      <c r="L252" s="699"/>
      <c r="M252" s="699">
        <f t="shared" si="40"/>
        <v>0</v>
      </c>
      <c r="N252" s="803"/>
      <c r="O252" s="803"/>
      <c r="P252" s="803"/>
      <c r="Q252" s="803"/>
      <c r="R252" s="803"/>
      <c r="S252" s="803"/>
      <c r="T252" s="803"/>
      <c r="U252" s="803"/>
      <c r="V252" s="803">
        <f t="shared" si="41"/>
        <v>0</v>
      </c>
      <c r="W252" s="839">
        <f t="shared" si="42"/>
        <v>0</v>
      </c>
      <c r="X252" s="841"/>
      <c r="Y252" s="841"/>
    </row>
    <row r="253" s="756" customFormat="1" spans="1:25">
      <c r="A253" s="838"/>
      <c r="B253" s="153"/>
      <c r="C253" s="699"/>
      <c r="D253" s="699"/>
      <c r="E253" s="699"/>
      <c r="F253" s="699"/>
      <c r="G253" s="699"/>
      <c r="H253" s="699"/>
      <c r="I253" s="699"/>
      <c r="J253" s="699"/>
      <c r="K253" s="699"/>
      <c r="L253" s="699"/>
      <c r="M253" s="699">
        <f t="shared" si="40"/>
        <v>0</v>
      </c>
      <c r="N253" s="803"/>
      <c r="O253" s="803"/>
      <c r="P253" s="803"/>
      <c r="Q253" s="803"/>
      <c r="R253" s="803"/>
      <c r="S253" s="803"/>
      <c r="T253" s="803"/>
      <c r="U253" s="803"/>
      <c r="V253" s="803">
        <f t="shared" si="41"/>
        <v>0</v>
      </c>
      <c r="W253" s="839">
        <f t="shared" si="42"/>
        <v>0</v>
      </c>
      <c r="X253" s="841"/>
      <c r="Y253" s="841"/>
    </row>
    <row r="254" s="756" customFormat="1" spans="1:25">
      <c r="A254" s="838"/>
      <c r="B254" s="833"/>
      <c r="C254" s="803">
        <f>SUM(C8:C253)</f>
        <v>24351169</v>
      </c>
      <c r="D254" s="803">
        <f>SUM(D31:D253)</f>
        <v>25591331</v>
      </c>
      <c r="E254" s="803">
        <f>SUM(E8:E253)</f>
        <v>3403641</v>
      </c>
      <c r="F254" s="803">
        <f>SUM(F8:F235)</f>
        <v>800000</v>
      </c>
      <c r="G254" s="803">
        <f>SUM(G27:G192)</f>
        <v>0</v>
      </c>
      <c r="H254" s="803">
        <f>SUM(H8:H225)</f>
        <v>195000</v>
      </c>
      <c r="I254" s="803">
        <f>SUM(I221:I253)</f>
        <v>0</v>
      </c>
      <c r="J254" s="803"/>
      <c r="K254" s="803">
        <f>SUM(K8:K235)</f>
        <v>30555000</v>
      </c>
      <c r="L254" s="803">
        <f>SUM(L8:L106)</f>
        <v>0</v>
      </c>
      <c r="M254" s="803">
        <f>SUM(M8:M253)</f>
        <v>135128443</v>
      </c>
      <c r="N254" s="803"/>
      <c r="O254" s="803"/>
      <c r="P254" s="803"/>
      <c r="Q254" s="803">
        <f>SUM(Q8:Q146)</f>
        <v>201618966</v>
      </c>
      <c r="R254" s="803">
        <f>SUM(R9:R146)</f>
        <v>1769000</v>
      </c>
      <c r="S254" s="803">
        <f>SUM(S24:S253)</f>
        <v>46256320</v>
      </c>
      <c r="T254" s="803">
        <f>SUM(T8:T198)</f>
        <v>1345000</v>
      </c>
      <c r="U254" s="803"/>
      <c r="V254" s="803">
        <f>SUM(V8:V253)</f>
        <v>150401323</v>
      </c>
      <c r="W254" s="809">
        <f>SUM(W8:W253)</f>
        <v>84434087.166667</v>
      </c>
      <c r="X254" s="841">
        <v>94916913</v>
      </c>
      <c r="Y254" s="841"/>
    </row>
    <row r="255" spans="1:25">
      <c r="A255" s="62"/>
      <c r="B255" s="846"/>
      <c r="C255" s="847">
        <f>SUM(MODUS!I162)</f>
        <v>24351383</v>
      </c>
      <c r="D255" s="847">
        <f>SUM(MULTI!O63)</f>
        <v>25592111</v>
      </c>
      <c r="E255" s="847"/>
      <c r="F255" s="847"/>
      <c r="G255" s="847"/>
      <c r="H255" s="847"/>
      <c r="I255" s="847"/>
      <c r="J255" s="847"/>
      <c r="K255" s="847"/>
      <c r="L255" s="847">
        <f>SUM(L8:L106)</f>
        <v>0</v>
      </c>
      <c r="M255" s="849"/>
      <c r="N255" s="847"/>
      <c r="O255" s="847"/>
      <c r="P255" s="847"/>
      <c r="Q255" s="847"/>
      <c r="R255" s="847"/>
      <c r="S255" s="847"/>
      <c r="T255" s="847"/>
      <c r="U255" s="853"/>
      <c r="V255" s="849"/>
      <c r="W255" s="849">
        <f>SUM(M254-V254+W8)</f>
        <v>84434087.166667</v>
      </c>
      <c r="X255" s="810"/>
      <c r="Y255" s="810">
        <f>SUM([48]KASHAR!$U$217)</f>
        <v>97193881.1666667</v>
      </c>
    </row>
    <row r="256" spans="1:25">
      <c r="A256" s="62"/>
      <c r="B256" s="846"/>
      <c r="C256" s="848">
        <f>C254-C255</f>
        <v>-214</v>
      </c>
      <c r="D256" s="848">
        <f>D254-D255</f>
        <v>-780</v>
      </c>
      <c r="E256" s="848"/>
      <c r="F256" s="848"/>
      <c r="G256" s="848"/>
      <c r="H256" s="848"/>
      <c r="I256" s="848"/>
      <c r="J256" s="848"/>
      <c r="K256" s="848"/>
      <c r="L256" s="848"/>
      <c r="M256" s="850"/>
      <c r="N256" s="848"/>
      <c r="O256" s="848"/>
      <c r="P256" s="848"/>
      <c r="Q256" s="848"/>
      <c r="R256" s="848"/>
      <c r="S256" s="848"/>
      <c r="T256" s="848"/>
      <c r="U256" s="854"/>
      <c r="V256" s="850"/>
      <c r="W256" s="850"/>
      <c r="X256" s="810"/>
      <c r="Y256" s="810"/>
    </row>
    <row r="257" spans="1:25">
      <c r="A257" s="62"/>
      <c r="B257" s="760" t="s">
        <v>466</v>
      </c>
      <c r="C257" s="760"/>
      <c r="D257" s="760"/>
      <c r="E257" s="760"/>
      <c r="F257" s="760"/>
      <c r="G257" s="760"/>
      <c r="H257" s="760"/>
      <c r="I257" s="760"/>
      <c r="J257" s="760"/>
      <c r="K257" s="760"/>
      <c r="L257" s="760"/>
      <c r="M257" s="760"/>
      <c r="N257" s="760"/>
      <c r="O257" s="760"/>
      <c r="P257" s="760"/>
      <c r="Q257" s="760"/>
      <c r="R257" s="760"/>
      <c r="S257" s="760"/>
      <c r="T257" s="760"/>
      <c r="U257" s="795"/>
      <c r="V257" s="760"/>
      <c r="W257" s="760"/>
      <c r="X257" s="810"/>
      <c r="Y257" s="810"/>
    </row>
    <row r="258" spans="1:28">
      <c r="A258" s="62"/>
      <c r="C258" s="855" t="s">
        <v>467</v>
      </c>
      <c r="D258" s="855"/>
      <c r="N258" s="856" t="s">
        <v>468</v>
      </c>
      <c r="O258" s="856"/>
      <c r="P258" s="856"/>
      <c r="Q258" s="856"/>
      <c r="R258" s="856"/>
      <c r="S258" s="856"/>
      <c r="W258" s="864"/>
      <c r="X258" s="810"/>
      <c r="Y258" s="810"/>
      <c r="AB258" s="810"/>
    </row>
    <row r="259" spans="1:28">
      <c r="A259" s="62"/>
      <c r="D259" s="856"/>
      <c r="F259" s="614">
        <v>2423250</v>
      </c>
      <c r="X259" s="810"/>
      <c r="Y259" s="810"/>
      <c r="Z259" s="810"/>
      <c r="AB259" s="810"/>
    </row>
    <row r="260" spans="1:26">
      <c r="A260" s="62"/>
      <c r="C260" s="810" t="e">
        <f>SUM(C241+C244+#REF!+#REF!+#REF!+C245)</f>
        <v>#REF!</v>
      </c>
      <c r="X260" s="810" t="s">
        <v>469</v>
      </c>
      <c r="Y260" s="810">
        <v>11264000</v>
      </c>
      <c r="Z260" s="810"/>
    </row>
    <row r="261" spans="1:25">
      <c r="A261" s="62"/>
      <c r="C261" s="810">
        <f>SUM(D246:D247)</f>
        <v>1464000</v>
      </c>
      <c r="D261" s="857"/>
      <c r="E261" s="857"/>
      <c r="F261" s="857"/>
      <c r="G261" s="857"/>
      <c r="H261" s="857"/>
      <c r="I261" s="857"/>
      <c r="J261" s="857"/>
      <c r="K261" s="857"/>
      <c r="L261" s="857"/>
      <c r="M261" s="857"/>
      <c r="X261" s="810"/>
      <c r="Y261" s="810">
        <f>SUM(S254-Y260)</f>
        <v>34992320</v>
      </c>
    </row>
    <row r="262" spans="1:25">
      <c r="A262" s="62"/>
      <c r="B262" s="858"/>
      <c r="C262" s="859" t="e">
        <f>SUM(C260:C261)</f>
        <v>#REF!</v>
      </c>
      <c r="D262" s="860"/>
      <c r="E262" s="857"/>
      <c r="F262" s="857"/>
      <c r="G262" s="857"/>
      <c r="H262" s="857"/>
      <c r="I262" s="857"/>
      <c r="J262" s="857"/>
      <c r="K262" s="857"/>
      <c r="L262" s="857"/>
      <c r="M262" s="857"/>
      <c r="X262" s="810"/>
      <c r="Y262" s="614">
        <v>44641413</v>
      </c>
    </row>
    <row r="263" spans="2:28">
      <c r="B263" s="861"/>
      <c r="C263" s="858" t="s">
        <v>115</v>
      </c>
      <c r="D263" s="858"/>
      <c r="N263" s="862" t="s">
        <v>470</v>
      </c>
      <c r="O263" s="862"/>
      <c r="P263" s="862"/>
      <c r="Q263" s="862"/>
      <c r="R263" s="862"/>
      <c r="S263" s="862"/>
      <c r="T263" s="862"/>
      <c r="U263" s="865"/>
      <c r="V263" s="862"/>
      <c r="X263" s="810"/>
      <c r="Y263" s="810">
        <v>6050000</v>
      </c>
      <c r="AA263" s="810">
        <v>151568913</v>
      </c>
      <c r="AB263" s="810">
        <f>Y262+Y263</f>
        <v>50691413</v>
      </c>
    </row>
    <row r="264" spans="2:28">
      <c r="B264" s="861"/>
      <c r="C264" s="858"/>
      <c r="D264" s="858"/>
      <c r="N264" s="862"/>
      <c r="O264" s="862"/>
      <c r="P264" s="862"/>
      <c r="Q264" s="862"/>
      <c r="R264" s="862"/>
      <c r="S264" s="862"/>
      <c r="T264" s="862"/>
      <c r="U264" s="865"/>
      <c r="V264" s="862"/>
      <c r="X264" s="810" t="s">
        <v>471</v>
      </c>
      <c r="Y264" s="810">
        <f>SUM(Q21)</f>
        <v>7408500</v>
      </c>
      <c r="AA264" s="810"/>
      <c r="AB264" s="810">
        <f>W254-AB263</f>
        <v>33742674.166667</v>
      </c>
    </row>
    <row r="265" spans="2:27">
      <c r="B265" s="861"/>
      <c r="C265" s="858"/>
      <c r="D265" s="858"/>
      <c r="N265" s="862"/>
      <c r="O265" s="862"/>
      <c r="P265" s="862"/>
      <c r="Q265" s="862"/>
      <c r="R265" s="862"/>
      <c r="S265" s="862"/>
      <c r="T265" s="862"/>
      <c r="U265" s="865"/>
      <c r="V265" s="862"/>
      <c r="X265" s="810"/>
      <c r="Y265" s="810">
        <f>SUM(Q12)</f>
        <v>3560000</v>
      </c>
      <c r="AA265" s="810"/>
    </row>
    <row r="266" spans="3:27">
      <c r="C266" s="856" t="s">
        <v>274</v>
      </c>
      <c r="D266" s="856"/>
      <c r="N266" s="863" t="s">
        <v>472</v>
      </c>
      <c r="O266" s="863"/>
      <c r="P266" s="863"/>
      <c r="Q266" s="863"/>
      <c r="R266" s="863"/>
      <c r="S266" s="863"/>
      <c r="T266" s="863"/>
      <c r="U266" s="863"/>
      <c r="V266" s="866"/>
      <c r="X266" s="810"/>
      <c r="Y266" s="810">
        <f>SUM(Y261:Y265)</f>
        <v>96652233</v>
      </c>
      <c r="AA266" s="810"/>
    </row>
    <row r="267" spans="24:25">
      <c r="X267" s="810"/>
      <c r="Y267" s="614">
        <f>SUM(W254+Q20)</f>
        <v>145559353.166667</v>
      </c>
    </row>
    <row r="268" spans="20:25">
      <c r="T268" s="810"/>
      <c r="U268" s="851"/>
      <c r="V268" s="841"/>
      <c r="X268" s="810"/>
      <c r="Y268" s="810">
        <f>Y267-Y266</f>
        <v>48907120.166667</v>
      </c>
    </row>
    <row r="269" spans="20:24">
      <c r="T269" s="810"/>
      <c r="U269" s="851"/>
      <c r="V269" s="841"/>
      <c r="X269" s="810"/>
    </row>
    <row r="270" spans="20:25">
      <c r="T270" s="810"/>
      <c r="U270" s="851"/>
      <c r="V270" s="841"/>
      <c r="X270" s="810" t="s">
        <v>473</v>
      </c>
      <c r="Y270" s="614">
        <v>7273329</v>
      </c>
    </row>
    <row r="271" spans="20:25">
      <c r="T271" s="810"/>
      <c r="U271" s="851"/>
      <c r="V271" s="841"/>
      <c r="X271" s="810"/>
      <c r="Y271" s="614"/>
    </row>
    <row r="272" spans="20:24">
      <c r="T272" s="810"/>
      <c r="U272" s="851"/>
      <c r="V272" s="841"/>
      <c r="X272" s="810"/>
    </row>
    <row r="273" spans="20:24">
      <c r="T273" s="810"/>
      <c r="U273" s="851"/>
      <c r="V273" s="841"/>
      <c r="X273" s="810"/>
    </row>
    <row r="274" spans="20:24">
      <c r="T274" s="810"/>
      <c r="U274" s="851"/>
      <c r="V274" s="841"/>
      <c r="X274" s="810"/>
    </row>
    <row r="275" spans="20:24">
      <c r="T275" s="810"/>
      <c r="U275" s="851"/>
      <c r="V275" s="841"/>
      <c r="X275" s="810"/>
    </row>
    <row r="276" spans="20:24">
      <c r="T276" s="810"/>
      <c r="U276" s="851"/>
      <c r="V276" s="841"/>
      <c r="X276" s="810"/>
    </row>
    <row r="277" spans="20:24">
      <c r="T277" s="810"/>
      <c r="U277" s="851"/>
      <c r="V277" s="841"/>
      <c r="X277" s="810"/>
    </row>
    <row r="278" spans="20:24">
      <c r="T278" s="810"/>
      <c r="U278" s="851"/>
      <c r="V278" s="841"/>
      <c r="X278" s="810"/>
    </row>
    <row r="279" spans="20:24">
      <c r="T279" s="810"/>
      <c r="U279" s="851"/>
      <c r="V279" s="841"/>
      <c r="X279" s="810"/>
    </row>
    <row r="280" spans="20:24">
      <c r="T280" s="810"/>
      <c r="U280" s="851"/>
      <c r="V280" s="841"/>
      <c r="X280" s="810"/>
    </row>
    <row r="281" spans="20:24">
      <c r="T281" s="810"/>
      <c r="U281" s="851"/>
      <c r="V281" s="841"/>
      <c r="X281" s="810"/>
    </row>
    <row r="282" spans="20:24">
      <c r="T282" s="810"/>
      <c r="U282" s="851"/>
      <c r="V282" s="841"/>
      <c r="X282" s="810"/>
    </row>
    <row r="283" spans="20:24">
      <c r="T283" s="810"/>
      <c r="U283" s="851"/>
      <c r="V283" s="841"/>
      <c r="X283" s="810"/>
    </row>
    <row r="284" spans="20:24">
      <c r="T284" s="810"/>
      <c r="U284" s="851"/>
      <c r="V284" s="841"/>
      <c r="X284" s="810"/>
    </row>
    <row r="285" spans="20:24">
      <c r="T285" s="810"/>
      <c r="U285" s="851"/>
      <c r="V285" s="841"/>
      <c r="X285" s="810"/>
    </row>
    <row r="286" spans="20:24">
      <c r="T286" s="810"/>
      <c r="U286" s="851"/>
      <c r="V286" s="841"/>
      <c r="X286" s="810"/>
    </row>
    <row r="287" spans="20:24">
      <c r="T287" s="810"/>
      <c r="U287" s="851"/>
      <c r="V287" s="841"/>
      <c r="X287" s="810"/>
    </row>
    <row r="288" spans="20:24">
      <c r="T288" s="810"/>
      <c r="U288" s="851"/>
      <c r="V288" s="841"/>
      <c r="X288" s="810"/>
    </row>
    <row r="289" spans="20:24">
      <c r="T289" s="810"/>
      <c r="U289" s="851"/>
      <c r="V289" s="841"/>
      <c r="X289" s="810"/>
    </row>
    <row r="290" spans="20:24">
      <c r="T290" s="810"/>
      <c r="U290" s="851"/>
      <c r="V290" s="841"/>
      <c r="X290" s="810"/>
    </row>
    <row r="291" spans="20:24">
      <c r="T291" s="810"/>
      <c r="U291" s="851"/>
      <c r="V291" s="841"/>
      <c r="X291" s="810"/>
    </row>
    <row r="292" spans="20:24">
      <c r="T292" s="810"/>
      <c r="U292" s="851"/>
      <c r="V292" s="841"/>
      <c r="X292" s="810"/>
    </row>
    <row r="293" spans="20:24">
      <c r="T293" s="810"/>
      <c r="U293" s="851"/>
      <c r="V293" s="841"/>
      <c r="X293" s="810"/>
    </row>
    <row r="294" spans="20:26">
      <c r="T294" s="810"/>
      <c r="U294" s="851"/>
      <c r="V294" s="841"/>
      <c r="X294" s="810"/>
      <c r="Z294" s="62"/>
    </row>
    <row r="295" spans="20:24">
      <c r="T295" s="810"/>
      <c r="U295" s="851"/>
      <c r="V295" s="841"/>
      <c r="X295" s="810"/>
    </row>
    <row r="296" spans="20:24">
      <c r="T296" s="810"/>
      <c r="U296" s="851"/>
      <c r="V296" s="841"/>
      <c r="X296" s="810"/>
    </row>
    <row r="297" spans="20:24">
      <c r="T297" s="810"/>
      <c r="U297" s="851"/>
      <c r="V297" s="841"/>
      <c r="X297" s="810"/>
    </row>
    <row r="298" spans="20:24">
      <c r="T298" s="810"/>
      <c r="U298" s="851"/>
      <c r="V298" s="841"/>
      <c r="X298" s="810"/>
    </row>
    <row r="299" spans="20:24">
      <c r="T299" s="810"/>
      <c r="U299" s="851"/>
      <c r="V299" s="841"/>
      <c r="X299" s="810"/>
    </row>
    <row r="300" spans="20:24">
      <c r="T300" s="810"/>
      <c r="U300" s="851"/>
      <c r="V300" s="841"/>
      <c r="X300" s="810"/>
    </row>
    <row r="301" spans="20:24">
      <c r="T301" s="810"/>
      <c r="U301" s="851"/>
      <c r="V301" s="841"/>
      <c r="X301" s="810"/>
    </row>
    <row r="302" spans="20:24">
      <c r="T302" s="810"/>
      <c r="U302" s="851"/>
      <c r="V302" s="841"/>
      <c r="X302" s="810"/>
    </row>
    <row r="303" spans="20:24">
      <c r="T303" s="810"/>
      <c r="U303" s="851"/>
      <c r="V303" s="841"/>
      <c r="X303" s="810"/>
    </row>
    <row r="304" spans="20:24">
      <c r="T304" s="810"/>
      <c r="U304" s="851"/>
      <c r="V304" s="841"/>
      <c r="X304" s="810"/>
    </row>
    <row r="305" spans="20:24">
      <c r="T305" s="810"/>
      <c r="U305" s="851"/>
      <c r="V305" s="841"/>
      <c r="X305" s="810"/>
    </row>
    <row r="306" spans="20:24">
      <c r="T306" s="810"/>
      <c r="U306" s="851"/>
      <c r="V306" s="841"/>
      <c r="X306" s="810"/>
    </row>
    <row r="307" spans="20:24">
      <c r="T307" s="810"/>
      <c r="U307" s="851"/>
      <c r="V307" s="841"/>
      <c r="X307" s="810"/>
    </row>
    <row r="308" spans="20:24">
      <c r="T308" s="810"/>
      <c r="U308" s="851"/>
      <c r="V308" s="841"/>
      <c r="X308" s="810"/>
    </row>
    <row r="309" spans="20:24">
      <c r="T309" s="810"/>
      <c r="U309" s="851"/>
      <c r="V309" s="841"/>
      <c r="X309" s="810"/>
    </row>
    <row r="310" spans="20:24">
      <c r="T310" s="810"/>
      <c r="U310" s="851"/>
      <c r="V310" s="841"/>
      <c r="X310" s="810"/>
    </row>
    <row r="311" spans="20:24">
      <c r="T311" s="810"/>
      <c r="U311" s="851"/>
      <c r="V311" s="841"/>
      <c r="X311" s="810"/>
    </row>
    <row r="312" spans="20:24">
      <c r="T312" s="810"/>
      <c r="U312" s="851"/>
      <c r="V312" s="841"/>
      <c r="X312" s="810"/>
    </row>
    <row r="313" spans="20:24">
      <c r="T313" s="810"/>
      <c r="U313" s="851"/>
      <c r="V313" s="841"/>
      <c r="X313" s="810"/>
    </row>
    <row r="314" spans="20:24">
      <c r="T314" s="810"/>
      <c r="U314" s="851"/>
      <c r="V314" s="841"/>
      <c r="X314" s="810"/>
    </row>
    <row r="315" spans="20:24">
      <c r="T315" s="810"/>
      <c r="U315" s="851"/>
      <c r="V315" s="841"/>
      <c r="X315" s="810"/>
    </row>
    <row r="316" spans="20:24">
      <c r="T316" s="810"/>
      <c r="U316" s="851"/>
      <c r="V316" s="841"/>
      <c r="X316" s="810"/>
    </row>
    <row r="317" spans="20:24">
      <c r="T317" s="810"/>
      <c r="U317" s="851"/>
      <c r="V317" s="841"/>
      <c r="X317" s="810"/>
    </row>
    <row r="318" spans="20:24">
      <c r="T318" s="810"/>
      <c r="U318" s="851"/>
      <c r="V318" s="841"/>
      <c r="X318" s="810"/>
    </row>
    <row r="319" spans="20:24">
      <c r="T319" s="810"/>
      <c r="U319" s="851"/>
      <c r="V319" s="841"/>
      <c r="X319" s="810"/>
    </row>
    <row r="320" spans="20:24">
      <c r="T320" s="810"/>
      <c r="U320" s="851"/>
      <c r="V320" s="841"/>
      <c r="X320" s="810"/>
    </row>
    <row r="321" spans="20:24">
      <c r="T321" s="810"/>
      <c r="U321" s="851"/>
      <c r="V321" s="841"/>
      <c r="X321" s="810"/>
    </row>
    <row r="322" spans="20:24">
      <c r="T322" s="810"/>
      <c r="U322" s="851"/>
      <c r="V322" s="841"/>
      <c r="X322" s="810"/>
    </row>
    <row r="323" spans="20:24">
      <c r="T323" s="810"/>
      <c r="U323" s="851"/>
      <c r="V323" s="841"/>
      <c r="X323" s="810"/>
    </row>
    <row r="324" spans="20:24">
      <c r="T324" s="810"/>
      <c r="U324" s="851"/>
      <c r="V324" s="841"/>
      <c r="X324" s="810"/>
    </row>
    <row r="325" spans="20:24">
      <c r="T325" s="810"/>
      <c r="U325" s="851"/>
      <c r="V325" s="841"/>
      <c r="X325" s="810"/>
    </row>
    <row r="326" spans="24:24">
      <c r="X326" s="810"/>
    </row>
    <row r="327" spans="24:24">
      <c r="X327" s="810"/>
    </row>
    <row r="328" spans="24:24">
      <c r="X328" s="810"/>
    </row>
    <row r="329" spans="24:24">
      <c r="X329" s="810"/>
    </row>
    <row r="330" spans="24:24">
      <c r="X330" s="810"/>
    </row>
    <row r="331" spans="24:24">
      <c r="X331" s="810"/>
    </row>
    <row r="332" spans="24:24">
      <c r="X332" s="810"/>
    </row>
    <row r="333" spans="24:24">
      <c r="X333" s="810"/>
    </row>
    <row r="334" spans="24:24">
      <c r="X334" s="810"/>
    </row>
    <row r="335" spans="24:24">
      <c r="X335" s="810"/>
    </row>
    <row r="336" spans="24:24">
      <c r="X336" s="810"/>
    </row>
    <row r="337" spans="24:24">
      <c r="X337" s="810"/>
    </row>
    <row r="338" spans="24:24">
      <c r="X338" s="810"/>
    </row>
    <row r="339" spans="24:24">
      <c r="X339" s="810"/>
    </row>
    <row r="340" spans="24:24">
      <c r="X340" s="810"/>
    </row>
    <row r="341" spans="24:24">
      <c r="X341" s="810"/>
    </row>
    <row r="342" spans="24:24">
      <c r="X342" s="810"/>
    </row>
    <row r="343" spans="24:24">
      <c r="X343" s="810"/>
    </row>
    <row r="344" spans="24:24">
      <c r="X344" s="810"/>
    </row>
    <row r="345" spans="24:24">
      <c r="X345" s="810"/>
    </row>
    <row r="346" spans="24:24">
      <c r="X346" s="810"/>
    </row>
    <row r="347" spans="24:24">
      <c r="X347" s="810"/>
    </row>
    <row r="348" spans="24:24">
      <c r="X348" s="810"/>
    </row>
    <row r="349" spans="24:24">
      <c r="X349" s="810"/>
    </row>
    <row r="350" spans="24:24">
      <c r="X350" s="810"/>
    </row>
    <row r="351" spans="24:24">
      <c r="X351" s="810"/>
    </row>
    <row r="352" spans="24:24">
      <c r="X352" s="810"/>
    </row>
    <row r="353" spans="24:24">
      <c r="X353" s="810"/>
    </row>
    <row r="354" spans="24:24">
      <c r="X354" s="810"/>
    </row>
    <row r="355" spans="24:24">
      <c r="X355" s="810"/>
    </row>
    <row r="356" spans="24:24">
      <c r="X356" s="810"/>
    </row>
    <row r="357" spans="24:24">
      <c r="X357" s="810"/>
    </row>
    <row r="358" spans="24:24">
      <c r="X358" s="810"/>
    </row>
    <row r="359" spans="24:24">
      <c r="X359" s="810"/>
    </row>
    <row r="360" spans="24:24">
      <c r="X360" s="810"/>
    </row>
    <row r="361" spans="24:24">
      <c r="X361" s="810"/>
    </row>
    <row r="362" spans="24:24">
      <c r="X362" s="810"/>
    </row>
    <row r="363" spans="24:24">
      <c r="X363" s="810"/>
    </row>
    <row r="364" spans="24:24">
      <c r="X364" s="810"/>
    </row>
    <row r="365" spans="24:24">
      <c r="X365" s="810"/>
    </row>
    <row r="366" spans="24:24">
      <c r="X366" s="810"/>
    </row>
    <row r="367" spans="24:24">
      <c r="X367" s="810"/>
    </row>
    <row r="368" spans="24:24">
      <c r="X368" s="810"/>
    </row>
    <row r="369" spans="24:24">
      <c r="X369" s="810"/>
    </row>
    <row r="370" spans="24:24">
      <c r="X370" s="810"/>
    </row>
    <row r="371" spans="24:24">
      <c r="X371" s="810"/>
    </row>
    <row r="372" spans="24:24">
      <c r="X372" s="810"/>
    </row>
    <row r="373" spans="24:24">
      <c r="X373" s="810"/>
    </row>
    <row r="374" spans="24:24">
      <c r="X374" s="810"/>
    </row>
    <row r="375" spans="24:24">
      <c r="X375" s="810"/>
    </row>
    <row r="376" spans="24:24">
      <c r="X376" s="810"/>
    </row>
    <row r="377" spans="24:24">
      <c r="X377" s="810"/>
    </row>
    <row r="378" spans="24:24">
      <c r="X378" s="810"/>
    </row>
    <row r="379" spans="24:24">
      <c r="X379" s="810"/>
    </row>
    <row r="380" spans="24:24">
      <c r="X380" s="810"/>
    </row>
    <row r="381" spans="24:24">
      <c r="X381" s="810"/>
    </row>
    <row r="382" spans="24:24">
      <c r="X382" s="810"/>
    </row>
    <row r="383" spans="24:24">
      <c r="X383" s="810"/>
    </row>
    <row r="384" spans="24:24">
      <c r="X384" s="810"/>
    </row>
    <row r="385" spans="24:24">
      <c r="X385" s="810"/>
    </row>
    <row r="386" spans="24:24">
      <c r="X386" s="810"/>
    </row>
    <row r="387" spans="24:24">
      <c r="X387" s="810"/>
    </row>
    <row r="388" spans="24:24">
      <c r="X388" s="810"/>
    </row>
    <row r="389" spans="24:24">
      <c r="X389" s="810"/>
    </row>
    <row r="390" spans="24:24">
      <c r="X390" s="810"/>
    </row>
    <row r="391" spans="24:24">
      <c r="X391" s="810"/>
    </row>
    <row r="392" spans="24:24">
      <c r="X392" s="810"/>
    </row>
    <row r="393" spans="24:24">
      <c r="X393" s="810"/>
    </row>
    <row r="394" spans="24:24">
      <c r="X394" s="810"/>
    </row>
    <row r="395" spans="24:24">
      <c r="X395" s="810"/>
    </row>
    <row r="396" spans="24:24">
      <c r="X396" s="810"/>
    </row>
    <row r="397" spans="24:24">
      <c r="X397" s="810"/>
    </row>
    <row r="398" spans="24:24">
      <c r="X398" s="810"/>
    </row>
    <row r="399" spans="24:24">
      <c r="X399" s="810"/>
    </row>
    <row r="400" spans="24:24">
      <c r="X400" s="810"/>
    </row>
    <row r="401" spans="24:24">
      <c r="X401" s="810"/>
    </row>
    <row r="402" spans="24:24">
      <c r="X402" s="810"/>
    </row>
    <row r="403" spans="24:24">
      <c r="X403" s="810"/>
    </row>
    <row r="404" spans="24:24">
      <c r="X404" s="810"/>
    </row>
    <row r="405" spans="24:24">
      <c r="X405" s="810"/>
    </row>
    <row r="406" spans="24:24">
      <c r="X406" s="810"/>
    </row>
    <row r="407" spans="24:24">
      <c r="X407" s="810"/>
    </row>
    <row r="408" spans="24:24">
      <c r="X408" s="810"/>
    </row>
    <row r="409" spans="24:24">
      <c r="X409" s="810"/>
    </row>
    <row r="410" spans="24:24">
      <c r="X410" s="810"/>
    </row>
    <row r="411" spans="24:24">
      <c r="X411" s="810"/>
    </row>
    <row r="412" spans="24:24">
      <c r="X412" s="810"/>
    </row>
    <row r="413" spans="24:24">
      <c r="X413" s="810"/>
    </row>
    <row r="414" spans="24:24">
      <c r="X414" s="810"/>
    </row>
    <row r="415" spans="24:24">
      <c r="X415" s="810"/>
    </row>
    <row r="416" spans="24:24">
      <c r="X416" s="810"/>
    </row>
    <row r="417" spans="24:24">
      <c r="X417" s="810"/>
    </row>
    <row r="418" spans="24:24">
      <c r="X418" s="810"/>
    </row>
    <row r="419" spans="24:24">
      <c r="X419" s="810"/>
    </row>
    <row r="420" spans="24:24">
      <c r="X420" s="810"/>
    </row>
    <row r="421" spans="24:24">
      <c r="X421" s="810"/>
    </row>
    <row r="422" spans="24:24">
      <c r="X422" s="810"/>
    </row>
    <row r="423" spans="24:24">
      <c r="X423" s="810"/>
    </row>
    <row r="424" spans="24:24">
      <c r="X424" s="810"/>
    </row>
    <row r="425" spans="24:24">
      <c r="X425" s="810"/>
    </row>
    <row r="426" spans="24:24">
      <c r="X426" s="810"/>
    </row>
    <row r="427" spans="24:24">
      <c r="X427" s="810"/>
    </row>
    <row r="428" spans="24:24">
      <c r="X428" s="810"/>
    </row>
    <row r="429" spans="24:24">
      <c r="X429" s="810"/>
    </row>
    <row r="430" spans="24:24">
      <c r="X430" s="810"/>
    </row>
    <row r="431" spans="24:24">
      <c r="X431" s="810"/>
    </row>
    <row r="432" spans="24:24">
      <c r="X432" s="810"/>
    </row>
    <row r="433" spans="24:24">
      <c r="X433" s="810"/>
    </row>
    <row r="434" spans="24:24">
      <c r="X434" s="810"/>
    </row>
    <row r="435" spans="24:24">
      <c r="X435" s="810"/>
    </row>
    <row r="436" spans="24:24">
      <c r="X436" s="810"/>
    </row>
    <row r="437" spans="24:24">
      <c r="X437" s="810"/>
    </row>
    <row r="438" spans="24:24">
      <c r="X438" s="810"/>
    </row>
    <row r="439" spans="24:24">
      <c r="X439" s="810"/>
    </row>
    <row r="440" spans="24:24">
      <c r="X440" s="810"/>
    </row>
    <row r="441" spans="24:24">
      <c r="X441" s="810"/>
    </row>
    <row r="442" spans="24:24">
      <c r="X442" s="810"/>
    </row>
    <row r="443" spans="24:24">
      <c r="X443" s="810"/>
    </row>
    <row r="444" spans="24:24">
      <c r="X444" s="810"/>
    </row>
    <row r="445" spans="24:24">
      <c r="X445" s="810"/>
    </row>
    <row r="446" spans="24:24">
      <c r="X446" s="810"/>
    </row>
    <row r="447" spans="24:24">
      <c r="X447" s="810"/>
    </row>
    <row r="448" spans="24:24">
      <c r="X448" s="810"/>
    </row>
    <row r="449" spans="24:24">
      <c r="X449" s="810"/>
    </row>
    <row r="450" spans="24:24">
      <c r="X450" s="810"/>
    </row>
    <row r="451" spans="24:24">
      <c r="X451" s="810"/>
    </row>
    <row r="452" spans="24:24">
      <c r="X452" s="810"/>
    </row>
    <row r="453" spans="24:24">
      <c r="X453" s="810"/>
    </row>
    <row r="454" spans="24:24">
      <c r="X454" s="810"/>
    </row>
    <row r="455" spans="24:24">
      <c r="X455" s="810"/>
    </row>
    <row r="456" spans="24:24">
      <c r="X456" s="810"/>
    </row>
    <row r="457" spans="24:24">
      <c r="X457" s="810"/>
    </row>
    <row r="458" spans="24:24">
      <c r="X458" s="810"/>
    </row>
    <row r="459" spans="24:24">
      <c r="X459" s="810"/>
    </row>
    <row r="460" spans="24:24">
      <c r="X460" s="810"/>
    </row>
    <row r="461" spans="24:24">
      <c r="X461" s="810"/>
    </row>
    <row r="462" spans="24:24">
      <c r="X462" s="810"/>
    </row>
    <row r="533" spans="24:24">
      <c r="X533" s="810"/>
    </row>
    <row r="534" spans="24:24">
      <c r="X534" s="810"/>
    </row>
    <row r="535" spans="24:24">
      <c r="X535" s="810"/>
    </row>
    <row r="536" spans="24:24">
      <c r="X536" s="810"/>
    </row>
  </sheetData>
  <autoFilter xmlns:etc="http://www.wps.cn/officeDocument/2017/etCustomData" ref="A1:AA268" etc:filterBottomFollowUsedRange="0">
    <extLst/>
  </autoFilter>
  <mergeCells count="32">
    <mergeCell ref="A1:W1"/>
    <mergeCell ref="A2:W2"/>
    <mergeCell ref="C6:M6"/>
    <mergeCell ref="N6:V6"/>
    <mergeCell ref="B257:W257"/>
    <mergeCell ref="C258:D258"/>
    <mergeCell ref="N258:O258"/>
    <mergeCell ref="C263:D263"/>
    <mergeCell ref="N263:O263"/>
    <mergeCell ref="C266:D266"/>
    <mergeCell ref="N266:O266"/>
    <mergeCell ref="A6:A7"/>
    <mergeCell ref="A8:A41"/>
    <mergeCell ref="A46:A54"/>
    <mergeCell ref="A55:A58"/>
    <mergeCell ref="A59:A65"/>
    <mergeCell ref="A66:A72"/>
    <mergeCell ref="A74:A89"/>
    <mergeCell ref="A90:A98"/>
    <mergeCell ref="A99:A107"/>
    <mergeCell ref="A108:A110"/>
    <mergeCell ref="A111:A112"/>
    <mergeCell ref="A116:A125"/>
    <mergeCell ref="A126:A128"/>
    <mergeCell ref="A130:A133"/>
    <mergeCell ref="A137:A142"/>
    <mergeCell ref="A143:A151"/>
    <mergeCell ref="A152:A155"/>
    <mergeCell ref="A156:A158"/>
    <mergeCell ref="A159:A166"/>
    <mergeCell ref="B6:B7"/>
    <mergeCell ref="W6:W7"/>
  </mergeCells>
  <pageMargins left="0.777777777777778" right="0.7" top="0.335416666666667" bottom="0.75" header="0.3" footer="0.3"/>
  <pageSetup paperSize="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0"/>
  <sheetViews>
    <sheetView view="pageLayout" zoomScale="80" zoomScaleNormal="100" showWhiteSpace="0" topLeftCell="A98" workbookViewId="0">
      <selection activeCell="B117" sqref="B117"/>
    </sheetView>
  </sheetViews>
  <sheetFormatPr defaultColWidth="8.72727272727273" defaultRowHeight="14.5"/>
  <cols>
    <col min="1" max="1" width="4.54545454545455" customWidth="1"/>
    <col min="2" max="2" width="20.3545454545455" customWidth="1"/>
    <col min="3" max="3" width="10.8" customWidth="1"/>
    <col min="4" max="4" width="13.7545454545455" style="633" customWidth="1"/>
    <col min="5" max="5" width="12.7272727272727" customWidth="1"/>
    <col min="6" max="6" width="12.0454545454545" customWidth="1"/>
    <col min="7" max="7" width="11.5090909090909" customWidth="1"/>
    <col min="8" max="8" width="11.0636363636364" customWidth="1"/>
    <col min="9" max="9" width="10.6363636363636" customWidth="1"/>
    <col min="10" max="10" width="11.7272727272727" customWidth="1"/>
    <col min="11" max="11" width="10.3636363636364" customWidth="1"/>
    <col min="12" max="12" width="11.4272727272727" customWidth="1"/>
    <col min="13" max="13" width="13.0272727272727" customWidth="1"/>
    <col min="14" max="14" width="13.2727272727273"/>
    <col min="15" max="15" width="12.7272727272727"/>
    <col min="16" max="16" width="10.4545454545455"/>
    <col min="17" max="18" width="8.90909090909091"/>
  </cols>
  <sheetData>
    <row r="2" spans="1:13">
      <c r="A2" s="634" t="s">
        <v>474</v>
      </c>
      <c r="B2" s="634"/>
      <c r="C2" s="634"/>
      <c r="D2" s="635"/>
      <c r="E2" s="634"/>
      <c r="F2" s="634"/>
      <c r="G2" s="634"/>
      <c r="H2" s="634"/>
      <c r="I2" s="634"/>
      <c r="J2" s="634"/>
      <c r="K2" s="634"/>
      <c r="L2" s="634"/>
      <c r="M2" s="634"/>
    </row>
    <row r="3" spans="1:13">
      <c r="A3" s="63" t="s">
        <v>475</v>
      </c>
      <c r="B3" s="63"/>
      <c r="C3" s="63"/>
      <c r="D3" s="636"/>
      <c r="E3" s="63"/>
      <c r="F3" s="63"/>
      <c r="G3" s="63"/>
      <c r="H3" s="63"/>
      <c r="I3" s="63"/>
      <c r="J3" s="63"/>
      <c r="K3" s="63"/>
      <c r="L3" s="63"/>
      <c r="M3" s="63"/>
    </row>
    <row r="4" ht="15.25" spans="1:13">
      <c r="A4" s="637" t="s">
        <v>476</v>
      </c>
      <c r="B4" s="637"/>
      <c r="C4" s="59" t="s">
        <v>477</v>
      </c>
      <c r="D4" s="636"/>
      <c r="F4" s="59"/>
      <c r="M4" s="669"/>
    </row>
    <row r="5" spans="1:13">
      <c r="A5" s="638" t="s">
        <v>478</v>
      </c>
      <c r="B5" s="639" t="s">
        <v>479</v>
      </c>
      <c r="C5" s="640" t="s">
        <v>204</v>
      </c>
      <c r="D5" s="641" t="s">
        <v>480</v>
      </c>
      <c r="E5" s="642" t="s">
        <v>481</v>
      </c>
      <c r="F5" s="642"/>
      <c r="G5" s="639"/>
      <c r="H5" s="639"/>
      <c r="I5" s="639"/>
      <c r="J5" s="642" t="s">
        <v>482</v>
      </c>
      <c r="K5" s="642"/>
      <c r="L5" s="641" t="s">
        <v>483</v>
      </c>
      <c r="M5" s="670" t="s">
        <v>484</v>
      </c>
    </row>
    <row r="6" spans="1:13">
      <c r="A6" s="643"/>
      <c r="B6" s="644"/>
      <c r="C6" s="645"/>
      <c r="D6" s="646"/>
      <c r="E6" s="647" t="s">
        <v>485</v>
      </c>
      <c r="F6" s="648" t="s">
        <v>204</v>
      </c>
      <c r="G6" s="649" t="s">
        <v>486</v>
      </c>
      <c r="H6" s="649" t="s">
        <v>487</v>
      </c>
      <c r="I6" s="649" t="s">
        <v>109</v>
      </c>
      <c r="J6" s="647"/>
      <c r="K6" s="647"/>
      <c r="L6" s="646"/>
      <c r="M6" s="671"/>
    </row>
    <row r="7" spans="1:13">
      <c r="A7" s="650"/>
      <c r="B7" s="649"/>
      <c r="C7" s="645"/>
      <c r="D7" s="646"/>
      <c r="E7" s="648"/>
      <c r="F7" s="646"/>
      <c r="G7" s="645"/>
      <c r="H7" s="645"/>
      <c r="I7" s="645"/>
      <c r="J7" s="648" t="s">
        <v>488</v>
      </c>
      <c r="K7" s="648" t="s">
        <v>487</v>
      </c>
      <c r="L7" s="646"/>
      <c r="M7" s="671"/>
    </row>
    <row r="8" ht="16" customHeight="1" spans="1:13">
      <c r="A8" s="135">
        <v>1</v>
      </c>
      <c r="B8" s="651" t="s">
        <v>489</v>
      </c>
      <c r="C8" s="1079" t="str">
        <f>C54</f>
        <v>10-02-2023</v>
      </c>
      <c r="D8" s="653">
        <v>5900000</v>
      </c>
      <c r="E8" s="75">
        <v>4950000</v>
      </c>
      <c r="F8" s="83"/>
      <c r="G8" s="654"/>
      <c r="H8" s="654"/>
      <c r="I8" s="654">
        <f t="shared" ref="I8:I20" si="0">G8+H8</f>
        <v>0</v>
      </c>
      <c r="J8" s="75">
        <f t="shared" ref="J8:J20" si="1">SUM(E8-G8)</f>
        <v>4950000</v>
      </c>
      <c r="K8" s="75"/>
      <c r="L8" s="672"/>
      <c r="M8" s="673"/>
    </row>
    <row r="9" ht="16" customHeight="1" spans="1:13">
      <c r="A9" s="135">
        <f t="shared" ref="A9:A20" si="2">A8+1</f>
        <v>2</v>
      </c>
      <c r="B9" s="651" t="s">
        <v>490</v>
      </c>
      <c r="C9" s="1079" t="s">
        <v>491</v>
      </c>
      <c r="D9" s="653">
        <v>2000000</v>
      </c>
      <c r="E9" s="75">
        <v>500000</v>
      </c>
      <c r="F9" s="1080" t="s">
        <v>343</v>
      </c>
      <c r="G9" s="654">
        <v>100000</v>
      </c>
      <c r="H9" s="654"/>
      <c r="I9" s="654">
        <f t="shared" si="0"/>
        <v>100000</v>
      </c>
      <c r="J9" s="75">
        <f t="shared" si="1"/>
        <v>400000</v>
      </c>
      <c r="K9" s="75"/>
      <c r="L9" s="672"/>
      <c r="M9" s="673"/>
    </row>
    <row r="10" ht="16" customHeight="1" spans="1:13">
      <c r="A10" s="135">
        <f t="shared" si="2"/>
        <v>3</v>
      </c>
      <c r="B10" s="655" t="s">
        <v>492</v>
      </c>
      <c r="C10" s="652"/>
      <c r="D10" s="653">
        <v>44000000</v>
      </c>
      <c r="E10" s="75">
        <v>40700000</v>
      </c>
      <c r="F10" s="1080" t="s">
        <v>379</v>
      </c>
      <c r="G10" s="654">
        <v>300000</v>
      </c>
      <c r="H10" s="654"/>
      <c r="I10" s="654">
        <f t="shared" si="0"/>
        <v>300000</v>
      </c>
      <c r="J10" s="75">
        <f t="shared" si="1"/>
        <v>40400000</v>
      </c>
      <c r="K10" s="75"/>
      <c r="L10" s="674"/>
      <c r="M10" s="675"/>
    </row>
    <row r="11" ht="16" customHeight="1" spans="1:13">
      <c r="A11" s="135">
        <f t="shared" si="2"/>
        <v>4</v>
      </c>
      <c r="B11" s="655" t="s">
        <v>445</v>
      </c>
      <c r="C11" s="652"/>
      <c r="D11" s="653">
        <v>15000000</v>
      </c>
      <c r="E11" s="75">
        <v>12850000</v>
      </c>
      <c r="F11" s="1080" t="s">
        <v>387</v>
      </c>
      <c r="G11" s="654">
        <v>100000</v>
      </c>
      <c r="H11" s="654"/>
      <c r="I11" s="654">
        <f t="shared" si="0"/>
        <v>100000</v>
      </c>
      <c r="J11" s="75">
        <f t="shared" si="1"/>
        <v>12750000</v>
      </c>
      <c r="K11" s="75"/>
      <c r="L11" s="672"/>
      <c r="M11" s="673"/>
    </row>
    <row r="12" ht="16" customHeight="1" spans="1:13">
      <c r="A12" s="135">
        <f t="shared" si="2"/>
        <v>5</v>
      </c>
      <c r="B12" s="651" t="s">
        <v>493</v>
      </c>
      <c r="C12" s="656"/>
      <c r="D12" s="657">
        <v>5000000</v>
      </c>
      <c r="E12" s="658">
        <v>1900000</v>
      </c>
      <c r="F12" s="106"/>
      <c r="G12" s="659"/>
      <c r="H12" s="659"/>
      <c r="I12" s="654">
        <f t="shared" si="0"/>
        <v>0</v>
      </c>
      <c r="J12" s="658">
        <f t="shared" si="1"/>
        <v>1900000</v>
      </c>
      <c r="K12" s="658"/>
      <c r="L12" s="672"/>
      <c r="M12" s="673"/>
    </row>
    <row r="13" ht="16" customHeight="1" spans="1:13">
      <c r="A13" s="135">
        <f t="shared" si="2"/>
        <v>6</v>
      </c>
      <c r="B13" s="655" t="s">
        <v>285</v>
      </c>
      <c r="C13" s="652"/>
      <c r="D13" s="653">
        <v>1159840</v>
      </c>
      <c r="E13" s="75">
        <v>809840</v>
      </c>
      <c r="F13" s="1080" t="s">
        <v>282</v>
      </c>
      <c r="G13" s="654">
        <v>100000</v>
      </c>
      <c r="H13" s="654"/>
      <c r="I13" s="654">
        <f t="shared" si="0"/>
        <v>100000</v>
      </c>
      <c r="J13" s="75">
        <f t="shared" si="1"/>
        <v>709840</v>
      </c>
      <c r="K13" s="75"/>
      <c r="L13" s="672"/>
      <c r="M13" s="673"/>
    </row>
    <row r="14" ht="16" customHeight="1" spans="1:16">
      <c r="A14" s="135">
        <f t="shared" si="2"/>
        <v>7</v>
      </c>
      <c r="B14" s="660" t="s">
        <v>385</v>
      </c>
      <c r="C14" s="652"/>
      <c r="D14" s="661">
        <v>5000000</v>
      </c>
      <c r="E14" s="75">
        <v>1591933</v>
      </c>
      <c r="F14" s="1080" t="s">
        <v>379</v>
      </c>
      <c r="G14" s="654">
        <v>210202</v>
      </c>
      <c r="H14" s="654">
        <v>39798</v>
      </c>
      <c r="I14" s="654">
        <f t="shared" si="0"/>
        <v>250000</v>
      </c>
      <c r="J14" s="75">
        <f t="shared" si="1"/>
        <v>1381731</v>
      </c>
      <c r="K14" s="75">
        <f t="shared" ref="K14:K20" si="3">SUM(J14*2.5%)</f>
        <v>34543.275</v>
      </c>
      <c r="L14" s="75"/>
      <c r="M14" s="676"/>
      <c r="N14" s="108"/>
      <c r="O14" s="108">
        <f>100000-K14</f>
        <v>65456.725</v>
      </c>
      <c r="P14" s="108">
        <f>250000-H14</f>
        <v>210202</v>
      </c>
    </row>
    <row r="15" ht="16" customHeight="1" spans="1:15">
      <c r="A15" s="135">
        <f t="shared" si="2"/>
        <v>8</v>
      </c>
      <c r="B15" s="662" t="s">
        <v>494</v>
      </c>
      <c r="C15" s="656"/>
      <c r="D15" s="653">
        <v>3569061</v>
      </c>
      <c r="E15" s="658">
        <v>2476932</v>
      </c>
      <c r="F15" s="1081" t="s">
        <v>370</v>
      </c>
      <c r="G15" s="659">
        <v>88077</v>
      </c>
      <c r="H15" s="659">
        <v>61923</v>
      </c>
      <c r="I15" s="654">
        <f t="shared" si="0"/>
        <v>150000</v>
      </c>
      <c r="J15" s="658">
        <f t="shared" si="1"/>
        <v>2388855</v>
      </c>
      <c r="K15" s="75">
        <f t="shared" si="3"/>
        <v>59721.375</v>
      </c>
      <c r="L15" s="677"/>
      <c r="M15" s="678"/>
      <c r="N15" s="108"/>
      <c r="O15" s="679">
        <f>150000-H15</f>
        <v>88077</v>
      </c>
    </row>
    <row r="16" ht="16" customHeight="1" spans="1:16">
      <c r="A16" s="135">
        <f t="shared" si="2"/>
        <v>9</v>
      </c>
      <c r="B16" s="663" t="s">
        <v>495</v>
      </c>
      <c r="C16" s="652"/>
      <c r="D16" s="661">
        <v>1088597</v>
      </c>
      <c r="E16" s="75">
        <v>735692</v>
      </c>
      <c r="F16" s="83"/>
      <c r="G16" s="654"/>
      <c r="H16" s="654"/>
      <c r="I16" s="654">
        <f t="shared" si="0"/>
        <v>0</v>
      </c>
      <c r="J16" s="75">
        <f t="shared" si="1"/>
        <v>735692</v>
      </c>
      <c r="K16" s="75">
        <f t="shared" si="3"/>
        <v>18392.3</v>
      </c>
      <c r="L16" s="680">
        <v>107478</v>
      </c>
      <c r="M16" s="681"/>
      <c r="N16" s="679">
        <f>L16+K16</f>
        <v>125870.3</v>
      </c>
      <c r="O16" s="108">
        <f>200000-N16</f>
        <v>74129.7</v>
      </c>
      <c r="P16" s="108">
        <f>J16+K16</f>
        <v>754084.3</v>
      </c>
    </row>
    <row r="17" ht="16" customHeight="1" spans="1:16">
      <c r="A17" s="135">
        <f t="shared" si="2"/>
        <v>10</v>
      </c>
      <c r="B17" s="664" t="s">
        <v>496</v>
      </c>
      <c r="C17" s="656"/>
      <c r="D17" s="653">
        <v>967246</v>
      </c>
      <c r="E17" s="658">
        <v>894727</v>
      </c>
      <c r="F17" s="1081" t="s">
        <v>387</v>
      </c>
      <c r="G17" s="659"/>
      <c r="H17" s="659">
        <v>25000</v>
      </c>
      <c r="I17" s="654">
        <f t="shared" si="0"/>
        <v>25000</v>
      </c>
      <c r="J17" s="658">
        <f t="shared" si="1"/>
        <v>894727</v>
      </c>
      <c r="K17" s="658">
        <f t="shared" si="3"/>
        <v>22368.175</v>
      </c>
      <c r="L17" s="658">
        <v>38012</v>
      </c>
      <c r="M17" s="682"/>
      <c r="N17" s="108"/>
      <c r="O17" s="108">
        <f>H17-K17</f>
        <v>2631.825</v>
      </c>
      <c r="P17" s="108">
        <f>L17-O17</f>
        <v>35380.175</v>
      </c>
    </row>
    <row r="18" ht="16" customHeight="1" spans="1:15">
      <c r="A18" s="135">
        <f t="shared" si="2"/>
        <v>11</v>
      </c>
      <c r="B18" s="655" t="s">
        <v>497</v>
      </c>
      <c r="C18" s="652"/>
      <c r="D18" s="653">
        <v>722590</v>
      </c>
      <c r="E18" s="75">
        <v>479931</v>
      </c>
      <c r="F18" s="83"/>
      <c r="G18" s="654"/>
      <c r="H18" s="654"/>
      <c r="I18" s="654">
        <f t="shared" si="0"/>
        <v>0</v>
      </c>
      <c r="J18" s="75">
        <f t="shared" si="1"/>
        <v>479931</v>
      </c>
      <c r="K18" s="658">
        <f t="shared" si="3"/>
        <v>11998.275</v>
      </c>
      <c r="L18" s="677">
        <v>83986</v>
      </c>
      <c r="M18" s="683"/>
      <c r="N18" s="679"/>
      <c r="O18" s="108"/>
    </row>
    <row r="19" ht="16" customHeight="1" spans="1:15">
      <c r="A19" s="135">
        <f t="shared" si="2"/>
        <v>12</v>
      </c>
      <c r="B19" s="664" t="s">
        <v>498</v>
      </c>
      <c r="C19" s="652"/>
      <c r="D19" s="653">
        <v>1784893</v>
      </c>
      <c r="E19" s="75">
        <v>1718491</v>
      </c>
      <c r="F19" s="1080" t="s">
        <v>387</v>
      </c>
      <c r="G19" s="654">
        <v>57038</v>
      </c>
      <c r="H19" s="654">
        <v>42962</v>
      </c>
      <c r="I19" s="654">
        <f t="shared" si="0"/>
        <v>100000</v>
      </c>
      <c r="J19" s="75">
        <f t="shared" si="1"/>
        <v>1661453</v>
      </c>
      <c r="K19" s="75">
        <f t="shared" si="3"/>
        <v>41536.325</v>
      </c>
      <c r="L19" s="677"/>
      <c r="M19" s="683"/>
      <c r="N19" s="108"/>
      <c r="O19" s="108">
        <f>100000-H19</f>
        <v>57038</v>
      </c>
    </row>
    <row r="20" ht="16" customHeight="1" spans="1:14">
      <c r="A20" s="135">
        <f t="shared" si="2"/>
        <v>13</v>
      </c>
      <c r="B20" s="664" t="s">
        <v>499</v>
      </c>
      <c r="C20" s="652"/>
      <c r="D20" s="653">
        <v>3611701</v>
      </c>
      <c r="E20" s="75">
        <v>3581845</v>
      </c>
      <c r="F20" s="83"/>
      <c r="G20" s="654"/>
      <c r="H20" s="659"/>
      <c r="I20" s="654">
        <f t="shared" si="0"/>
        <v>0</v>
      </c>
      <c r="J20" s="75">
        <f t="shared" si="1"/>
        <v>3581845</v>
      </c>
      <c r="K20" s="75">
        <f t="shared" si="3"/>
        <v>89546.125</v>
      </c>
      <c r="L20" s="672">
        <v>89546</v>
      </c>
      <c r="M20" s="673"/>
      <c r="N20" s="108">
        <f>100000-H20</f>
        <v>100000</v>
      </c>
    </row>
    <row r="21" ht="16" customHeight="1" spans="1:15">
      <c r="A21" s="135">
        <f t="shared" ref="A21:A26" si="4">A20+1</f>
        <v>14</v>
      </c>
      <c r="B21" s="664" t="s">
        <v>500</v>
      </c>
      <c r="C21" s="656"/>
      <c r="D21" s="653">
        <v>1755363</v>
      </c>
      <c r="E21" s="658">
        <v>1263615</v>
      </c>
      <c r="F21" s="106"/>
      <c r="G21" s="659"/>
      <c r="H21" s="659"/>
      <c r="I21" s="654">
        <f t="shared" ref="I21:I34" si="5">G21+H21</f>
        <v>0</v>
      </c>
      <c r="J21" s="658">
        <f t="shared" ref="J21:J59" si="6">SUM(E21-G21)</f>
        <v>1263615</v>
      </c>
      <c r="K21" s="75">
        <f t="shared" ref="K21:K31" si="7">SUM(J21*2.5%)</f>
        <v>31590.375</v>
      </c>
      <c r="L21" s="684">
        <v>157950</v>
      </c>
      <c r="M21" s="673"/>
      <c r="N21" s="679"/>
      <c r="O21" s="108" t="e">
        <f>#REF!+#REF!</f>
        <v>#REF!</v>
      </c>
    </row>
    <row r="22" ht="16" customHeight="1" spans="1:15">
      <c r="A22" s="135">
        <f t="shared" si="4"/>
        <v>15</v>
      </c>
      <c r="B22" s="665" t="s">
        <v>501</v>
      </c>
      <c r="C22" s="652"/>
      <c r="D22" s="653">
        <v>1755480</v>
      </c>
      <c r="E22" s="75">
        <v>1407699</v>
      </c>
      <c r="F22" s="83"/>
      <c r="G22" s="654"/>
      <c r="H22" s="654"/>
      <c r="I22" s="654">
        <f t="shared" si="5"/>
        <v>0</v>
      </c>
      <c r="J22" s="75">
        <f t="shared" si="6"/>
        <v>1407699</v>
      </c>
      <c r="K22" s="75">
        <f t="shared" si="7"/>
        <v>35192.475</v>
      </c>
      <c r="L22" s="672">
        <v>35192</v>
      </c>
      <c r="M22" s="673"/>
      <c r="N22" s="685"/>
      <c r="O22" s="108"/>
    </row>
    <row r="23" ht="16" customHeight="1" spans="1:13">
      <c r="A23" s="135">
        <f t="shared" si="4"/>
        <v>16</v>
      </c>
      <c r="B23" s="665" t="s">
        <v>502</v>
      </c>
      <c r="C23" s="656"/>
      <c r="D23" s="653">
        <v>1493970</v>
      </c>
      <c r="E23" s="658">
        <v>1415178</v>
      </c>
      <c r="F23" s="1081" t="s">
        <v>292</v>
      </c>
      <c r="G23" s="659">
        <v>50000</v>
      </c>
      <c r="H23" s="659"/>
      <c r="I23" s="654">
        <f t="shared" si="5"/>
        <v>50000</v>
      </c>
      <c r="J23" s="658">
        <f t="shared" si="6"/>
        <v>1365178</v>
      </c>
      <c r="K23" s="658"/>
      <c r="L23" s="672"/>
      <c r="M23" s="686" t="s">
        <v>503</v>
      </c>
    </row>
    <row r="24" ht="16" customHeight="1" spans="1:13">
      <c r="A24" s="135">
        <f t="shared" si="4"/>
        <v>17</v>
      </c>
      <c r="B24" s="665" t="s">
        <v>449</v>
      </c>
      <c r="C24" s="1079" t="s">
        <v>504</v>
      </c>
      <c r="D24" s="653">
        <v>2868402</v>
      </c>
      <c r="E24" s="75">
        <v>0</v>
      </c>
      <c r="F24" s="83"/>
      <c r="G24" s="654"/>
      <c r="H24" s="654"/>
      <c r="I24" s="654">
        <f t="shared" si="5"/>
        <v>0</v>
      </c>
      <c r="J24" s="75">
        <f t="shared" si="6"/>
        <v>0</v>
      </c>
      <c r="K24" s="75">
        <f t="shared" si="7"/>
        <v>0</v>
      </c>
      <c r="L24" s="672">
        <v>264256</v>
      </c>
      <c r="M24" s="673"/>
    </row>
    <row r="25" ht="16" customHeight="1" spans="1:15">
      <c r="A25" s="135">
        <f t="shared" si="4"/>
        <v>18</v>
      </c>
      <c r="B25" s="665" t="s">
        <v>505</v>
      </c>
      <c r="C25" s="656"/>
      <c r="D25" s="653">
        <v>1876372</v>
      </c>
      <c r="E25" s="658">
        <v>642316</v>
      </c>
      <c r="F25" s="106"/>
      <c r="G25" s="659"/>
      <c r="H25" s="659"/>
      <c r="I25" s="654">
        <f t="shared" si="5"/>
        <v>0</v>
      </c>
      <c r="J25" s="658">
        <f t="shared" si="6"/>
        <v>642316</v>
      </c>
      <c r="K25" s="75">
        <f t="shared" si="7"/>
        <v>16057.9</v>
      </c>
      <c r="L25" s="684">
        <v>16058</v>
      </c>
      <c r="M25" s="673"/>
      <c r="N25" s="679"/>
      <c r="O25" s="108"/>
    </row>
    <row r="26" ht="16" customHeight="1" spans="1:15">
      <c r="A26" s="135">
        <f t="shared" si="4"/>
        <v>19</v>
      </c>
      <c r="B26" s="665" t="s">
        <v>506</v>
      </c>
      <c r="C26" s="1079" t="s">
        <v>507</v>
      </c>
      <c r="D26" s="653">
        <v>2000000</v>
      </c>
      <c r="E26" s="75">
        <v>1853518</v>
      </c>
      <c r="F26" s="1080" t="s">
        <v>387</v>
      </c>
      <c r="G26" s="654">
        <v>3662</v>
      </c>
      <c r="H26" s="659">
        <v>46338</v>
      </c>
      <c r="I26" s="654">
        <f t="shared" si="5"/>
        <v>50000</v>
      </c>
      <c r="J26" s="75">
        <f t="shared" si="6"/>
        <v>1849856</v>
      </c>
      <c r="K26" s="75">
        <f t="shared" si="7"/>
        <v>46246.4</v>
      </c>
      <c r="L26" s="672"/>
      <c r="M26" s="673"/>
      <c r="N26" s="108">
        <f>50000-H26</f>
        <v>3662</v>
      </c>
      <c r="O26" s="108"/>
    </row>
    <row r="27" ht="16" customHeight="1" spans="1:14">
      <c r="A27" s="135">
        <f t="shared" ref="A21:A62" si="8">A26+1</f>
        <v>20</v>
      </c>
      <c r="B27" s="665" t="s">
        <v>508</v>
      </c>
      <c r="C27" s="1079" t="s">
        <v>509</v>
      </c>
      <c r="D27" s="653">
        <v>4568513</v>
      </c>
      <c r="E27" s="75">
        <v>4394990</v>
      </c>
      <c r="F27" s="1080" t="s">
        <v>292</v>
      </c>
      <c r="G27" s="654"/>
      <c r="H27" s="654">
        <v>100000</v>
      </c>
      <c r="I27" s="654">
        <f t="shared" si="5"/>
        <v>100000</v>
      </c>
      <c r="J27" s="75">
        <f t="shared" si="6"/>
        <v>4394990</v>
      </c>
      <c r="K27" s="75">
        <f t="shared" si="7"/>
        <v>109874.75</v>
      </c>
      <c r="L27" s="672">
        <v>388875</v>
      </c>
      <c r="M27" s="687"/>
      <c r="N27" s="679"/>
    </row>
    <row r="28" ht="16" customHeight="1" spans="1:15">
      <c r="A28" s="135">
        <f t="shared" si="8"/>
        <v>21</v>
      </c>
      <c r="B28" s="665" t="s">
        <v>355</v>
      </c>
      <c r="C28" s="1079" t="s">
        <v>510</v>
      </c>
      <c r="D28" s="653">
        <v>2381327</v>
      </c>
      <c r="E28" s="75">
        <v>1719197</v>
      </c>
      <c r="F28" s="1080" t="s">
        <v>353</v>
      </c>
      <c r="G28" s="654">
        <v>7020</v>
      </c>
      <c r="H28" s="654">
        <v>42980</v>
      </c>
      <c r="I28" s="654">
        <f t="shared" si="5"/>
        <v>50000</v>
      </c>
      <c r="J28" s="75">
        <f t="shared" si="6"/>
        <v>1712177</v>
      </c>
      <c r="K28" s="75">
        <f t="shared" si="7"/>
        <v>42804.425</v>
      </c>
      <c r="L28" s="672"/>
      <c r="M28" s="673"/>
      <c r="N28" s="108"/>
      <c r="O28" s="108">
        <f>50000-H28</f>
        <v>7020</v>
      </c>
    </row>
    <row r="29" ht="16" customHeight="1" spans="1:15">
      <c r="A29" s="135">
        <f t="shared" si="8"/>
        <v>22</v>
      </c>
      <c r="B29" s="665" t="s">
        <v>511</v>
      </c>
      <c r="C29" s="1079" t="s">
        <v>510</v>
      </c>
      <c r="D29" s="653">
        <v>5911040</v>
      </c>
      <c r="E29" s="75">
        <v>5911040</v>
      </c>
      <c r="F29" s="1080" t="s">
        <v>387</v>
      </c>
      <c r="G29" s="654"/>
      <c r="H29" s="654">
        <v>150000</v>
      </c>
      <c r="I29" s="654">
        <f t="shared" si="5"/>
        <v>150000</v>
      </c>
      <c r="J29" s="75">
        <f t="shared" si="6"/>
        <v>5911040</v>
      </c>
      <c r="K29" s="75">
        <f t="shared" si="7"/>
        <v>147776</v>
      </c>
      <c r="L29" s="672">
        <v>421936</v>
      </c>
      <c r="M29" s="673"/>
      <c r="N29" s="108"/>
      <c r="O29" s="679">
        <f>H29-K29</f>
        <v>2224</v>
      </c>
    </row>
    <row r="30" ht="16" customHeight="1" spans="1:15">
      <c r="A30" s="135">
        <f t="shared" si="8"/>
        <v>23</v>
      </c>
      <c r="B30" s="665" t="s">
        <v>512</v>
      </c>
      <c r="C30" s="1079" t="s">
        <v>510</v>
      </c>
      <c r="D30" s="653">
        <v>2000000</v>
      </c>
      <c r="E30" s="75">
        <v>480406</v>
      </c>
      <c r="F30" s="83"/>
      <c r="G30" s="654"/>
      <c r="H30" s="654"/>
      <c r="I30" s="654">
        <f t="shared" si="5"/>
        <v>0</v>
      </c>
      <c r="J30" s="75">
        <f t="shared" si="6"/>
        <v>480406</v>
      </c>
      <c r="K30" s="75">
        <f t="shared" si="7"/>
        <v>12010.15</v>
      </c>
      <c r="L30" s="684">
        <v>60185</v>
      </c>
      <c r="M30" s="673"/>
      <c r="N30" s="679"/>
      <c r="O30" s="679">
        <f>L29-O29</f>
        <v>419712</v>
      </c>
    </row>
    <row r="31" ht="16" customHeight="1" spans="1:13">
      <c r="A31" s="135">
        <f t="shared" si="8"/>
        <v>24</v>
      </c>
      <c r="B31" s="651" t="s">
        <v>513</v>
      </c>
      <c r="C31" s="1082" t="s">
        <v>510</v>
      </c>
      <c r="D31" s="653">
        <v>1202503</v>
      </c>
      <c r="E31" s="658">
        <v>813026</v>
      </c>
      <c r="F31" s="106"/>
      <c r="G31" s="659"/>
      <c r="H31" s="659"/>
      <c r="I31" s="654">
        <f t="shared" si="5"/>
        <v>0</v>
      </c>
      <c r="J31" s="658">
        <f t="shared" si="6"/>
        <v>813026</v>
      </c>
      <c r="K31" s="75"/>
      <c r="L31" s="672"/>
      <c r="M31" s="686" t="s">
        <v>514</v>
      </c>
    </row>
    <row r="32" ht="16" customHeight="1" spans="1:13">
      <c r="A32" s="135">
        <f t="shared" si="8"/>
        <v>25</v>
      </c>
      <c r="B32" s="665" t="s">
        <v>515</v>
      </c>
      <c r="C32" s="1079" t="s">
        <v>510</v>
      </c>
      <c r="D32" s="653">
        <v>22500000</v>
      </c>
      <c r="E32" s="75">
        <v>20000000</v>
      </c>
      <c r="F32" s="1080" t="s">
        <v>387</v>
      </c>
      <c r="G32" s="654"/>
      <c r="H32" s="666">
        <v>500000</v>
      </c>
      <c r="I32" s="654">
        <f t="shared" si="5"/>
        <v>500000</v>
      </c>
      <c r="J32" s="75">
        <f t="shared" si="6"/>
        <v>20000000</v>
      </c>
      <c r="K32" s="75">
        <f>SUM(J32*2.5%)</f>
        <v>500000</v>
      </c>
      <c r="L32" s="672"/>
      <c r="M32" s="673"/>
    </row>
    <row r="33" ht="16" customHeight="1" spans="1:17">
      <c r="A33" s="135">
        <f t="shared" si="8"/>
        <v>26</v>
      </c>
      <c r="B33" s="665" t="s">
        <v>516</v>
      </c>
      <c r="C33" s="1079" t="s">
        <v>517</v>
      </c>
      <c r="D33" s="653">
        <v>1496052</v>
      </c>
      <c r="E33" s="75">
        <v>1228857</v>
      </c>
      <c r="F33" s="1080" t="s">
        <v>387</v>
      </c>
      <c r="G33" s="654">
        <v>4279</v>
      </c>
      <c r="H33" s="654">
        <v>30721</v>
      </c>
      <c r="I33" s="654">
        <f t="shared" si="5"/>
        <v>35000</v>
      </c>
      <c r="J33" s="75">
        <f t="shared" si="6"/>
        <v>1224578</v>
      </c>
      <c r="K33" s="75">
        <f>SUM(J33*2.5%)</f>
        <v>30614.45</v>
      </c>
      <c r="L33" s="672"/>
      <c r="M33" s="673"/>
      <c r="N33" s="108"/>
      <c r="P33" s="108">
        <f>35000-H33</f>
        <v>4279</v>
      </c>
      <c r="Q33" s="108">
        <f>50000-H33</f>
        <v>19279</v>
      </c>
    </row>
    <row r="34" ht="16" customHeight="1" spans="1:15">
      <c r="A34" s="135">
        <f t="shared" si="8"/>
        <v>27</v>
      </c>
      <c r="B34" s="665" t="s">
        <v>518</v>
      </c>
      <c r="C34" s="652"/>
      <c r="D34" s="653">
        <v>1360543</v>
      </c>
      <c r="E34" s="75">
        <v>694762</v>
      </c>
      <c r="F34" s="83"/>
      <c r="G34" s="654"/>
      <c r="H34" s="654"/>
      <c r="I34" s="654">
        <f t="shared" si="5"/>
        <v>0</v>
      </c>
      <c r="J34" s="75">
        <f t="shared" si="6"/>
        <v>694762</v>
      </c>
      <c r="K34" s="75">
        <f>SUM(J34*2.5%)</f>
        <v>17369.05</v>
      </c>
      <c r="L34" s="672">
        <v>36845</v>
      </c>
      <c r="M34" s="673"/>
      <c r="N34" s="679"/>
      <c r="O34" s="679"/>
    </row>
    <row r="35" ht="16" customHeight="1" spans="1:14">
      <c r="A35" s="135">
        <f t="shared" si="8"/>
        <v>28</v>
      </c>
      <c r="B35" s="665" t="s">
        <v>519</v>
      </c>
      <c r="C35" s="1079" t="s">
        <v>520</v>
      </c>
      <c r="D35" s="653">
        <v>2000000</v>
      </c>
      <c r="E35" s="75">
        <v>2000000</v>
      </c>
      <c r="F35" s="83"/>
      <c r="G35" s="654"/>
      <c r="H35" s="654"/>
      <c r="I35" s="654">
        <f t="shared" ref="I35:I59" si="9">G35+H35</f>
        <v>0</v>
      </c>
      <c r="J35" s="75">
        <f t="shared" si="6"/>
        <v>2000000</v>
      </c>
      <c r="K35" s="75">
        <f t="shared" ref="K35:K58" si="10">SUM(J35*2.5%)</f>
        <v>50000</v>
      </c>
      <c r="L35" s="672">
        <v>810000</v>
      </c>
      <c r="M35" s="673"/>
      <c r="N35" s="679">
        <f>L35/K35</f>
        <v>16.2</v>
      </c>
    </row>
    <row r="36" ht="16" customHeight="1" spans="1:15">
      <c r="A36" s="135">
        <f t="shared" si="8"/>
        <v>29</v>
      </c>
      <c r="B36" s="665" t="s">
        <v>521</v>
      </c>
      <c r="C36" s="1082" t="s">
        <v>522</v>
      </c>
      <c r="D36" s="653">
        <v>10000000</v>
      </c>
      <c r="E36" s="658">
        <v>6331603</v>
      </c>
      <c r="F36" s="1081" t="s">
        <v>387</v>
      </c>
      <c r="G36" s="659">
        <v>1710</v>
      </c>
      <c r="H36" s="659">
        <v>158290</v>
      </c>
      <c r="I36" s="654">
        <f t="shared" si="9"/>
        <v>160000</v>
      </c>
      <c r="J36" s="658">
        <f t="shared" si="6"/>
        <v>6329893</v>
      </c>
      <c r="K36" s="75">
        <f t="shared" si="10"/>
        <v>158247.325</v>
      </c>
      <c r="L36" s="672"/>
      <c r="M36" s="673"/>
      <c r="N36" s="679"/>
      <c r="O36" s="108">
        <f>160000-H36</f>
        <v>1710</v>
      </c>
    </row>
    <row r="37" ht="16" customHeight="1" spans="1:15">
      <c r="A37" s="135">
        <f t="shared" si="8"/>
        <v>30</v>
      </c>
      <c r="B37" s="665" t="s">
        <v>523</v>
      </c>
      <c r="C37" s="1079" t="s">
        <v>491</v>
      </c>
      <c r="D37" s="653">
        <v>1692069</v>
      </c>
      <c r="E37" s="75">
        <v>1655980</v>
      </c>
      <c r="F37" s="1080" t="s">
        <v>370</v>
      </c>
      <c r="G37" s="654">
        <v>8600</v>
      </c>
      <c r="H37" s="654">
        <v>41400</v>
      </c>
      <c r="I37" s="654">
        <f t="shared" si="9"/>
        <v>50000</v>
      </c>
      <c r="J37" s="75">
        <f t="shared" si="6"/>
        <v>1647380</v>
      </c>
      <c r="K37" s="75">
        <f t="shared" si="10"/>
        <v>41184.5</v>
      </c>
      <c r="L37" s="672"/>
      <c r="M37" s="673"/>
      <c r="N37" s="108"/>
      <c r="O37" s="679"/>
    </row>
    <row r="38" ht="16" customHeight="1" spans="1:14">
      <c r="A38" s="135">
        <f t="shared" si="8"/>
        <v>31</v>
      </c>
      <c r="B38" s="665" t="s">
        <v>524</v>
      </c>
      <c r="C38" s="1082" t="s">
        <v>491</v>
      </c>
      <c r="D38" s="653">
        <v>1484513</v>
      </c>
      <c r="E38" s="658">
        <v>53867</v>
      </c>
      <c r="F38" s="1081" t="s">
        <v>360</v>
      </c>
      <c r="G38" s="659">
        <v>53867</v>
      </c>
      <c r="H38" s="659">
        <v>1347</v>
      </c>
      <c r="I38" s="654">
        <f t="shared" si="9"/>
        <v>55214</v>
      </c>
      <c r="J38" s="658">
        <f t="shared" si="6"/>
        <v>0</v>
      </c>
      <c r="K38" s="658">
        <f t="shared" si="10"/>
        <v>0</v>
      </c>
      <c r="L38" s="672"/>
      <c r="M38" s="673"/>
      <c r="N38" s="108"/>
    </row>
    <row r="39" ht="16" customHeight="1" spans="1:13">
      <c r="A39" s="135">
        <f t="shared" si="8"/>
        <v>32</v>
      </c>
      <c r="B39" s="665" t="s">
        <v>525</v>
      </c>
      <c r="C39" s="656" t="e">
        <f>#REF!</f>
        <v>#REF!</v>
      </c>
      <c r="D39" s="653">
        <v>7938265</v>
      </c>
      <c r="E39" s="658">
        <v>6653359</v>
      </c>
      <c r="F39" s="1081" t="s">
        <v>387</v>
      </c>
      <c r="G39" s="659">
        <v>100000</v>
      </c>
      <c r="H39" s="659">
        <v>100000</v>
      </c>
      <c r="I39" s="654">
        <f t="shared" si="9"/>
        <v>200000</v>
      </c>
      <c r="J39" s="658">
        <f t="shared" si="6"/>
        <v>6553359</v>
      </c>
      <c r="K39" s="658">
        <f t="shared" si="10"/>
        <v>163833.975</v>
      </c>
      <c r="L39" s="672">
        <v>916840</v>
      </c>
      <c r="M39" s="687" t="s">
        <v>526</v>
      </c>
    </row>
    <row r="40" ht="16" customHeight="1" spans="1:15">
      <c r="A40" s="135">
        <f t="shared" si="8"/>
        <v>33</v>
      </c>
      <c r="B40" s="665" t="s">
        <v>527</v>
      </c>
      <c r="C40" s="1083" t="s">
        <v>528</v>
      </c>
      <c r="D40" s="653">
        <v>1585780</v>
      </c>
      <c r="E40" s="658">
        <v>471324</v>
      </c>
      <c r="F40" s="106"/>
      <c r="G40" s="659"/>
      <c r="H40" s="659"/>
      <c r="I40" s="654">
        <f t="shared" si="9"/>
        <v>0</v>
      </c>
      <c r="J40" s="658">
        <f t="shared" si="6"/>
        <v>471324</v>
      </c>
      <c r="K40" s="658">
        <f t="shared" si="10"/>
        <v>11783.1</v>
      </c>
      <c r="L40" s="672">
        <v>23566</v>
      </c>
      <c r="M40" s="687"/>
      <c r="N40" s="679"/>
      <c r="O40" s="108"/>
    </row>
    <row r="41" ht="16" customHeight="1" spans="1:14">
      <c r="A41" s="135">
        <f t="shared" si="8"/>
        <v>34</v>
      </c>
      <c r="B41" s="665" t="s">
        <v>529</v>
      </c>
      <c r="C41" s="1082" t="s">
        <v>530</v>
      </c>
      <c r="D41" s="653">
        <v>4187495</v>
      </c>
      <c r="E41" s="658">
        <v>2398610</v>
      </c>
      <c r="F41" s="106"/>
      <c r="G41" s="659"/>
      <c r="H41" s="659"/>
      <c r="I41" s="654">
        <f t="shared" si="9"/>
        <v>0</v>
      </c>
      <c r="J41" s="658">
        <f t="shared" si="6"/>
        <v>2398610</v>
      </c>
      <c r="K41" s="658">
        <f t="shared" si="10"/>
        <v>59965.25</v>
      </c>
      <c r="L41" s="684">
        <v>126599</v>
      </c>
      <c r="M41" s="673"/>
      <c r="N41" s="679"/>
    </row>
    <row r="42" ht="16" customHeight="1" spans="1:15">
      <c r="A42" s="135">
        <f t="shared" si="8"/>
        <v>35</v>
      </c>
      <c r="B42" s="665" t="s">
        <v>531</v>
      </c>
      <c r="C42" s="1082" t="s">
        <v>532</v>
      </c>
      <c r="D42" s="653">
        <v>4626747</v>
      </c>
      <c r="E42" s="658">
        <v>4371983</v>
      </c>
      <c r="F42" s="1081" t="s">
        <v>387</v>
      </c>
      <c r="G42" s="659">
        <v>700</v>
      </c>
      <c r="H42" s="659">
        <v>109300</v>
      </c>
      <c r="I42" s="654">
        <f t="shared" si="9"/>
        <v>110000</v>
      </c>
      <c r="J42" s="658">
        <f t="shared" si="6"/>
        <v>4371283</v>
      </c>
      <c r="K42" s="658">
        <f t="shared" si="10"/>
        <v>109282.075</v>
      </c>
      <c r="L42" s="672"/>
      <c r="M42" s="687"/>
      <c r="N42" s="108"/>
      <c r="O42" s="108">
        <f>110000-H42</f>
        <v>700</v>
      </c>
    </row>
    <row r="43" ht="16" customHeight="1" spans="1:14">
      <c r="A43" s="135">
        <f t="shared" si="8"/>
        <v>36</v>
      </c>
      <c r="B43" s="665" t="s">
        <v>393</v>
      </c>
      <c r="C43" s="1082" t="str">
        <f>C42</f>
        <v>30-11-2022</v>
      </c>
      <c r="D43" s="653">
        <v>2213403</v>
      </c>
      <c r="E43" s="658">
        <v>1164477</v>
      </c>
      <c r="F43" s="1081" t="s">
        <v>387</v>
      </c>
      <c r="G43" s="659">
        <v>70888</v>
      </c>
      <c r="H43" s="659">
        <v>29112</v>
      </c>
      <c r="I43" s="654">
        <f t="shared" si="9"/>
        <v>100000</v>
      </c>
      <c r="J43" s="658">
        <f t="shared" si="6"/>
        <v>1093589</v>
      </c>
      <c r="K43" s="658">
        <f t="shared" si="10"/>
        <v>27339.725</v>
      </c>
      <c r="L43" s="672"/>
      <c r="M43" s="673"/>
      <c r="N43" s="108"/>
    </row>
    <row r="44" ht="16" customHeight="1" spans="1:15">
      <c r="A44" s="135">
        <f t="shared" si="8"/>
        <v>37</v>
      </c>
      <c r="B44" s="665" t="s">
        <v>533</v>
      </c>
      <c r="C44" s="1082" t="s">
        <v>534</v>
      </c>
      <c r="D44" s="653">
        <v>8457758</v>
      </c>
      <c r="E44" s="658">
        <v>7202867</v>
      </c>
      <c r="F44" s="1081" t="s">
        <v>387</v>
      </c>
      <c r="G44" s="659">
        <v>139856</v>
      </c>
      <c r="H44" s="659">
        <v>360144</v>
      </c>
      <c r="I44" s="654">
        <f t="shared" si="9"/>
        <v>500000</v>
      </c>
      <c r="J44" s="658">
        <f t="shared" si="6"/>
        <v>7063011</v>
      </c>
      <c r="K44" s="658">
        <f t="shared" si="10"/>
        <v>176575.275</v>
      </c>
      <c r="L44" s="672"/>
      <c r="M44" s="673"/>
      <c r="N44" s="108"/>
      <c r="O44" s="679"/>
    </row>
    <row r="45" ht="16" customHeight="1" spans="1:16">
      <c r="A45" s="135">
        <f t="shared" si="8"/>
        <v>38</v>
      </c>
      <c r="B45" s="665" t="s">
        <v>372</v>
      </c>
      <c r="C45" s="1082" t="s">
        <v>535</v>
      </c>
      <c r="D45" s="653">
        <v>1542965</v>
      </c>
      <c r="E45" s="658">
        <v>1451957</v>
      </c>
      <c r="F45" s="1081" t="s">
        <v>370</v>
      </c>
      <c r="G45" s="659"/>
      <c r="H45" s="659">
        <v>50000</v>
      </c>
      <c r="I45" s="654">
        <f t="shared" si="9"/>
        <v>50000</v>
      </c>
      <c r="J45" s="658">
        <f t="shared" si="6"/>
        <v>1451957</v>
      </c>
      <c r="K45" s="658">
        <f t="shared" si="10"/>
        <v>36298.925</v>
      </c>
      <c r="L45" s="672">
        <v>22598</v>
      </c>
      <c r="M45" s="673"/>
      <c r="N45" s="679"/>
      <c r="O45" s="108"/>
      <c r="P45" s="679"/>
    </row>
    <row r="46" ht="16" customHeight="1" spans="1:16">
      <c r="A46" s="135">
        <f t="shared" si="8"/>
        <v>39</v>
      </c>
      <c r="B46" s="665" t="s">
        <v>320</v>
      </c>
      <c r="C46" s="1082" t="s">
        <v>536</v>
      </c>
      <c r="D46" s="653">
        <v>5000000</v>
      </c>
      <c r="E46" s="658">
        <v>3800000</v>
      </c>
      <c r="F46" s="1081" t="s">
        <v>318</v>
      </c>
      <c r="G46" s="659">
        <v>1000000</v>
      </c>
      <c r="H46" s="659"/>
      <c r="I46" s="654">
        <f t="shared" si="9"/>
        <v>1000000</v>
      </c>
      <c r="J46" s="658">
        <f t="shared" si="6"/>
        <v>2800000</v>
      </c>
      <c r="K46" s="658"/>
      <c r="L46" s="672"/>
      <c r="M46" s="687" t="s">
        <v>503</v>
      </c>
      <c r="P46" s="679"/>
    </row>
    <row r="47" ht="16" customHeight="1" spans="1:15">
      <c r="A47" s="135">
        <f t="shared" si="8"/>
        <v>40</v>
      </c>
      <c r="B47" s="665" t="s">
        <v>537</v>
      </c>
      <c r="C47" s="1079" t="s">
        <v>538</v>
      </c>
      <c r="D47" s="653">
        <v>979700</v>
      </c>
      <c r="E47" s="75">
        <v>910798</v>
      </c>
      <c r="F47" s="1080" t="s">
        <v>387</v>
      </c>
      <c r="G47" s="654">
        <v>7230</v>
      </c>
      <c r="H47" s="654">
        <v>22770</v>
      </c>
      <c r="I47" s="654">
        <f t="shared" si="9"/>
        <v>30000</v>
      </c>
      <c r="J47" s="75">
        <f t="shared" si="6"/>
        <v>903568</v>
      </c>
      <c r="K47" s="75">
        <f t="shared" si="10"/>
        <v>22589.2</v>
      </c>
      <c r="L47" s="672"/>
      <c r="M47" s="673"/>
      <c r="N47" s="108"/>
      <c r="O47" s="108"/>
    </row>
    <row r="48" ht="16" customHeight="1" spans="1:15">
      <c r="A48" s="135">
        <f t="shared" si="8"/>
        <v>41</v>
      </c>
      <c r="B48" s="665" t="s">
        <v>539</v>
      </c>
      <c r="C48" s="1079" t="str">
        <f t="shared" ref="C46:C53" si="11">C47</f>
        <v>08-02-2023</v>
      </c>
      <c r="D48" s="653">
        <v>3494209</v>
      </c>
      <c r="E48" s="75">
        <v>3403991</v>
      </c>
      <c r="F48" s="1080" t="s">
        <v>387</v>
      </c>
      <c r="G48" s="659"/>
      <c r="H48" s="654">
        <v>100000</v>
      </c>
      <c r="I48" s="654">
        <f t="shared" si="9"/>
        <v>100000</v>
      </c>
      <c r="J48" s="75">
        <f t="shared" si="6"/>
        <v>3403991</v>
      </c>
      <c r="K48" s="75">
        <f t="shared" si="10"/>
        <v>85099.775</v>
      </c>
      <c r="L48" s="684">
        <v>53541</v>
      </c>
      <c r="M48" s="673"/>
      <c r="N48" s="108"/>
      <c r="O48" s="108">
        <f>H48-K48</f>
        <v>14900.225</v>
      </c>
    </row>
    <row r="49" ht="16" customHeight="1" spans="1:15">
      <c r="A49" s="135">
        <f t="shared" si="8"/>
        <v>42</v>
      </c>
      <c r="B49" s="665" t="s">
        <v>540</v>
      </c>
      <c r="C49" s="1079" t="str">
        <f t="shared" si="11"/>
        <v>08-02-2023</v>
      </c>
      <c r="D49" s="653">
        <v>2500000</v>
      </c>
      <c r="E49" s="75">
        <v>2244401</v>
      </c>
      <c r="F49" s="83"/>
      <c r="G49" s="654"/>
      <c r="H49" s="654"/>
      <c r="I49" s="654">
        <f t="shared" si="9"/>
        <v>0</v>
      </c>
      <c r="J49" s="75">
        <f t="shared" si="6"/>
        <v>2244401</v>
      </c>
      <c r="K49" s="75">
        <f t="shared" si="10"/>
        <v>56110.025</v>
      </c>
      <c r="L49" s="672">
        <v>56110</v>
      </c>
      <c r="M49" s="687"/>
      <c r="N49" s="679"/>
      <c r="O49" s="679">
        <f>L48-O48</f>
        <v>38640.775</v>
      </c>
    </row>
    <row r="50" ht="16" customHeight="1" spans="1:15">
      <c r="A50" s="135">
        <f t="shared" si="8"/>
        <v>43</v>
      </c>
      <c r="B50" s="665" t="s">
        <v>541</v>
      </c>
      <c r="C50" s="1079" t="str">
        <f t="shared" si="11"/>
        <v>08-02-2023</v>
      </c>
      <c r="D50" s="653">
        <v>1377442</v>
      </c>
      <c r="E50" s="75">
        <v>924913</v>
      </c>
      <c r="F50" s="1080" t="s">
        <v>375</v>
      </c>
      <c r="G50" s="654">
        <v>26877</v>
      </c>
      <c r="H50" s="654">
        <v>23123</v>
      </c>
      <c r="I50" s="654">
        <f t="shared" si="9"/>
        <v>50000</v>
      </c>
      <c r="J50" s="75">
        <f t="shared" si="6"/>
        <v>898036</v>
      </c>
      <c r="K50" s="75">
        <f t="shared" si="10"/>
        <v>22450.9</v>
      </c>
      <c r="L50" s="672"/>
      <c r="M50" s="673"/>
      <c r="N50" s="679"/>
      <c r="O50" s="108"/>
    </row>
    <row r="51" ht="16" customHeight="1" spans="1:16">
      <c r="A51" s="135">
        <f t="shared" si="8"/>
        <v>44</v>
      </c>
      <c r="B51" s="665" t="s">
        <v>542</v>
      </c>
      <c r="C51" s="1079" t="str">
        <f t="shared" si="11"/>
        <v>08-02-2023</v>
      </c>
      <c r="D51" s="653">
        <v>1450269</v>
      </c>
      <c r="E51" s="75">
        <v>1432586</v>
      </c>
      <c r="F51" s="1080" t="s">
        <v>387</v>
      </c>
      <c r="G51" s="654">
        <v>56035</v>
      </c>
      <c r="H51" s="668">
        <v>43965</v>
      </c>
      <c r="I51" s="654">
        <f t="shared" si="9"/>
        <v>100000</v>
      </c>
      <c r="J51" s="75">
        <f t="shared" si="6"/>
        <v>1376551</v>
      </c>
      <c r="K51" s="75">
        <f t="shared" si="10"/>
        <v>34413.775</v>
      </c>
      <c r="L51" s="672"/>
      <c r="M51" s="687"/>
      <c r="N51" s="679"/>
      <c r="O51" s="108"/>
      <c r="P51" s="108"/>
    </row>
    <row r="52" ht="16" customHeight="1" spans="1:14">
      <c r="A52" s="135">
        <f t="shared" si="8"/>
        <v>45</v>
      </c>
      <c r="B52" s="665" t="s">
        <v>543</v>
      </c>
      <c r="C52" s="1079" t="str">
        <f t="shared" si="11"/>
        <v>08-02-2023</v>
      </c>
      <c r="D52" s="653">
        <v>2613922</v>
      </c>
      <c r="E52" s="75">
        <v>1417680</v>
      </c>
      <c r="F52" s="83"/>
      <c r="G52" s="654"/>
      <c r="H52" s="654"/>
      <c r="I52" s="654">
        <f t="shared" si="9"/>
        <v>0</v>
      </c>
      <c r="J52" s="75">
        <f t="shared" si="6"/>
        <v>1417680</v>
      </c>
      <c r="K52" s="75">
        <f t="shared" si="10"/>
        <v>35442</v>
      </c>
      <c r="L52" s="672">
        <v>35442</v>
      </c>
      <c r="M52" s="673"/>
      <c r="N52" s="679"/>
    </row>
    <row r="53" ht="16" customHeight="1" spans="1:14">
      <c r="A53" s="135">
        <f t="shared" si="8"/>
        <v>46</v>
      </c>
      <c r="B53" s="665" t="s">
        <v>544</v>
      </c>
      <c r="C53" s="1079" t="str">
        <f t="shared" si="11"/>
        <v>08-02-2023</v>
      </c>
      <c r="D53" s="653">
        <v>4318751</v>
      </c>
      <c r="E53" s="75">
        <v>1488847</v>
      </c>
      <c r="F53" s="1080" t="s">
        <v>353</v>
      </c>
      <c r="G53" s="654">
        <v>162779</v>
      </c>
      <c r="H53" s="654">
        <v>37221</v>
      </c>
      <c r="I53" s="654">
        <f t="shared" si="9"/>
        <v>200000</v>
      </c>
      <c r="J53" s="75">
        <f t="shared" si="6"/>
        <v>1326068</v>
      </c>
      <c r="K53" s="75">
        <f t="shared" si="10"/>
        <v>33151.7</v>
      </c>
      <c r="L53" s="672"/>
      <c r="M53" s="673"/>
      <c r="N53" s="108">
        <f>200000-H53</f>
        <v>162779</v>
      </c>
    </row>
    <row r="54" ht="16" customHeight="1" spans="1:15">
      <c r="A54" s="135">
        <f t="shared" si="8"/>
        <v>47</v>
      </c>
      <c r="B54" s="665" t="s">
        <v>545</v>
      </c>
      <c r="C54" s="1079" t="s">
        <v>546</v>
      </c>
      <c r="D54" s="653">
        <v>2291126</v>
      </c>
      <c r="E54" s="75">
        <v>3940631</v>
      </c>
      <c r="F54" s="1080" t="s">
        <v>387</v>
      </c>
      <c r="G54" s="654">
        <v>5800</v>
      </c>
      <c r="H54" s="654">
        <v>294200</v>
      </c>
      <c r="I54" s="654">
        <f t="shared" si="9"/>
        <v>300000</v>
      </c>
      <c r="J54" s="75">
        <f t="shared" si="6"/>
        <v>3934831</v>
      </c>
      <c r="K54" s="75">
        <f t="shared" si="10"/>
        <v>98370.775</v>
      </c>
      <c r="L54" s="672"/>
      <c r="M54" s="673"/>
      <c r="N54" s="679">
        <f>300000-H54</f>
        <v>5800</v>
      </c>
      <c r="O54" s="679"/>
    </row>
    <row r="55" ht="16" customHeight="1" spans="1:14">
      <c r="A55" s="135">
        <f t="shared" si="8"/>
        <v>48</v>
      </c>
      <c r="B55" s="665" t="s">
        <v>547</v>
      </c>
      <c r="C55" s="1079" t="str">
        <f>C157</f>
        <v>01-03-2023</v>
      </c>
      <c r="D55" s="653">
        <v>1950889</v>
      </c>
      <c r="E55" s="75">
        <v>1947943</v>
      </c>
      <c r="F55" s="83"/>
      <c r="G55" s="654"/>
      <c r="H55" s="654"/>
      <c r="I55" s="654">
        <f t="shared" si="9"/>
        <v>0</v>
      </c>
      <c r="J55" s="75">
        <f t="shared" si="6"/>
        <v>1947943</v>
      </c>
      <c r="K55" s="75">
        <f t="shared" si="10"/>
        <v>48698.575</v>
      </c>
      <c r="L55" s="684">
        <v>752157</v>
      </c>
      <c r="M55" s="673"/>
      <c r="N55" s="679">
        <f>L54-N54</f>
        <v>-5800</v>
      </c>
    </row>
    <row r="56" ht="16" customHeight="1" spans="1:15">
      <c r="A56" s="135">
        <f t="shared" si="8"/>
        <v>49</v>
      </c>
      <c r="B56" s="665" t="s">
        <v>548</v>
      </c>
      <c r="C56" s="1079" t="s">
        <v>549</v>
      </c>
      <c r="D56" s="653">
        <v>1866287</v>
      </c>
      <c r="E56" s="75">
        <v>1513531</v>
      </c>
      <c r="F56" s="1080" t="s">
        <v>387</v>
      </c>
      <c r="G56" s="654">
        <v>12162</v>
      </c>
      <c r="H56" s="654">
        <v>37838</v>
      </c>
      <c r="I56" s="654">
        <f t="shared" si="9"/>
        <v>50000</v>
      </c>
      <c r="J56" s="75">
        <f t="shared" si="6"/>
        <v>1501369</v>
      </c>
      <c r="K56" s="75">
        <f t="shared" si="10"/>
        <v>37534.225</v>
      </c>
      <c r="L56" s="672"/>
      <c r="M56" s="673"/>
      <c r="N56" s="679"/>
      <c r="O56" s="679">
        <f>50000-H56</f>
        <v>12162</v>
      </c>
    </row>
    <row r="57" ht="16" customHeight="1" spans="1:15">
      <c r="A57" s="135">
        <f t="shared" si="8"/>
        <v>50</v>
      </c>
      <c r="B57" s="665" t="s">
        <v>550</v>
      </c>
      <c r="C57" s="1079" t="str">
        <f>C56</f>
        <v>10-04-2023</v>
      </c>
      <c r="D57" s="653">
        <v>1813568</v>
      </c>
      <c r="E57" s="75">
        <v>1501538</v>
      </c>
      <c r="F57" s="1080" t="s">
        <v>387</v>
      </c>
      <c r="G57" s="654">
        <v>9291</v>
      </c>
      <c r="H57" s="654">
        <v>40709</v>
      </c>
      <c r="I57" s="654">
        <f t="shared" si="9"/>
        <v>50000</v>
      </c>
      <c r="J57" s="75">
        <f t="shared" si="6"/>
        <v>1492247</v>
      </c>
      <c r="K57" s="75">
        <f t="shared" si="10"/>
        <v>37306.175</v>
      </c>
      <c r="L57" s="672">
        <v>3171</v>
      </c>
      <c r="M57" s="673"/>
      <c r="N57" s="679">
        <f>K57+L57</f>
        <v>40477.175</v>
      </c>
      <c r="O57" s="679">
        <f>50000-N57</f>
        <v>9522.825</v>
      </c>
    </row>
    <row r="58" ht="16" customHeight="1" spans="1:15">
      <c r="A58" s="135">
        <f t="shared" si="8"/>
        <v>51</v>
      </c>
      <c r="B58" s="665" t="s">
        <v>551</v>
      </c>
      <c r="C58" s="1079" t="str">
        <f>C57</f>
        <v>10-04-2023</v>
      </c>
      <c r="D58" s="653">
        <v>1511972</v>
      </c>
      <c r="E58" s="75">
        <v>1105064</v>
      </c>
      <c r="F58" s="83"/>
      <c r="G58" s="654"/>
      <c r="H58" s="654"/>
      <c r="I58" s="654">
        <f t="shared" si="9"/>
        <v>0</v>
      </c>
      <c r="J58" s="75">
        <f t="shared" si="6"/>
        <v>1105064</v>
      </c>
      <c r="K58" s="75">
        <f t="shared" si="10"/>
        <v>27626.6</v>
      </c>
      <c r="L58" s="684">
        <v>193389</v>
      </c>
      <c r="M58" s="673"/>
      <c r="N58" s="679"/>
      <c r="O58" s="679"/>
    </row>
    <row r="59" ht="16" customHeight="1" spans="1:15">
      <c r="A59" s="135">
        <f t="shared" si="8"/>
        <v>52</v>
      </c>
      <c r="B59" s="665" t="s">
        <v>552</v>
      </c>
      <c r="C59" s="1082" t="str">
        <f>C58</f>
        <v>10-04-2023</v>
      </c>
      <c r="D59" s="653">
        <v>8759699</v>
      </c>
      <c r="E59" s="658">
        <v>5799948</v>
      </c>
      <c r="F59" s="1081" t="s">
        <v>276</v>
      </c>
      <c r="G59" s="659">
        <v>300000</v>
      </c>
      <c r="H59" s="659"/>
      <c r="I59" s="654">
        <f t="shared" si="9"/>
        <v>300000</v>
      </c>
      <c r="J59" s="658">
        <f t="shared" si="6"/>
        <v>5499948</v>
      </c>
      <c r="K59" s="75"/>
      <c r="L59" s="672"/>
      <c r="M59" s="687" t="s">
        <v>514</v>
      </c>
      <c r="O59" s="108"/>
    </row>
    <row r="60" ht="16" customHeight="1" spans="1:16">
      <c r="A60" s="135">
        <f t="shared" si="8"/>
        <v>53</v>
      </c>
      <c r="B60" s="665" t="s">
        <v>553</v>
      </c>
      <c r="C60" s="1082" t="str">
        <f t="shared" ref="C60:C68" si="12">C59</f>
        <v>10-04-2023</v>
      </c>
      <c r="D60" s="653">
        <v>3917101</v>
      </c>
      <c r="E60" s="75">
        <v>3449654</v>
      </c>
      <c r="F60" s="1080" t="s">
        <v>387</v>
      </c>
      <c r="G60" s="654">
        <v>33759</v>
      </c>
      <c r="H60" s="654">
        <v>86241</v>
      </c>
      <c r="I60" s="654">
        <f t="shared" ref="I60:I89" si="13">G60+H60</f>
        <v>120000</v>
      </c>
      <c r="J60" s="75">
        <f t="shared" ref="J60:J89" si="14">SUM(E60-G60)</f>
        <v>3415895</v>
      </c>
      <c r="K60" s="75">
        <f t="shared" ref="K60:K73" si="15">SUM(J60*2.5%)</f>
        <v>85397.375</v>
      </c>
      <c r="L60" s="672"/>
      <c r="M60" s="673"/>
      <c r="N60" s="108"/>
      <c r="P60" s="108">
        <f>120000-H60</f>
        <v>33759</v>
      </c>
    </row>
    <row r="61" ht="16" customHeight="1" spans="1:14">
      <c r="A61" s="135">
        <f t="shared" si="8"/>
        <v>54</v>
      </c>
      <c r="B61" s="665" t="s">
        <v>554</v>
      </c>
      <c r="C61" s="1082" t="str">
        <f t="shared" si="12"/>
        <v>10-04-2023</v>
      </c>
      <c r="D61" s="653">
        <v>1595827</v>
      </c>
      <c r="E61" s="75">
        <v>1053542</v>
      </c>
      <c r="F61" s="83"/>
      <c r="G61" s="654"/>
      <c r="H61" s="654"/>
      <c r="I61" s="654">
        <f t="shared" si="13"/>
        <v>0</v>
      </c>
      <c r="J61" s="75">
        <f t="shared" si="14"/>
        <v>1053542</v>
      </c>
      <c r="K61" s="75">
        <f t="shared" si="15"/>
        <v>26338.55</v>
      </c>
      <c r="L61" s="684">
        <v>26339</v>
      </c>
      <c r="M61" s="673"/>
      <c r="N61" s="679"/>
    </row>
    <row r="62" ht="16" customHeight="1" spans="1:16">
      <c r="A62" s="135">
        <f t="shared" si="8"/>
        <v>55</v>
      </c>
      <c r="B62" s="665" t="s">
        <v>555</v>
      </c>
      <c r="C62" s="1082" t="str">
        <f t="shared" si="12"/>
        <v>10-04-2023</v>
      </c>
      <c r="D62" s="653">
        <v>4432396</v>
      </c>
      <c r="E62" s="75">
        <v>2085287</v>
      </c>
      <c r="F62" s="1080" t="s">
        <v>379</v>
      </c>
      <c r="G62" s="654">
        <v>147868</v>
      </c>
      <c r="H62" s="668">
        <v>52132</v>
      </c>
      <c r="I62" s="654">
        <f t="shared" si="13"/>
        <v>200000</v>
      </c>
      <c r="J62" s="75">
        <f t="shared" si="14"/>
        <v>1937419</v>
      </c>
      <c r="K62" s="75">
        <f t="shared" si="15"/>
        <v>48435.475</v>
      </c>
      <c r="L62" s="672"/>
      <c r="M62" s="673"/>
      <c r="N62" s="679"/>
      <c r="P62" s="679">
        <f>200000-H62</f>
        <v>147868</v>
      </c>
    </row>
    <row r="63" ht="16" customHeight="1" spans="1:14">
      <c r="A63" s="135">
        <f t="shared" ref="A60:A87" si="16">A62+1</f>
        <v>56</v>
      </c>
      <c r="B63" s="665" t="s">
        <v>556</v>
      </c>
      <c r="C63" s="1082" t="str">
        <f t="shared" si="12"/>
        <v>10-04-2023</v>
      </c>
      <c r="D63" s="653">
        <v>1619583</v>
      </c>
      <c r="E63" s="75">
        <v>1086842</v>
      </c>
      <c r="F63" s="83"/>
      <c r="G63" s="654"/>
      <c r="H63" s="654"/>
      <c r="I63" s="654">
        <f t="shared" si="13"/>
        <v>0</v>
      </c>
      <c r="J63" s="75">
        <f t="shared" si="14"/>
        <v>1086842</v>
      </c>
      <c r="K63" s="75">
        <f t="shared" si="15"/>
        <v>27171.05</v>
      </c>
      <c r="L63" s="672">
        <v>194539</v>
      </c>
      <c r="M63" s="673"/>
      <c r="N63" s="679"/>
    </row>
    <row r="64" ht="16" customHeight="1" spans="1:15">
      <c r="A64" s="135">
        <f t="shared" si="16"/>
        <v>57</v>
      </c>
      <c r="B64" s="665" t="s">
        <v>557</v>
      </c>
      <c r="C64" s="1082" t="str">
        <f t="shared" si="12"/>
        <v>10-04-2023</v>
      </c>
      <c r="D64" s="653">
        <v>8653118</v>
      </c>
      <c r="E64" s="75">
        <v>5206525</v>
      </c>
      <c r="F64" s="1080" t="s">
        <v>387</v>
      </c>
      <c r="G64" s="654">
        <v>69837</v>
      </c>
      <c r="H64" s="654">
        <v>130163</v>
      </c>
      <c r="I64" s="654">
        <f t="shared" si="13"/>
        <v>200000</v>
      </c>
      <c r="J64" s="75">
        <f t="shared" si="14"/>
        <v>5136688</v>
      </c>
      <c r="K64" s="75">
        <f t="shared" si="15"/>
        <v>128417.2</v>
      </c>
      <c r="L64" s="672"/>
      <c r="M64" s="673"/>
      <c r="N64" s="108"/>
      <c r="O64" s="108">
        <f>200000-H64</f>
        <v>69837</v>
      </c>
    </row>
    <row r="65" ht="16" customHeight="1" spans="1:15">
      <c r="A65" s="135">
        <f t="shared" si="16"/>
        <v>58</v>
      </c>
      <c r="B65" s="665" t="s">
        <v>558</v>
      </c>
      <c r="C65" s="1082" t="str">
        <f t="shared" si="12"/>
        <v>10-04-2023</v>
      </c>
      <c r="D65" s="653">
        <v>7330110</v>
      </c>
      <c r="E65" s="75">
        <v>4839121</v>
      </c>
      <c r="F65" s="1080" t="s">
        <v>387</v>
      </c>
      <c r="G65" s="654"/>
      <c r="H65" s="654">
        <v>120000</v>
      </c>
      <c r="I65" s="654">
        <f t="shared" si="13"/>
        <v>120000</v>
      </c>
      <c r="J65" s="75">
        <f t="shared" si="14"/>
        <v>4839121</v>
      </c>
      <c r="K65" s="75">
        <f t="shared" si="15"/>
        <v>120978.025</v>
      </c>
      <c r="L65" s="684">
        <v>122360</v>
      </c>
      <c r="M65" s="687"/>
      <c r="N65" s="679"/>
      <c r="O65" s="679"/>
    </row>
    <row r="66" ht="16" customHeight="1" spans="1:14">
      <c r="A66" s="135">
        <f t="shared" si="16"/>
        <v>59</v>
      </c>
      <c r="B66" s="665" t="s">
        <v>559</v>
      </c>
      <c r="C66" s="1082" t="str">
        <f t="shared" si="12"/>
        <v>10-04-2023</v>
      </c>
      <c r="D66" s="653">
        <v>2343250</v>
      </c>
      <c r="E66" s="75">
        <v>2156192</v>
      </c>
      <c r="F66" s="83"/>
      <c r="G66" s="654"/>
      <c r="H66" s="654"/>
      <c r="I66" s="654">
        <f t="shared" si="13"/>
        <v>0</v>
      </c>
      <c r="J66" s="75">
        <f t="shared" si="14"/>
        <v>2156192</v>
      </c>
      <c r="K66" s="75">
        <f t="shared" si="15"/>
        <v>53904.8</v>
      </c>
      <c r="L66" s="672">
        <v>342955</v>
      </c>
      <c r="M66" s="673"/>
      <c r="N66" s="679"/>
    </row>
    <row r="67" ht="16" customHeight="1" spans="1:15">
      <c r="A67" s="135">
        <f t="shared" si="16"/>
        <v>60</v>
      </c>
      <c r="B67" s="665" t="s">
        <v>560</v>
      </c>
      <c r="C67" s="1082" t="str">
        <f t="shared" si="12"/>
        <v>10-04-2023</v>
      </c>
      <c r="D67" s="653">
        <v>1799283</v>
      </c>
      <c r="E67" s="75">
        <v>1285871</v>
      </c>
      <c r="F67" s="1080" t="s">
        <v>387</v>
      </c>
      <c r="G67" s="654"/>
      <c r="H67" s="654">
        <v>65000</v>
      </c>
      <c r="I67" s="654">
        <f t="shared" si="13"/>
        <v>65000</v>
      </c>
      <c r="J67" s="75">
        <f t="shared" si="14"/>
        <v>1285871</v>
      </c>
      <c r="K67" s="75">
        <f t="shared" si="15"/>
        <v>32146.775</v>
      </c>
      <c r="L67" s="672">
        <v>95735</v>
      </c>
      <c r="M67" s="687"/>
      <c r="N67" s="679"/>
      <c r="O67" s="679"/>
    </row>
    <row r="68" ht="16" customHeight="1" spans="1:15">
      <c r="A68" s="135">
        <f t="shared" si="16"/>
        <v>61</v>
      </c>
      <c r="B68" s="665" t="s">
        <v>561</v>
      </c>
      <c r="C68" s="1082" t="str">
        <f t="shared" si="12"/>
        <v>10-04-2023</v>
      </c>
      <c r="D68" s="653">
        <v>2422728</v>
      </c>
      <c r="E68" s="75">
        <v>2422728</v>
      </c>
      <c r="F68" s="1080" t="s">
        <v>282</v>
      </c>
      <c r="G68" s="654"/>
      <c r="H68" s="654">
        <v>100000</v>
      </c>
      <c r="I68" s="654">
        <f t="shared" si="13"/>
        <v>100000</v>
      </c>
      <c r="J68" s="75">
        <f t="shared" si="14"/>
        <v>2422728</v>
      </c>
      <c r="K68" s="75">
        <f t="shared" si="15"/>
        <v>60568.2</v>
      </c>
      <c r="L68" s="672"/>
      <c r="M68" s="673"/>
      <c r="N68" s="679"/>
      <c r="O68" s="108"/>
    </row>
    <row r="69" ht="16" customHeight="1" spans="1:16">
      <c r="A69" s="135">
        <f t="shared" si="16"/>
        <v>62</v>
      </c>
      <c r="B69" s="665" t="s">
        <v>562</v>
      </c>
      <c r="C69" s="1079" t="str">
        <f>C70</f>
        <v>11-04-2023</v>
      </c>
      <c r="D69" s="653">
        <v>4950000</v>
      </c>
      <c r="E69" s="75">
        <v>4497773</v>
      </c>
      <c r="F69" s="1080" t="s">
        <v>387</v>
      </c>
      <c r="G69" s="654">
        <v>37556</v>
      </c>
      <c r="H69" s="654">
        <v>112444</v>
      </c>
      <c r="I69" s="654">
        <f t="shared" si="13"/>
        <v>150000</v>
      </c>
      <c r="J69" s="75">
        <f t="shared" si="14"/>
        <v>4460217</v>
      </c>
      <c r="K69" s="75">
        <f t="shared" ref="K69:K74" si="17">SUM(J69*2.5%)</f>
        <v>111505.425</v>
      </c>
      <c r="L69" s="672"/>
      <c r="M69" s="687"/>
      <c r="N69" s="679"/>
      <c r="O69" s="108"/>
      <c r="P69" s="108">
        <f>150000-H69</f>
        <v>37556</v>
      </c>
    </row>
    <row r="70" ht="16" customHeight="1" spans="1:16">
      <c r="A70" s="135">
        <f t="shared" si="16"/>
        <v>63</v>
      </c>
      <c r="B70" s="665" t="s">
        <v>563</v>
      </c>
      <c r="C70" s="1082" t="str">
        <f>C71</f>
        <v>11-04-2023</v>
      </c>
      <c r="D70" s="653">
        <v>2395410</v>
      </c>
      <c r="E70" s="658">
        <v>1328238</v>
      </c>
      <c r="F70" s="1081" t="s">
        <v>387</v>
      </c>
      <c r="G70" s="659">
        <v>66794</v>
      </c>
      <c r="H70" s="659">
        <v>33206</v>
      </c>
      <c r="I70" s="654">
        <f t="shared" si="13"/>
        <v>100000</v>
      </c>
      <c r="J70" s="658">
        <f t="shared" si="14"/>
        <v>1261444</v>
      </c>
      <c r="K70" s="75">
        <f t="shared" si="17"/>
        <v>31536.1</v>
      </c>
      <c r="L70" s="684"/>
      <c r="M70" s="673"/>
      <c r="N70" s="108"/>
      <c r="O70" s="108"/>
      <c r="P70" s="108"/>
    </row>
    <row r="71" ht="16" customHeight="1" spans="1:15">
      <c r="A71" s="135">
        <f t="shared" si="16"/>
        <v>64</v>
      </c>
      <c r="B71" s="665" t="s">
        <v>564</v>
      </c>
      <c r="C71" s="1079" t="s">
        <v>565</v>
      </c>
      <c r="D71" s="653">
        <v>23570404</v>
      </c>
      <c r="E71" s="75">
        <v>16888702</v>
      </c>
      <c r="F71" s="1080" t="s">
        <v>387</v>
      </c>
      <c r="G71" s="659">
        <v>77782</v>
      </c>
      <c r="H71" s="654">
        <v>422218</v>
      </c>
      <c r="I71" s="654">
        <f t="shared" si="13"/>
        <v>500000</v>
      </c>
      <c r="J71" s="75">
        <f t="shared" si="14"/>
        <v>16810920</v>
      </c>
      <c r="K71" s="75">
        <f t="shared" si="17"/>
        <v>420273</v>
      </c>
      <c r="L71" s="672"/>
      <c r="M71" s="79"/>
      <c r="N71" s="108"/>
      <c r="O71" s="679">
        <f>500000-H71</f>
        <v>77782</v>
      </c>
    </row>
    <row r="72" ht="16" customHeight="1" spans="1:15">
      <c r="A72" s="135">
        <f t="shared" si="16"/>
        <v>65</v>
      </c>
      <c r="B72" s="665" t="s">
        <v>566</v>
      </c>
      <c r="C72" s="1079" t="str">
        <f>C73</f>
        <v>14-04-2023</v>
      </c>
      <c r="D72" s="653">
        <v>2000000</v>
      </c>
      <c r="E72" s="75">
        <v>1981264</v>
      </c>
      <c r="F72" s="1080" t="s">
        <v>387</v>
      </c>
      <c r="G72" s="654">
        <v>468</v>
      </c>
      <c r="H72" s="654">
        <v>49532</v>
      </c>
      <c r="I72" s="654">
        <f t="shared" si="13"/>
        <v>50000</v>
      </c>
      <c r="J72" s="75">
        <f t="shared" si="14"/>
        <v>1980796</v>
      </c>
      <c r="K72" s="75">
        <f t="shared" si="17"/>
        <v>49519.9</v>
      </c>
      <c r="L72" s="672"/>
      <c r="M72" s="673"/>
      <c r="N72" s="108"/>
      <c r="O72" s="108">
        <f>50000-H72</f>
        <v>468</v>
      </c>
    </row>
    <row r="73" ht="16" customHeight="1" spans="1:15">
      <c r="A73" s="135">
        <f t="shared" si="16"/>
        <v>66</v>
      </c>
      <c r="B73" s="665" t="s">
        <v>567</v>
      </c>
      <c r="C73" s="1082" t="s">
        <v>568</v>
      </c>
      <c r="D73" s="653">
        <v>9730001</v>
      </c>
      <c r="E73" s="658">
        <v>9269496</v>
      </c>
      <c r="F73" s="1081" t="s">
        <v>360</v>
      </c>
      <c r="G73" s="659"/>
      <c r="H73" s="659">
        <v>250000</v>
      </c>
      <c r="I73" s="654">
        <f t="shared" si="13"/>
        <v>250000</v>
      </c>
      <c r="J73" s="658">
        <f t="shared" si="14"/>
        <v>9269496</v>
      </c>
      <c r="K73" s="75">
        <f t="shared" si="17"/>
        <v>231737.4</v>
      </c>
      <c r="L73" s="672">
        <v>443229</v>
      </c>
      <c r="M73" s="687"/>
      <c r="N73" s="679"/>
      <c r="O73" s="108"/>
    </row>
    <row r="74" ht="16" customHeight="1" spans="1:15">
      <c r="A74" s="135">
        <f t="shared" si="16"/>
        <v>67</v>
      </c>
      <c r="B74" s="665" t="s">
        <v>569</v>
      </c>
      <c r="C74" s="1079" t="s">
        <v>570</v>
      </c>
      <c r="D74" s="653">
        <v>2859818</v>
      </c>
      <c r="E74" s="75">
        <v>2731782</v>
      </c>
      <c r="F74" s="1080" t="s">
        <v>282</v>
      </c>
      <c r="G74" s="654"/>
      <c r="H74" s="654">
        <v>400000</v>
      </c>
      <c r="I74" s="654">
        <f t="shared" si="13"/>
        <v>400000</v>
      </c>
      <c r="J74" s="75">
        <f t="shared" si="14"/>
        <v>2731782</v>
      </c>
      <c r="K74" s="75">
        <f t="shared" si="17"/>
        <v>68294.55</v>
      </c>
      <c r="L74" s="672">
        <v>292728</v>
      </c>
      <c r="M74" s="673"/>
      <c r="N74" s="108"/>
      <c r="O74" s="679"/>
    </row>
    <row r="75" ht="16" customHeight="1" spans="1:13">
      <c r="A75" s="135">
        <f t="shared" si="16"/>
        <v>68</v>
      </c>
      <c r="B75" s="665" t="s">
        <v>571</v>
      </c>
      <c r="C75" s="652"/>
      <c r="D75" s="653">
        <v>13000000</v>
      </c>
      <c r="E75" s="75">
        <v>11055597</v>
      </c>
      <c r="F75" s="83"/>
      <c r="G75" s="654"/>
      <c r="H75" s="668"/>
      <c r="I75" s="654">
        <f t="shared" si="13"/>
        <v>0</v>
      </c>
      <c r="J75" s="75">
        <f t="shared" si="14"/>
        <v>11055597</v>
      </c>
      <c r="K75" s="75"/>
      <c r="L75" s="672"/>
      <c r="M75" s="687" t="s">
        <v>514</v>
      </c>
    </row>
    <row r="76" ht="16" customHeight="1" spans="1:14">
      <c r="A76" s="135">
        <f t="shared" si="16"/>
        <v>69</v>
      </c>
      <c r="B76" s="665" t="s">
        <v>572</v>
      </c>
      <c r="C76" s="1079" t="s">
        <v>573</v>
      </c>
      <c r="D76" s="653">
        <v>2392272</v>
      </c>
      <c r="E76" s="75">
        <v>2183315</v>
      </c>
      <c r="F76" s="83"/>
      <c r="G76" s="654"/>
      <c r="H76" s="654"/>
      <c r="I76" s="654">
        <f t="shared" si="13"/>
        <v>0</v>
      </c>
      <c r="J76" s="75">
        <f t="shared" si="14"/>
        <v>2183315</v>
      </c>
      <c r="K76" s="75">
        <f>SUM(J76*2.5%)</f>
        <v>54582.875</v>
      </c>
      <c r="L76" s="672">
        <v>309579</v>
      </c>
      <c r="M76" s="673"/>
      <c r="N76" s="679"/>
    </row>
    <row r="77" ht="16" customHeight="1" spans="1:14">
      <c r="A77" s="135">
        <f t="shared" si="16"/>
        <v>70</v>
      </c>
      <c r="B77" s="665" t="s">
        <v>574</v>
      </c>
      <c r="C77" s="1082" t="s">
        <v>575</v>
      </c>
      <c r="D77" s="653">
        <v>1709300</v>
      </c>
      <c r="E77" s="658">
        <v>1650728</v>
      </c>
      <c r="F77" s="106"/>
      <c r="G77" s="659"/>
      <c r="H77" s="659"/>
      <c r="I77" s="654">
        <f t="shared" si="13"/>
        <v>0</v>
      </c>
      <c r="J77" s="658">
        <f t="shared" si="14"/>
        <v>1650728</v>
      </c>
      <c r="K77" s="75">
        <f>SUM(J77*2.5%)</f>
        <v>41268.2</v>
      </c>
      <c r="L77" s="672">
        <v>395216</v>
      </c>
      <c r="M77" s="673"/>
      <c r="N77" s="679"/>
    </row>
    <row r="78" ht="16" customHeight="1" spans="1:14">
      <c r="A78" s="135">
        <f t="shared" si="16"/>
        <v>71</v>
      </c>
      <c r="B78" s="665" t="s">
        <v>576</v>
      </c>
      <c r="C78" s="656"/>
      <c r="D78" s="653">
        <v>9484820</v>
      </c>
      <c r="E78" s="658">
        <v>6670534</v>
      </c>
      <c r="F78" s="106"/>
      <c r="G78" s="659"/>
      <c r="H78" s="659"/>
      <c r="I78" s="654">
        <f t="shared" si="13"/>
        <v>0</v>
      </c>
      <c r="J78" s="658">
        <f t="shared" si="14"/>
        <v>6670534</v>
      </c>
      <c r="K78" s="75">
        <f>SUM(J78*2.5%)</f>
        <v>166763.35</v>
      </c>
      <c r="L78" s="672">
        <v>500290</v>
      </c>
      <c r="M78" s="673"/>
      <c r="N78" s="108"/>
    </row>
    <row r="79" ht="16" customHeight="1" spans="1:15">
      <c r="A79" s="135">
        <f t="shared" si="16"/>
        <v>72</v>
      </c>
      <c r="B79" s="665" t="s">
        <v>577</v>
      </c>
      <c r="C79" s="1079" t="s">
        <v>578</v>
      </c>
      <c r="D79" s="653">
        <v>2742730</v>
      </c>
      <c r="E79" s="75">
        <v>992595</v>
      </c>
      <c r="F79" s="83"/>
      <c r="G79" s="654"/>
      <c r="H79" s="654"/>
      <c r="I79" s="654">
        <f t="shared" si="13"/>
        <v>0</v>
      </c>
      <c r="J79" s="658">
        <f t="shared" si="14"/>
        <v>992595</v>
      </c>
      <c r="K79" s="75">
        <f>SUM(J79*2.5%)</f>
        <v>24814.875</v>
      </c>
      <c r="L79" s="672">
        <v>49630</v>
      </c>
      <c r="M79" s="673"/>
      <c r="N79" s="108"/>
      <c r="O79" s="679"/>
    </row>
    <row r="80" ht="16" customHeight="1" spans="1:18">
      <c r="A80" s="135">
        <f t="shared" si="16"/>
        <v>73</v>
      </c>
      <c r="B80" s="665" t="s">
        <v>579</v>
      </c>
      <c r="C80" s="1079" t="str">
        <f>C79</f>
        <v>15-09-2023</v>
      </c>
      <c r="D80" s="653">
        <v>5959400</v>
      </c>
      <c r="E80" s="75">
        <v>4770854</v>
      </c>
      <c r="F80" s="1080" t="s">
        <v>387</v>
      </c>
      <c r="G80" s="654">
        <v>130729</v>
      </c>
      <c r="H80" s="654">
        <v>119271</v>
      </c>
      <c r="I80" s="654">
        <f t="shared" si="13"/>
        <v>250000</v>
      </c>
      <c r="J80" s="75">
        <f t="shared" si="14"/>
        <v>4640125</v>
      </c>
      <c r="K80" s="75">
        <f>SUM(J80*2.5%)</f>
        <v>116003.125</v>
      </c>
      <c r="L80" s="684"/>
      <c r="M80" s="673"/>
      <c r="N80" s="108"/>
      <c r="O80" s="679"/>
      <c r="R80" s="108">
        <f>250000-H80</f>
        <v>130729</v>
      </c>
    </row>
    <row r="81" ht="16" customHeight="1" spans="1:13">
      <c r="A81" s="135">
        <f t="shared" si="16"/>
        <v>74</v>
      </c>
      <c r="B81" s="665" t="s">
        <v>580</v>
      </c>
      <c r="C81" s="1079" t="str">
        <f>C82</f>
        <v>16-10-2023</v>
      </c>
      <c r="D81" s="653">
        <v>750000</v>
      </c>
      <c r="E81" s="75">
        <v>67500</v>
      </c>
      <c r="F81" s="83"/>
      <c r="G81" s="654"/>
      <c r="H81" s="654"/>
      <c r="I81" s="654">
        <f t="shared" si="13"/>
        <v>0</v>
      </c>
      <c r="J81" s="75">
        <f t="shared" si="14"/>
        <v>67500</v>
      </c>
      <c r="K81" s="75"/>
      <c r="L81" s="684"/>
      <c r="M81" s="673"/>
    </row>
    <row r="82" ht="16" customHeight="1" spans="1:16">
      <c r="A82" s="135">
        <f t="shared" si="16"/>
        <v>75</v>
      </c>
      <c r="B82" s="665" t="s">
        <v>581</v>
      </c>
      <c r="C82" s="1079" t="s">
        <v>582</v>
      </c>
      <c r="D82" s="653">
        <v>4950000</v>
      </c>
      <c r="E82" s="75">
        <v>6252910</v>
      </c>
      <c r="F82" s="1080" t="s">
        <v>387</v>
      </c>
      <c r="G82" s="654">
        <v>6252910</v>
      </c>
      <c r="H82" s="654">
        <v>898259</v>
      </c>
      <c r="I82" s="654">
        <f t="shared" si="13"/>
        <v>7151169</v>
      </c>
      <c r="J82" s="75">
        <f t="shared" si="14"/>
        <v>0</v>
      </c>
      <c r="K82" s="75">
        <f>SUM(J82*2.5%)</f>
        <v>0</v>
      </c>
      <c r="L82" s="672"/>
      <c r="M82" s="687"/>
      <c r="N82" s="108"/>
      <c r="O82" s="679">
        <f>L82+K82</f>
        <v>0</v>
      </c>
      <c r="P82" s="108">
        <f>J82+L82+K82</f>
        <v>0</v>
      </c>
    </row>
    <row r="83" ht="16" customHeight="1" spans="1:16">
      <c r="A83" s="135">
        <f t="shared" si="16"/>
        <v>76</v>
      </c>
      <c r="B83" s="665" t="s">
        <v>439</v>
      </c>
      <c r="C83" s="1079" t="s">
        <v>583</v>
      </c>
      <c r="D83" s="653">
        <v>2276550</v>
      </c>
      <c r="E83" s="75">
        <v>314698</v>
      </c>
      <c r="F83" s="1080" t="s">
        <v>387</v>
      </c>
      <c r="G83" s="654">
        <v>14266</v>
      </c>
      <c r="H83" s="654">
        <v>15734</v>
      </c>
      <c r="I83" s="654">
        <f t="shared" si="13"/>
        <v>30000</v>
      </c>
      <c r="J83" s="75">
        <f t="shared" si="14"/>
        <v>300432</v>
      </c>
      <c r="K83" s="75">
        <f t="shared" ref="K83:K93" si="18">SUM(J83*2.5%)</f>
        <v>7510.8</v>
      </c>
      <c r="L83" s="672"/>
      <c r="M83" s="673"/>
      <c r="N83" s="679"/>
      <c r="O83" s="108"/>
      <c r="P83" s="108">
        <f>MULTI!P41</f>
        <v>958169</v>
      </c>
    </row>
    <row r="84" ht="16" customHeight="1" spans="1:16">
      <c r="A84" s="135">
        <f t="shared" si="16"/>
        <v>77</v>
      </c>
      <c r="B84" s="665" t="s">
        <v>584</v>
      </c>
      <c r="C84" s="1079" t="str">
        <f>C85</f>
        <v>02-11-2023</v>
      </c>
      <c r="D84" s="653">
        <v>4797000</v>
      </c>
      <c r="E84" s="75">
        <v>3166778</v>
      </c>
      <c r="F84" s="1080" t="s">
        <v>387</v>
      </c>
      <c r="G84" s="654">
        <v>170831</v>
      </c>
      <c r="H84" s="654">
        <v>79169</v>
      </c>
      <c r="I84" s="654">
        <f t="shared" si="13"/>
        <v>250000</v>
      </c>
      <c r="J84" s="75">
        <f t="shared" si="14"/>
        <v>2995947</v>
      </c>
      <c r="K84" s="75">
        <f t="shared" si="18"/>
        <v>74898.675</v>
      </c>
      <c r="L84" s="684"/>
      <c r="M84" s="673"/>
      <c r="N84" s="108"/>
      <c r="O84" s="108"/>
      <c r="P84">
        <v>27000</v>
      </c>
    </row>
    <row r="85" ht="16" customHeight="1" spans="1:16">
      <c r="A85" s="135">
        <f t="shared" si="16"/>
        <v>78</v>
      </c>
      <c r="B85" s="665" t="s">
        <v>585</v>
      </c>
      <c r="C85" s="1079" t="s">
        <v>586</v>
      </c>
      <c r="D85" s="653">
        <v>1959200</v>
      </c>
      <c r="E85" s="75">
        <v>953610</v>
      </c>
      <c r="F85" s="1080" t="s">
        <v>387</v>
      </c>
      <c r="G85" s="654"/>
      <c r="H85" s="654"/>
      <c r="I85" s="654">
        <f t="shared" si="13"/>
        <v>0</v>
      </c>
      <c r="J85" s="75">
        <f t="shared" si="14"/>
        <v>953610</v>
      </c>
      <c r="K85" s="75">
        <f t="shared" si="18"/>
        <v>23840.25</v>
      </c>
      <c r="L85" s="672"/>
      <c r="M85" s="673"/>
      <c r="N85" s="679"/>
      <c r="O85" s="108"/>
      <c r="P85" s="108">
        <f>SUM(P82:P84)</f>
        <v>985169</v>
      </c>
    </row>
    <row r="86" ht="16" customHeight="1" spans="1:16">
      <c r="A86" s="135">
        <f t="shared" si="16"/>
        <v>79</v>
      </c>
      <c r="B86" s="665" t="s">
        <v>587</v>
      </c>
      <c r="C86" s="1079" t="s">
        <v>588</v>
      </c>
      <c r="D86" s="653">
        <v>2000000</v>
      </c>
      <c r="E86" s="75">
        <v>1807838</v>
      </c>
      <c r="F86" s="83"/>
      <c r="G86" s="654"/>
      <c r="H86" s="654"/>
      <c r="I86" s="654">
        <f t="shared" si="13"/>
        <v>0</v>
      </c>
      <c r="J86" s="75">
        <f t="shared" si="14"/>
        <v>1807838</v>
      </c>
      <c r="K86" s="75">
        <f t="shared" si="18"/>
        <v>45195.95</v>
      </c>
      <c r="L86" s="672">
        <v>632744</v>
      </c>
      <c r="M86" s="673"/>
      <c r="N86" s="679"/>
      <c r="P86" s="108">
        <f>P85+50000</f>
        <v>1035169</v>
      </c>
    </row>
    <row r="87" ht="16" customHeight="1" spans="1:15">
      <c r="A87" s="135">
        <f t="shared" si="16"/>
        <v>80</v>
      </c>
      <c r="B87" s="665" t="s">
        <v>589</v>
      </c>
      <c r="C87" s="1079" t="s">
        <v>590</v>
      </c>
      <c r="D87" s="653">
        <v>2000000</v>
      </c>
      <c r="E87" s="75">
        <v>4134898</v>
      </c>
      <c r="F87" s="83"/>
      <c r="G87" s="654"/>
      <c r="H87" s="654"/>
      <c r="I87" s="654">
        <f t="shared" si="13"/>
        <v>0</v>
      </c>
      <c r="J87" s="75">
        <f t="shared" si="14"/>
        <v>4134898</v>
      </c>
      <c r="K87" s="75">
        <f t="shared" si="18"/>
        <v>103372.45</v>
      </c>
      <c r="L87" s="684">
        <v>1147208</v>
      </c>
      <c r="M87" s="673"/>
      <c r="N87" s="108"/>
      <c r="O87" s="679"/>
    </row>
    <row r="88" ht="16" customHeight="1" spans="1:15">
      <c r="A88" s="135">
        <f t="shared" ref="A87:A131" si="19">A87+1</f>
        <v>81</v>
      </c>
      <c r="B88" s="665" t="s">
        <v>434</v>
      </c>
      <c r="C88" s="1079" t="s">
        <v>591</v>
      </c>
      <c r="D88" s="653">
        <v>5000000</v>
      </c>
      <c r="E88" s="75">
        <v>1429328</v>
      </c>
      <c r="F88" s="1080" t="s">
        <v>387</v>
      </c>
      <c r="G88" s="659">
        <v>14267</v>
      </c>
      <c r="H88" s="654">
        <v>35733</v>
      </c>
      <c r="I88" s="654">
        <f t="shared" si="13"/>
        <v>50000</v>
      </c>
      <c r="J88" s="75">
        <f t="shared" si="14"/>
        <v>1415061</v>
      </c>
      <c r="K88" s="75">
        <f t="shared" si="18"/>
        <v>35376.525</v>
      </c>
      <c r="L88" s="684"/>
      <c r="M88" s="673"/>
      <c r="N88" s="679">
        <f>50000-H88</f>
        <v>14267</v>
      </c>
      <c r="O88" s="679"/>
    </row>
    <row r="89" ht="16" customHeight="1" spans="1:14">
      <c r="A89" s="135">
        <f t="shared" si="19"/>
        <v>82</v>
      </c>
      <c r="B89" s="688" t="s">
        <v>592</v>
      </c>
      <c r="C89" s="1084" t="s">
        <v>593</v>
      </c>
      <c r="D89" s="690">
        <v>1500000</v>
      </c>
      <c r="E89" s="691">
        <v>1338790</v>
      </c>
      <c r="F89" s="692"/>
      <c r="G89" s="693"/>
      <c r="H89" s="693"/>
      <c r="I89" s="654">
        <f t="shared" ref="I89:I110" si="20">G89+H89</f>
        <v>0</v>
      </c>
      <c r="J89" s="691">
        <f t="shared" ref="J89:J130" si="21">SUM(E89-G89)</f>
        <v>1338790</v>
      </c>
      <c r="K89" s="75">
        <f t="shared" si="18"/>
        <v>33469.75</v>
      </c>
      <c r="L89" s="706">
        <v>267760</v>
      </c>
      <c r="M89" s="687"/>
      <c r="N89" s="679">
        <f>L89/K89</f>
        <v>8.00005975545082</v>
      </c>
    </row>
    <row r="90" ht="16" customHeight="1" spans="1:15">
      <c r="A90" s="135">
        <f t="shared" si="19"/>
        <v>83</v>
      </c>
      <c r="B90" s="688" t="s">
        <v>286</v>
      </c>
      <c r="C90" s="1084" t="s">
        <v>594</v>
      </c>
      <c r="D90" s="690">
        <v>1500000</v>
      </c>
      <c r="E90" s="691">
        <v>724319</v>
      </c>
      <c r="F90" s="1085" t="s">
        <v>282</v>
      </c>
      <c r="G90" s="693"/>
      <c r="H90" s="694">
        <v>50000</v>
      </c>
      <c r="I90" s="654">
        <f t="shared" si="20"/>
        <v>50000</v>
      </c>
      <c r="J90" s="691">
        <f t="shared" si="21"/>
        <v>724319</v>
      </c>
      <c r="K90" s="75">
        <f t="shared" si="18"/>
        <v>18107.975</v>
      </c>
      <c r="L90" s="706">
        <v>134349</v>
      </c>
      <c r="M90" s="673"/>
      <c r="N90" s="679"/>
      <c r="O90" s="108"/>
    </row>
    <row r="91" ht="16" customHeight="1" spans="1:15">
      <c r="A91" s="135">
        <f t="shared" si="19"/>
        <v>84</v>
      </c>
      <c r="B91" s="695" t="s">
        <v>595</v>
      </c>
      <c r="C91" s="1086" t="s">
        <v>596</v>
      </c>
      <c r="D91" s="690">
        <v>5000000</v>
      </c>
      <c r="E91" s="691">
        <v>960086</v>
      </c>
      <c r="F91" s="1085" t="s">
        <v>387</v>
      </c>
      <c r="G91" s="693">
        <v>175998</v>
      </c>
      <c r="H91" s="693">
        <v>24002</v>
      </c>
      <c r="I91" s="654">
        <f t="shared" si="20"/>
        <v>200000</v>
      </c>
      <c r="J91" s="691">
        <f t="shared" si="21"/>
        <v>784088</v>
      </c>
      <c r="K91" s="75">
        <f t="shared" ref="K91:K128" si="22">SUM(J91*2.5%)</f>
        <v>19602.2</v>
      </c>
      <c r="L91" s="706"/>
      <c r="M91" s="673"/>
      <c r="N91" s="108"/>
      <c r="O91" s="679">
        <f>200000-H91</f>
        <v>175998</v>
      </c>
    </row>
    <row r="92" ht="16" customHeight="1" spans="1:13">
      <c r="A92" s="135">
        <f t="shared" si="19"/>
        <v>85</v>
      </c>
      <c r="B92" s="695" t="s">
        <v>597</v>
      </c>
      <c r="C92" s="1086" t="s">
        <v>598</v>
      </c>
      <c r="D92" s="690">
        <v>30000000</v>
      </c>
      <c r="E92" s="691">
        <v>28800000</v>
      </c>
      <c r="F92" s="692"/>
      <c r="G92" s="693"/>
      <c r="H92" s="693"/>
      <c r="I92" s="654">
        <f t="shared" si="20"/>
        <v>0</v>
      </c>
      <c r="J92" s="691">
        <f t="shared" si="21"/>
        <v>28800000</v>
      </c>
      <c r="K92" s="75"/>
      <c r="L92" s="706"/>
      <c r="M92" s="673"/>
    </row>
    <row r="93" ht="16" customHeight="1" spans="1:15">
      <c r="A93" s="135">
        <f t="shared" si="19"/>
        <v>86</v>
      </c>
      <c r="B93" s="697" t="s">
        <v>599</v>
      </c>
      <c r="C93" s="1087" t="s">
        <v>600</v>
      </c>
      <c r="D93" s="653">
        <v>2500000</v>
      </c>
      <c r="E93" s="75">
        <v>1253382</v>
      </c>
      <c r="F93" s="1080" t="s">
        <v>387</v>
      </c>
      <c r="G93" s="654">
        <v>68665</v>
      </c>
      <c r="H93" s="654">
        <v>31335</v>
      </c>
      <c r="I93" s="654">
        <f t="shared" si="20"/>
        <v>100000</v>
      </c>
      <c r="J93" s="75">
        <f t="shared" si="21"/>
        <v>1184717</v>
      </c>
      <c r="K93" s="75">
        <f t="shared" si="22"/>
        <v>29617.925</v>
      </c>
      <c r="L93" s="707"/>
      <c r="M93" s="673"/>
      <c r="N93" s="108"/>
      <c r="O93" s="108">
        <f>100000-H93</f>
        <v>68665</v>
      </c>
    </row>
    <row r="94" ht="16" customHeight="1" spans="1:15">
      <c r="A94" s="135">
        <f t="shared" si="19"/>
        <v>87</v>
      </c>
      <c r="B94" s="695" t="s">
        <v>601</v>
      </c>
      <c r="C94" s="1086" t="s">
        <v>602</v>
      </c>
      <c r="D94" s="690">
        <v>2900000</v>
      </c>
      <c r="E94" s="691">
        <v>2178391</v>
      </c>
      <c r="F94" s="1085" t="s">
        <v>379</v>
      </c>
      <c r="G94" s="693">
        <v>45540</v>
      </c>
      <c r="H94" s="693">
        <v>54460</v>
      </c>
      <c r="I94" s="654">
        <f t="shared" si="20"/>
        <v>100000</v>
      </c>
      <c r="J94" s="691">
        <f t="shared" si="21"/>
        <v>2132851</v>
      </c>
      <c r="K94" s="75">
        <f t="shared" si="22"/>
        <v>53321.275</v>
      </c>
      <c r="L94" s="706"/>
      <c r="M94" s="673"/>
      <c r="N94" s="108"/>
      <c r="O94" s="108"/>
    </row>
    <row r="95" ht="16" customHeight="1" spans="1:16">
      <c r="A95" s="135">
        <f t="shared" si="19"/>
        <v>88</v>
      </c>
      <c r="B95" s="695" t="s">
        <v>603</v>
      </c>
      <c r="C95" s="1086" t="s">
        <v>604</v>
      </c>
      <c r="D95" s="690">
        <v>13000000</v>
      </c>
      <c r="E95" s="691">
        <v>11684103</v>
      </c>
      <c r="F95" s="1085" t="s">
        <v>387</v>
      </c>
      <c r="G95" s="693"/>
      <c r="H95" s="693">
        <v>300000</v>
      </c>
      <c r="I95" s="654">
        <f t="shared" si="20"/>
        <v>300000</v>
      </c>
      <c r="J95" s="691">
        <f t="shared" si="21"/>
        <v>11684103</v>
      </c>
      <c r="K95" s="75">
        <f t="shared" si="22"/>
        <v>292102.575</v>
      </c>
      <c r="L95" s="706">
        <v>694721</v>
      </c>
      <c r="M95" s="673"/>
      <c r="N95" s="679"/>
      <c r="O95" s="679">
        <f>H95-K95</f>
        <v>7897.42499999999</v>
      </c>
      <c r="P95" s="679">
        <f>L95-O95</f>
        <v>686823.575</v>
      </c>
    </row>
    <row r="96" ht="16" customHeight="1" spans="1:15">
      <c r="A96" s="135">
        <f t="shared" si="19"/>
        <v>89</v>
      </c>
      <c r="B96" s="665" t="s">
        <v>605</v>
      </c>
      <c r="C96" s="1087" t="s">
        <v>604</v>
      </c>
      <c r="D96" s="653">
        <v>7500000</v>
      </c>
      <c r="E96" s="75">
        <v>6543539</v>
      </c>
      <c r="F96" s="1080" t="s">
        <v>387</v>
      </c>
      <c r="G96" s="654">
        <v>61412</v>
      </c>
      <c r="H96" s="654">
        <v>163588</v>
      </c>
      <c r="I96" s="654">
        <f t="shared" si="20"/>
        <v>225000</v>
      </c>
      <c r="J96" s="75">
        <f t="shared" si="21"/>
        <v>6482127</v>
      </c>
      <c r="K96" s="75">
        <f t="shared" si="22"/>
        <v>162053.175</v>
      </c>
      <c r="L96" s="684"/>
      <c r="M96" s="673"/>
      <c r="N96" s="108"/>
      <c r="O96" s="108">
        <f>225000-H96</f>
        <v>61412</v>
      </c>
    </row>
    <row r="97" ht="16" customHeight="1" spans="1:15">
      <c r="A97" s="135">
        <f t="shared" si="19"/>
        <v>90</v>
      </c>
      <c r="B97" s="191" t="s">
        <v>606</v>
      </c>
      <c r="C97" s="1087" t="s">
        <v>604</v>
      </c>
      <c r="D97" s="661">
        <v>22000000</v>
      </c>
      <c r="E97" s="699">
        <v>7801005</v>
      </c>
      <c r="F97" s="1088" t="s">
        <v>387</v>
      </c>
      <c r="G97" s="654">
        <v>304975</v>
      </c>
      <c r="H97" s="654">
        <v>195025</v>
      </c>
      <c r="I97" s="654">
        <f t="shared" si="20"/>
        <v>500000</v>
      </c>
      <c r="J97" s="699">
        <f t="shared" si="21"/>
        <v>7496030</v>
      </c>
      <c r="K97" s="75">
        <f t="shared" si="22"/>
        <v>187400.75</v>
      </c>
      <c r="L97" s="684"/>
      <c r="M97" s="673"/>
      <c r="N97" s="679"/>
      <c r="O97" s="108">
        <f>500000-K97</f>
        <v>312599.25</v>
      </c>
    </row>
    <row r="98" ht="16" customHeight="1" spans="1:14">
      <c r="A98" s="135">
        <f t="shared" si="19"/>
        <v>91</v>
      </c>
      <c r="B98" s="695" t="s">
        <v>607</v>
      </c>
      <c r="C98" s="1087" t="s">
        <v>608</v>
      </c>
      <c r="D98" s="653">
        <v>2000000</v>
      </c>
      <c r="E98" s="75">
        <v>1931341</v>
      </c>
      <c r="F98" s="83"/>
      <c r="G98" s="654"/>
      <c r="H98" s="654"/>
      <c r="I98" s="654">
        <f t="shared" si="20"/>
        <v>0</v>
      </c>
      <c r="J98" s="75">
        <f t="shared" si="21"/>
        <v>1931341</v>
      </c>
      <c r="K98" s="75">
        <f t="shared" si="22"/>
        <v>48283.525</v>
      </c>
      <c r="L98" s="684">
        <v>524260</v>
      </c>
      <c r="M98" s="673"/>
      <c r="N98" s="679"/>
    </row>
    <row r="99" ht="16" customHeight="1" spans="1:15">
      <c r="A99" s="135">
        <f t="shared" si="19"/>
        <v>92</v>
      </c>
      <c r="B99" s="695" t="s">
        <v>609</v>
      </c>
      <c r="C99" s="1089" t="s">
        <v>610</v>
      </c>
      <c r="D99" s="690">
        <v>6000000</v>
      </c>
      <c r="E99" s="691">
        <v>4613095</v>
      </c>
      <c r="F99" s="692"/>
      <c r="G99" s="693"/>
      <c r="H99" s="693"/>
      <c r="I99" s="654">
        <f t="shared" si="20"/>
        <v>0</v>
      </c>
      <c r="J99" s="691">
        <f t="shared" si="21"/>
        <v>4613095</v>
      </c>
      <c r="K99" s="691">
        <f t="shared" si="22"/>
        <v>115327.375</v>
      </c>
      <c r="L99" s="706"/>
      <c r="M99" s="673"/>
      <c r="O99" s="108"/>
    </row>
    <row r="100" ht="16" customHeight="1" spans="1:16">
      <c r="A100" s="135">
        <f t="shared" si="19"/>
        <v>93</v>
      </c>
      <c r="B100" s="695" t="s">
        <v>611</v>
      </c>
      <c r="C100" s="1089" t="s">
        <v>610</v>
      </c>
      <c r="D100" s="690">
        <v>2900000</v>
      </c>
      <c r="E100" s="691">
        <v>2650750</v>
      </c>
      <c r="F100" s="1085" t="s">
        <v>387</v>
      </c>
      <c r="G100" s="693">
        <v>28579</v>
      </c>
      <c r="H100" s="693">
        <v>271421</v>
      </c>
      <c r="I100" s="654">
        <f t="shared" si="20"/>
        <v>300000</v>
      </c>
      <c r="J100" s="691">
        <f t="shared" si="21"/>
        <v>2622171</v>
      </c>
      <c r="K100" s="691">
        <f t="shared" si="22"/>
        <v>65554.275</v>
      </c>
      <c r="L100" s="706"/>
      <c r="M100" s="673"/>
      <c r="N100" s="679"/>
      <c r="O100" s="679"/>
      <c r="P100" s="679"/>
    </row>
    <row r="101" ht="16" customHeight="1" spans="1:15">
      <c r="A101" s="135">
        <f t="shared" si="19"/>
        <v>94</v>
      </c>
      <c r="B101" s="695" t="s">
        <v>612</v>
      </c>
      <c r="C101" s="1089" t="s">
        <v>613</v>
      </c>
      <c r="D101" s="690">
        <v>5000000</v>
      </c>
      <c r="E101" s="691">
        <v>4645401</v>
      </c>
      <c r="F101" s="692"/>
      <c r="G101" s="693"/>
      <c r="H101" s="693"/>
      <c r="I101" s="654">
        <f t="shared" si="20"/>
        <v>0</v>
      </c>
      <c r="J101" s="691">
        <f t="shared" si="21"/>
        <v>4645401</v>
      </c>
      <c r="K101" s="691">
        <f t="shared" si="22"/>
        <v>116135.025</v>
      </c>
      <c r="L101" s="706">
        <v>116135</v>
      </c>
      <c r="M101" s="673"/>
      <c r="N101" s="679"/>
      <c r="O101" s="108"/>
    </row>
    <row r="102" ht="16" customHeight="1" spans="1:15">
      <c r="A102" s="135">
        <f t="shared" si="19"/>
        <v>95</v>
      </c>
      <c r="B102" s="695" t="s">
        <v>614</v>
      </c>
      <c r="C102" s="1089" t="s">
        <v>615</v>
      </c>
      <c r="D102" s="690">
        <v>5000000</v>
      </c>
      <c r="E102" s="691">
        <v>4167479</v>
      </c>
      <c r="F102" s="1085" t="s">
        <v>387</v>
      </c>
      <c r="G102" s="693">
        <v>45813</v>
      </c>
      <c r="H102" s="693">
        <v>104187</v>
      </c>
      <c r="I102" s="654">
        <f t="shared" si="20"/>
        <v>150000</v>
      </c>
      <c r="J102" s="691">
        <f t="shared" si="21"/>
        <v>4121666</v>
      </c>
      <c r="K102" s="691">
        <f t="shared" si="22"/>
        <v>103041.65</v>
      </c>
      <c r="L102" s="706"/>
      <c r="M102" s="673"/>
      <c r="N102" s="679"/>
      <c r="O102" s="108">
        <f>150000-H102</f>
        <v>45813</v>
      </c>
    </row>
    <row r="103" ht="16" customHeight="1" spans="1:14">
      <c r="A103" s="135">
        <f t="shared" si="19"/>
        <v>96</v>
      </c>
      <c r="B103" s="695" t="s">
        <v>616</v>
      </c>
      <c r="C103" s="1089" t="s">
        <v>617</v>
      </c>
      <c r="D103" s="690">
        <v>2000000</v>
      </c>
      <c r="E103" s="691">
        <v>3454055</v>
      </c>
      <c r="F103" s="1085" t="s">
        <v>387</v>
      </c>
      <c r="G103" s="693"/>
      <c r="H103" s="693"/>
      <c r="I103" s="654">
        <f t="shared" si="20"/>
        <v>0</v>
      </c>
      <c r="J103" s="691">
        <f t="shared" si="21"/>
        <v>3454055</v>
      </c>
      <c r="K103" s="691">
        <f t="shared" si="22"/>
        <v>86351.375</v>
      </c>
      <c r="L103" s="706"/>
      <c r="M103" s="687"/>
      <c r="N103" s="679"/>
    </row>
    <row r="104" ht="16" customHeight="1" spans="1:16">
      <c r="A104" s="135">
        <f t="shared" si="19"/>
        <v>97</v>
      </c>
      <c r="B104" s="695" t="s">
        <v>618</v>
      </c>
      <c r="C104" s="1089" t="s">
        <v>619</v>
      </c>
      <c r="D104" s="690">
        <v>1000000</v>
      </c>
      <c r="E104" s="691">
        <v>993913</v>
      </c>
      <c r="F104" s="1085" t="s">
        <v>387</v>
      </c>
      <c r="G104" s="693">
        <v>152</v>
      </c>
      <c r="H104" s="693">
        <v>24848</v>
      </c>
      <c r="I104" s="654">
        <f t="shared" si="20"/>
        <v>25000</v>
      </c>
      <c r="J104" s="691">
        <f t="shared" si="21"/>
        <v>993761</v>
      </c>
      <c r="K104" s="691">
        <f t="shared" si="22"/>
        <v>24844.025</v>
      </c>
      <c r="L104" s="706"/>
      <c r="M104" s="687"/>
      <c r="N104" s="108"/>
      <c r="O104" s="108">
        <f>25000-H104</f>
        <v>152</v>
      </c>
      <c r="P104" s="108">
        <f>25000-H104</f>
        <v>152</v>
      </c>
    </row>
    <row r="105" ht="16" customHeight="1" spans="1:16">
      <c r="A105" s="135">
        <f t="shared" si="19"/>
        <v>98</v>
      </c>
      <c r="B105" s="695" t="s">
        <v>620</v>
      </c>
      <c r="C105" s="1089" t="s">
        <v>621</v>
      </c>
      <c r="D105" s="690">
        <v>15000000</v>
      </c>
      <c r="E105" s="691">
        <v>16650013</v>
      </c>
      <c r="F105" s="1085" t="s">
        <v>387</v>
      </c>
      <c r="G105" s="693">
        <v>633750</v>
      </c>
      <c r="H105" s="693">
        <v>416250</v>
      </c>
      <c r="I105" s="654">
        <f t="shared" si="20"/>
        <v>1050000</v>
      </c>
      <c r="J105" s="691">
        <f t="shared" si="21"/>
        <v>16016263</v>
      </c>
      <c r="K105" s="691">
        <f t="shared" si="22"/>
        <v>400406.575</v>
      </c>
      <c r="L105" s="706"/>
      <c r="M105" s="687"/>
      <c r="N105" s="679"/>
      <c r="O105" s="108">
        <f>1000000-H105</f>
        <v>583750</v>
      </c>
      <c r="P105" s="108">
        <f>O105+50000</f>
        <v>633750</v>
      </c>
    </row>
    <row r="106" ht="16" customHeight="1" spans="1:15">
      <c r="A106" s="135">
        <f t="shared" si="19"/>
        <v>99</v>
      </c>
      <c r="B106" s="695" t="s">
        <v>384</v>
      </c>
      <c r="C106" s="1089" t="s">
        <v>621</v>
      </c>
      <c r="D106" s="690">
        <v>10000000</v>
      </c>
      <c r="E106" s="691">
        <v>8187723</v>
      </c>
      <c r="F106" s="1085" t="s">
        <v>379</v>
      </c>
      <c r="G106" s="693">
        <v>45307</v>
      </c>
      <c r="H106" s="693">
        <v>204693</v>
      </c>
      <c r="I106" s="654">
        <f t="shared" si="20"/>
        <v>250000</v>
      </c>
      <c r="J106" s="691">
        <f t="shared" si="21"/>
        <v>8142416</v>
      </c>
      <c r="K106" s="691">
        <f t="shared" si="22"/>
        <v>203560.4</v>
      </c>
      <c r="L106" s="706"/>
      <c r="M106" s="673"/>
      <c r="N106" s="108"/>
      <c r="O106" s="108">
        <f>250000-H106</f>
        <v>45307</v>
      </c>
    </row>
    <row r="107" ht="16" customHeight="1" spans="1:15">
      <c r="A107" s="135">
        <f t="shared" si="19"/>
        <v>100</v>
      </c>
      <c r="B107" s="695" t="s">
        <v>622</v>
      </c>
      <c r="C107" s="1089" t="s">
        <v>623</v>
      </c>
      <c r="D107" s="690">
        <v>5000000</v>
      </c>
      <c r="E107" s="691">
        <v>5000000</v>
      </c>
      <c r="F107" s="692"/>
      <c r="G107" s="693"/>
      <c r="H107" s="693"/>
      <c r="I107" s="654">
        <f t="shared" si="20"/>
        <v>0</v>
      </c>
      <c r="J107" s="691">
        <f t="shared" si="21"/>
        <v>5000000</v>
      </c>
      <c r="K107" s="691">
        <f t="shared" si="22"/>
        <v>125000</v>
      </c>
      <c r="L107" s="706">
        <v>250000</v>
      </c>
      <c r="M107" s="673"/>
      <c r="N107" s="108"/>
      <c r="O107" s="679"/>
    </row>
    <row r="108" ht="16" customHeight="1" spans="1:15">
      <c r="A108" s="135">
        <f t="shared" si="19"/>
        <v>101</v>
      </c>
      <c r="B108" s="665" t="s">
        <v>624</v>
      </c>
      <c r="C108" s="1090" t="s">
        <v>625</v>
      </c>
      <c r="D108" s="653">
        <v>2900000</v>
      </c>
      <c r="E108" s="75">
        <v>2428935</v>
      </c>
      <c r="F108" s="1080" t="s">
        <v>387</v>
      </c>
      <c r="G108" s="654"/>
      <c r="H108" s="654">
        <v>50000</v>
      </c>
      <c r="I108" s="654">
        <f t="shared" si="20"/>
        <v>50000</v>
      </c>
      <c r="J108" s="75">
        <f t="shared" si="21"/>
        <v>2428935</v>
      </c>
      <c r="K108" s="75">
        <f t="shared" si="22"/>
        <v>60723.375</v>
      </c>
      <c r="L108" s="684">
        <v>10723</v>
      </c>
      <c r="M108" s="673"/>
      <c r="N108" s="108"/>
      <c r="O108" s="108"/>
    </row>
    <row r="109" ht="16" customHeight="1" spans="1:15">
      <c r="A109" s="135">
        <f t="shared" si="19"/>
        <v>102</v>
      </c>
      <c r="B109" s="665" t="s">
        <v>383</v>
      </c>
      <c r="C109" s="1090" t="s">
        <v>626</v>
      </c>
      <c r="D109" s="653">
        <v>2900000</v>
      </c>
      <c r="E109" s="75">
        <v>2439141</v>
      </c>
      <c r="F109" s="1080" t="s">
        <v>379</v>
      </c>
      <c r="G109" s="654"/>
      <c r="H109" s="654">
        <v>60000</v>
      </c>
      <c r="I109" s="654">
        <f t="shared" si="20"/>
        <v>60000</v>
      </c>
      <c r="J109" s="75">
        <f t="shared" si="21"/>
        <v>2439141</v>
      </c>
      <c r="K109" s="75">
        <f t="shared" si="22"/>
        <v>60978.525</v>
      </c>
      <c r="L109" s="684">
        <v>979</v>
      </c>
      <c r="M109" s="673"/>
      <c r="N109" s="108"/>
      <c r="O109" s="108"/>
    </row>
    <row r="110" ht="16" customHeight="1" spans="1:15">
      <c r="A110" s="135">
        <f t="shared" si="19"/>
        <v>103</v>
      </c>
      <c r="B110" s="695" t="s">
        <v>459</v>
      </c>
      <c r="C110" s="701"/>
      <c r="D110" s="690">
        <v>2000000</v>
      </c>
      <c r="E110" s="691">
        <v>1696250</v>
      </c>
      <c r="F110" s="1085" t="s">
        <v>387</v>
      </c>
      <c r="G110" s="693">
        <v>57594</v>
      </c>
      <c r="H110" s="693">
        <v>42406</v>
      </c>
      <c r="I110" s="654">
        <f t="shared" si="20"/>
        <v>100000</v>
      </c>
      <c r="J110" s="691">
        <f t="shared" si="21"/>
        <v>1638656</v>
      </c>
      <c r="K110" s="691">
        <f t="shared" si="22"/>
        <v>40966.4</v>
      </c>
      <c r="L110" s="706"/>
      <c r="M110" s="673"/>
      <c r="N110" s="108"/>
      <c r="O110" s="108">
        <f>100000-H110</f>
        <v>57594</v>
      </c>
    </row>
    <row r="111" ht="16" customHeight="1" spans="1:17">
      <c r="A111" s="135">
        <f t="shared" si="19"/>
        <v>104</v>
      </c>
      <c r="B111" s="695" t="s">
        <v>442</v>
      </c>
      <c r="C111" s="1089" t="s">
        <v>627</v>
      </c>
      <c r="D111" s="690">
        <v>3000000</v>
      </c>
      <c r="E111" s="691">
        <v>2973750</v>
      </c>
      <c r="F111" s="1085" t="s">
        <v>387</v>
      </c>
      <c r="G111" s="703"/>
      <c r="H111" s="693">
        <v>150000</v>
      </c>
      <c r="I111" s="654">
        <f t="shared" ref="I111:I130" si="23">G111+H111</f>
        <v>150000</v>
      </c>
      <c r="J111" s="691">
        <f t="shared" si="21"/>
        <v>2973750</v>
      </c>
      <c r="K111" s="691">
        <f t="shared" si="22"/>
        <v>74343.75</v>
      </c>
      <c r="L111" s="706">
        <v>122440</v>
      </c>
      <c r="M111" s="673"/>
      <c r="N111" s="108"/>
      <c r="O111" s="679">
        <f>150000-K111</f>
        <v>75656.25</v>
      </c>
      <c r="Q111" s="679">
        <f>L111+K111</f>
        <v>196783.75</v>
      </c>
    </row>
    <row r="112" ht="16" customHeight="1" spans="1:17">
      <c r="A112" s="135">
        <f t="shared" si="19"/>
        <v>105</v>
      </c>
      <c r="B112" s="695" t="s">
        <v>628</v>
      </c>
      <c r="C112" s="701"/>
      <c r="D112" s="690">
        <v>1000000</v>
      </c>
      <c r="E112" s="691">
        <v>933103</v>
      </c>
      <c r="F112" s="692"/>
      <c r="G112" s="693"/>
      <c r="H112" s="693"/>
      <c r="I112" s="654">
        <f t="shared" si="23"/>
        <v>0</v>
      </c>
      <c r="J112" s="691">
        <f t="shared" si="21"/>
        <v>933103</v>
      </c>
      <c r="K112" s="691">
        <f t="shared" si="22"/>
        <v>23327.575</v>
      </c>
      <c r="L112" s="706">
        <v>66592</v>
      </c>
      <c r="M112" s="673"/>
      <c r="N112" s="679"/>
      <c r="O112" s="679">
        <f>L111-O111</f>
        <v>46783.75</v>
      </c>
      <c r="P112" s="679">
        <f>L112+K112</f>
        <v>89919.575</v>
      </c>
      <c r="Q112" s="679">
        <f>P112+K112</f>
        <v>113247.15</v>
      </c>
    </row>
    <row r="113" ht="16" customHeight="1" spans="1:15">
      <c r="A113" s="135">
        <f t="shared" si="19"/>
        <v>106</v>
      </c>
      <c r="B113" s="695" t="s">
        <v>419</v>
      </c>
      <c r="C113" s="1089" t="s">
        <v>629</v>
      </c>
      <c r="D113" s="690">
        <v>2000000</v>
      </c>
      <c r="E113" s="691">
        <v>1623209</v>
      </c>
      <c r="F113" s="1085" t="s">
        <v>387</v>
      </c>
      <c r="G113" s="693">
        <v>9420</v>
      </c>
      <c r="H113" s="693">
        <v>40580</v>
      </c>
      <c r="I113" s="654">
        <f t="shared" si="23"/>
        <v>50000</v>
      </c>
      <c r="J113" s="691">
        <f t="shared" si="21"/>
        <v>1613789</v>
      </c>
      <c r="K113" s="691">
        <f t="shared" si="22"/>
        <v>40344.725</v>
      </c>
      <c r="L113" s="706"/>
      <c r="M113" s="687"/>
      <c r="N113" s="108"/>
      <c r="O113" s="679">
        <f>50000-H113</f>
        <v>9420</v>
      </c>
    </row>
    <row r="114" ht="16" customHeight="1" spans="1:14">
      <c r="A114" s="135">
        <f t="shared" si="19"/>
        <v>107</v>
      </c>
      <c r="B114" s="695" t="s">
        <v>630</v>
      </c>
      <c r="C114" s="1089" t="s">
        <v>631</v>
      </c>
      <c r="D114" s="690">
        <v>3750000</v>
      </c>
      <c r="E114" s="691">
        <v>3787438</v>
      </c>
      <c r="F114" s="692"/>
      <c r="G114" s="693"/>
      <c r="H114" s="693"/>
      <c r="I114" s="654">
        <f t="shared" si="23"/>
        <v>0</v>
      </c>
      <c r="J114" s="691">
        <f t="shared" si="21"/>
        <v>3787438</v>
      </c>
      <c r="K114" s="691">
        <f t="shared" si="22"/>
        <v>94685.95</v>
      </c>
      <c r="L114" s="706">
        <v>94686</v>
      </c>
      <c r="M114" s="673"/>
      <c r="N114" s="108"/>
    </row>
    <row r="115" ht="16" customHeight="1" spans="1:15">
      <c r="A115" s="135">
        <f t="shared" si="19"/>
        <v>108</v>
      </c>
      <c r="B115" s="695" t="s">
        <v>632</v>
      </c>
      <c r="C115" s="701"/>
      <c r="D115" s="690">
        <v>5000000</v>
      </c>
      <c r="E115" s="691">
        <v>5000000</v>
      </c>
      <c r="F115" s="692"/>
      <c r="G115" s="693"/>
      <c r="H115" s="693"/>
      <c r="I115" s="654">
        <f t="shared" si="23"/>
        <v>0</v>
      </c>
      <c r="J115" s="691">
        <f t="shared" si="21"/>
        <v>5000000</v>
      </c>
      <c r="K115" s="691">
        <f t="shared" si="22"/>
        <v>125000</v>
      </c>
      <c r="L115" s="706">
        <v>1000000</v>
      </c>
      <c r="M115" s="673"/>
      <c r="O115" s="108"/>
    </row>
    <row r="116" ht="16" customHeight="1" spans="1:15">
      <c r="A116" s="135">
        <f t="shared" si="19"/>
        <v>109</v>
      </c>
      <c r="B116" s="695" t="s">
        <v>633</v>
      </c>
      <c r="C116" s="1089" t="s">
        <v>634</v>
      </c>
      <c r="D116" s="690">
        <v>15000000</v>
      </c>
      <c r="E116" s="691">
        <v>13296883</v>
      </c>
      <c r="F116" s="1085" t="s">
        <v>387</v>
      </c>
      <c r="G116" s="693">
        <v>167578</v>
      </c>
      <c r="H116" s="693">
        <v>332422</v>
      </c>
      <c r="I116" s="654">
        <f t="shared" si="23"/>
        <v>500000</v>
      </c>
      <c r="J116" s="691">
        <f t="shared" si="21"/>
        <v>13129305</v>
      </c>
      <c r="K116" s="691">
        <f t="shared" si="22"/>
        <v>328232.625</v>
      </c>
      <c r="L116" s="706"/>
      <c r="M116" s="673"/>
      <c r="N116" s="108"/>
      <c r="O116" s="108">
        <f>500000-H116</f>
        <v>167578</v>
      </c>
    </row>
    <row r="117" ht="16" customHeight="1" spans="1:15">
      <c r="A117" s="135">
        <f t="shared" si="19"/>
        <v>110</v>
      </c>
      <c r="B117" s="695" t="s">
        <v>357</v>
      </c>
      <c r="C117" s="1089" t="s">
        <v>635</v>
      </c>
      <c r="D117" s="690">
        <v>1500000</v>
      </c>
      <c r="E117" s="691">
        <v>599280</v>
      </c>
      <c r="F117" s="1085" t="s">
        <v>353</v>
      </c>
      <c r="G117" s="693">
        <v>100018</v>
      </c>
      <c r="H117" s="693">
        <v>14982</v>
      </c>
      <c r="I117" s="654">
        <f t="shared" si="23"/>
        <v>115000</v>
      </c>
      <c r="J117" s="691">
        <f t="shared" si="21"/>
        <v>499262</v>
      </c>
      <c r="K117" s="691">
        <f t="shared" si="22"/>
        <v>12481.55</v>
      </c>
      <c r="L117" s="706"/>
      <c r="M117" s="673"/>
      <c r="N117" s="108"/>
      <c r="O117" s="108"/>
    </row>
    <row r="118" ht="16" customHeight="1" spans="1:15">
      <c r="A118" s="135">
        <f t="shared" si="19"/>
        <v>111</v>
      </c>
      <c r="B118" s="704" t="s">
        <v>431</v>
      </c>
      <c r="C118" s="1084" t="s">
        <v>636</v>
      </c>
      <c r="D118" s="705">
        <v>10000000</v>
      </c>
      <c r="E118" s="691">
        <v>5565070</v>
      </c>
      <c r="F118" s="1085" t="s">
        <v>387</v>
      </c>
      <c r="G118" s="693">
        <v>1860873</v>
      </c>
      <c r="H118" s="693">
        <v>139127</v>
      </c>
      <c r="I118" s="654">
        <f t="shared" si="23"/>
        <v>2000000</v>
      </c>
      <c r="J118" s="691">
        <f t="shared" si="21"/>
        <v>3704197</v>
      </c>
      <c r="K118" s="691">
        <f t="shared" si="22"/>
        <v>92604.925</v>
      </c>
      <c r="L118" s="708"/>
      <c r="M118" s="709"/>
      <c r="N118" s="108"/>
      <c r="O118" s="108">
        <f>2000000-H118</f>
        <v>1860873</v>
      </c>
    </row>
    <row r="119" ht="16" customHeight="1" spans="1:15">
      <c r="A119" s="135">
        <f t="shared" si="19"/>
        <v>112</v>
      </c>
      <c r="B119" s="704" t="s">
        <v>418</v>
      </c>
      <c r="C119" s="1084" t="s">
        <v>636</v>
      </c>
      <c r="D119" s="705">
        <v>3000000</v>
      </c>
      <c r="E119" s="691">
        <v>2474368</v>
      </c>
      <c r="F119" s="1085" t="s">
        <v>387</v>
      </c>
      <c r="G119" s="693">
        <v>113141</v>
      </c>
      <c r="H119" s="693">
        <v>61859</v>
      </c>
      <c r="I119" s="654">
        <f t="shared" si="23"/>
        <v>175000</v>
      </c>
      <c r="J119" s="691">
        <f t="shared" si="21"/>
        <v>2361227</v>
      </c>
      <c r="K119" s="691">
        <f t="shared" si="22"/>
        <v>59030.675</v>
      </c>
      <c r="L119" s="708"/>
      <c r="M119" s="676"/>
      <c r="N119" s="108"/>
      <c r="O119" s="108"/>
    </row>
    <row r="120" ht="16" customHeight="1" spans="1:15">
      <c r="A120" s="135">
        <f t="shared" si="19"/>
        <v>113</v>
      </c>
      <c r="B120" s="704" t="s">
        <v>637</v>
      </c>
      <c r="C120" s="1084" t="s">
        <v>638</v>
      </c>
      <c r="D120" s="705">
        <v>10000000</v>
      </c>
      <c r="E120" s="691">
        <v>9871875</v>
      </c>
      <c r="F120" s="1085" t="s">
        <v>387</v>
      </c>
      <c r="G120" s="693">
        <v>53203</v>
      </c>
      <c r="H120" s="693">
        <v>246797</v>
      </c>
      <c r="I120" s="654">
        <f t="shared" si="23"/>
        <v>300000</v>
      </c>
      <c r="J120" s="691">
        <f t="shared" si="21"/>
        <v>9818672</v>
      </c>
      <c r="K120" s="691">
        <f t="shared" si="22"/>
        <v>245466.8</v>
      </c>
      <c r="L120" s="708"/>
      <c r="M120" s="676"/>
      <c r="N120" s="108"/>
      <c r="O120" s="108"/>
    </row>
    <row r="121" ht="16" customHeight="1" spans="1:15">
      <c r="A121" s="135">
        <f t="shared" si="19"/>
        <v>114</v>
      </c>
      <c r="B121" s="704" t="s">
        <v>416</v>
      </c>
      <c r="C121" s="1084" t="s">
        <v>639</v>
      </c>
      <c r="D121" s="705">
        <v>3000000</v>
      </c>
      <c r="E121" s="691">
        <v>2875000</v>
      </c>
      <c r="F121" s="1085" t="s">
        <v>387</v>
      </c>
      <c r="G121" s="693">
        <v>228125</v>
      </c>
      <c r="H121" s="693">
        <v>71875</v>
      </c>
      <c r="I121" s="654">
        <f t="shared" si="23"/>
        <v>300000</v>
      </c>
      <c r="J121" s="691">
        <f t="shared" si="21"/>
        <v>2646875</v>
      </c>
      <c r="K121" s="691">
        <f t="shared" si="22"/>
        <v>66171.875</v>
      </c>
      <c r="L121" s="708"/>
      <c r="M121" s="676"/>
      <c r="N121" s="108">
        <f>300000-H121</f>
        <v>228125</v>
      </c>
      <c r="O121" s="108"/>
    </row>
    <row r="122" ht="16" customHeight="1" spans="1:15">
      <c r="A122" s="135">
        <f t="shared" si="19"/>
        <v>115</v>
      </c>
      <c r="B122" s="704" t="s">
        <v>319</v>
      </c>
      <c r="C122" s="1084" t="s">
        <v>639</v>
      </c>
      <c r="D122" s="705">
        <v>3500000</v>
      </c>
      <c r="E122" s="691">
        <v>3337500</v>
      </c>
      <c r="F122" s="1085" t="s">
        <v>318</v>
      </c>
      <c r="G122" s="693">
        <v>166562</v>
      </c>
      <c r="H122" s="693">
        <v>83438</v>
      </c>
      <c r="I122" s="654">
        <f t="shared" si="23"/>
        <v>250000</v>
      </c>
      <c r="J122" s="691">
        <f t="shared" si="21"/>
        <v>3170938</v>
      </c>
      <c r="K122" s="691">
        <f t="shared" si="22"/>
        <v>79273.45</v>
      </c>
      <c r="L122" s="708"/>
      <c r="M122" s="676"/>
      <c r="N122" s="108"/>
      <c r="O122" s="108"/>
    </row>
    <row r="123" ht="16" customHeight="1" spans="1:15">
      <c r="A123" s="135">
        <f t="shared" si="19"/>
        <v>116</v>
      </c>
      <c r="B123" s="704" t="s">
        <v>640</v>
      </c>
      <c r="C123" s="1084" t="s">
        <v>641</v>
      </c>
      <c r="D123" s="705">
        <v>3000000</v>
      </c>
      <c r="E123" s="691">
        <v>3000000</v>
      </c>
      <c r="F123" s="692"/>
      <c r="G123" s="693"/>
      <c r="H123" s="693"/>
      <c r="I123" s="654">
        <f t="shared" si="23"/>
        <v>0</v>
      </c>
      <c r="J123" s="691">
        <f t="shared" si="21"/>
        <v>3000000</v>
      </c>
      <c r="K123" s="691">
        <f t="shared" si="22"/>
        <v>75000</v>
      </c>
      <c r="L123" s="708">
        <v>75000</v>
      </c>
      <c r="M123" s="676"/>
      <c r="O123" s="108"/>
    </row>
    <row r="124" ht="16" customHeight="1" spans="1:15">
      <c r="A124" s="135">
        <f t="shared" si="19"/>
        <v>117</v>
      </c>
      <c r="B124" s="704" t="s">
        <v>377</v>
      </c>
      <c r="C124" s="1084" t="s">
        <v>642</v>
      </c>
      <c r="D124" s="705">
        <v>3000000</v>
      </c>
      <c r="E124" s="691">
        <v>2975000</v>
      </c>
      <c r="F124" s="1085" t="s">
        <v>375</v>
      </c>
      <c r="G124" s="693">
        <v>25625</v>
      </c>
      <c r="H124" s="693">
        <v>74375</v>
      </c>
      <c r="I124" s="654">
        <f t="shared" si="23"/>
        <v>100000</v>
      </c>
      <c r="J124" s="691">
        <f t="shared" si="21"/>
        <v>2949375</v>
      </c>
      <c r="K124" s="691">
        <f t="shared" si="22"/>
        <v>73734.375</v>
      </c>
      <c r="L124" s="708"/>
      <c r="M124" s="676"/>
      <c r="O124" s="108">
        <f>100000-H124</f>
        <v>25625</v>
      </c>
    </row>
    <row r="125" ht="16" customHeight="1" spans="1:15">
      <c r="A125" s="135">
        <f t="shared" si="19"/>
        <v>118</v>
      </c>
      <c r="B125" s="704" t="s">
        <v>643</v>
      </c>
      <c r="C125" s="1084" t="s">
        <v>644</v>
      </c>
      <c r="D125" s="705">
        <v>6000000</v>
      </c>
      <c r="E125" s="691">
        <v>6000000</v>
      </c>
      <c r="F125" s="1085" t="s">
        <v>353</v>
      </c>
      <c r="G125" s="693"/>
      <c r="H125" s="693">
        <v>150000</v>
      </c>
      <c r="I125" s="654">
        <f t="shared" si="23"/>
        <v>150000</v>
      </c>
      <c r="J125" s="691">
        <f t="shared" si="21"/>
        <v>6000000</v>
      </c>
      <c r="K125" s="691">
        <f t="shared" si="22"/>
        <v>150000</v>
      </c>
      <c r="L125" s="708"/>
      <c r="M125" s="676"/>
      <c r="O125" s="108"/>
    </row>
    <row r="126" ht="16" customHeight="1" spans="1:15">
      <c r="A126" s="135">
        <f t="shared" si="19"/>
        <v>119</v>
      </c>
      <c r="B126" s="704" t="s">
        <v>297</v>
      </c>
      <c r="C126" s="1084" t="s">
        <v>328</v>
      </c>
      <c r="D126" s="705">
        <v>2000000</v>
      </c>
      <c r="E126" s="691">
        <v>2000000</v>
      </c>
      <c r="F126" s="692"/>
      <c r="G126" s="693"/>
      <c r="H126" s="693"/>
      <c r="I126" s="654">
        <f t="shared" si="23"/>
        <v>0</v>
      </c>
      <c r="J126" s="691">
        <f t="shared" si="21"/>
        <v>2000000</v>
      </c>
      <c r="K126" s="691">
        <f t="shared" si="22"/>
        <v>50000</v>
      </c>
      <c r="L126" s="708"/>
      <c r="M126" s="676"/>
      <c r="O126" s="108"/>
    </row>
    <row r="127" ht="16" customHeight="1" spans="1:15">
      <c r="A127" s="135">
        <f t="shared" si="19"/>
        <v>120</v>
      </c>
      <c r="B127" s="704" t="s">
        <v>645</v>
      </c>
      <c r="C127" s="1084" t="s">
        <v>333</v>
      </c>
      <c r="D127" s="705">
        <v>5000000</v>
      </c>
      <c r="E127" s="691">
        <v>5000000</v>
      </c>
      <c r="F127" s="692"/>
      <c r="G127" s="693"/>
      <c r="H127" s="693"/>
      <c r="I127" s="654">
        <f t="shared" si="23"/>
        <v>0</v>
      </c>
      <c r="J127" s="691">
        <f t="shared" si="21"/>
        <v>5000000</v>
      </c>
      <c r="K127" s="691">
        <f t="shared" si="22"/>
        <v>125000</v>
      </c>
      <c r="L127" s="708"/>
      <c r="M127" s="676"/>
      <c r="O127" s="108"/>
    </row>
    <row r="128" ht="16" customHeight="1" spans="1:13">
      <c r="A128" s="135">
        <f t="shared" si="19"/>
        <v>121</v>
      </c>
      <c r="B128" s="704" t="s">
        <v>646</v>
      </c>
      <c r="C128" s="1084" t="s">
        <v>353</v>
      </c>
      <c r="D128" s="705">
        <v>1500000</v>
      </c>
      <c r="E128" s="691">
        <v>1500000</v>
      </c>
      <c r="F128" s="692"/>
      <c r="G128" s="693"/>
      <c r="H128" s="693"/>
      <c r="I128" s="654">
        <f t="shared" si="23"/>
        <v>0</v>
      </c>
      <c r="J128" s="691">
        <f t="shared" si="21"/>
        <v>1500000</v>
      </c>
      <c r="K128" s="691">
        <f t="shared" si="22"/>
        <v>37500</v>
      </c>
      <c r="L128" s="708"/>
      <c r="M128" s="676"/>
    </row>
    <row r="129" ht="16" customHeight="1" spans="1:13">
      <c r="A129" s="135">
        <f t="shared" si="19"/>
        <v>122</v>
      </c>
      <c r="B129" s="710" t="s">
        <v>647</v>
      </c>
      <c r="C129" s="652"/>
      <c r="D129" s="661">
        <v>11500000</v>
      </c>
      <c r="E129" s="75">
        <v>11000000</v>
      </c>
      <c r="F129" s="83"/>
      <c r="G129" s="654"/>
      <c r="H129" s="654"/>
      <c r="I129" s="654">
        <f t="shared" si="23"/>
        <v>0</v>
      </c>
      <c r="J129" s="691">
        <f t="shared" si="21"/>
        <v>11000000</v>
      </c>
      <c r="K129" s="691"/>
      <c r="L129" s="75"/>
      <c r="M129" s="676"/>
    </row>
    <row r="130" ht="16" customHeight="1" spans="1:13">
      <c r="A130" s="135">
        <f t="shared" si="19"/>
        <v>123</v>
      </c>
      <c r="B130" s="660" t="s">
        <v>293</v>
      </c>
      <c r="C130" s="652"/>
      <c r="D130" s="661">
        <v>16572000</v>
      </c>
      <c r="E130" s="75">
        <v>15972000</v>
      </c>
      <c r="F130" s="1080" t="s">
        <v>292</v>
      </c>
      <c r="G130" s="654">
        <v>200000</v>
      </c>
      <c r="H130" s="654"/>
      <c r="I130" s="654">
        <f t="shared" si="23"/>
        <v>200000</v>
      </c>
      <c r="J130" s="691">
        <f t="shared" si="21"/>
        <v>15772000</v>
      </c>
      <c r="K130" s="691"/>
      <c r="L130" s="680"/>
      <c r="M130" s="681"/>
    </row>
    <row r="131" ht="16" customHeight="1" spans="1:13">
      <c r="A131" s="135">
        <f t="shared" si="19"/>
        <v>124</v>
      </c>
      <c r="B131" s="655" t="s">
        <v>648</v>
      </c>
      <c r="C131" s="652"/>
      <c r="D131" s="653">
        <v>4139170</v>
      </c>
      <c r="E131" s="75">
        <v>3489170</v>
      </c>
      <c r="F131" s="1080" t="s">
        <v>292</v>
      </c>
      <c r="G131" s="654">
        <v>100000</v>
      </c>
      <c r="H131" s="654"/>
      <c r="I131" s="654">
        <f t="shared" ref="I129:I163" si="24">G131+H131</f>
        <v>100000</v>
      </c>
      <c r="J131" s="75">
        <f t="shared" ref="J129:J160" si="25">SUM(E131-G131)</f>
        <v>3389170</v>
      </c>
      <c r="K131" s="691"/>
      <c r="L131" s="677"/>
      <c r="M131" s="683"/>
    </row>
    <row r="132" ht="16" customHeight="1" spans="1:13">
      <c r="A132" s="135">
        <f t="shared" ref="A129:A159" si="26">A131+1</f>
        <v>125</v>
      </c>
      <c r="B132" s="655" t="s">
        <v>649</v>
      </c>
      <c r="C132" s="652"/>
      <c r="D132" s="653">
        <v>1275846</v>
      </c>
      <c r="E132" s="75">
        <v>975846</v>
      </c>
      <c r="F132" s="83"/>
      <c r="G132" s="654"/>
      <c r="H132" s="654"/>
      <c r="I132" s="654">
        <f t="shared" si="24"/>
        <v>0</v>
      </c>
      <c r="J132" s="75">
        <f t="shared" si="25"/>
        <v>975846</v>
      </c>
      <c r="K132" s="75"/>
      <c r="L132" s="677"/>
      <c r="M132" s="683"/>
    </row>
    <row r="133" ht="16" customHeight="1" spans="1:13">
      <c r="A133" s="135">
        <f t="shared" si="26"/>
        <v>126</v>
      </c>
      <c r="B133" s="711" t="s">
        <v>297</v>
      </c>
      <c r="C133" s="652"/>
      <c r="D133" s="653">
        <v>1000000</v>
      </c>
      <c r="E133" s="75">
        <v>900000</v>
      </c>
      <c r="F133" s="1080" t="s">
        <v>292</v>
      </c>
      <c r="G133" s="654">
        <v>50000</v>
      </c>
      <c r="H133" s="654"/>
      <c r="I133" s="654">
        <f t="shared" si="24"/>
        <v>50000</v>
      </c>
      <c r="J133" s="75">
        <f t="shared" si="25"/>
        <v>850000</v>
      </c>
      <c r="K133" s="75"/>
      <c r="L133" s="677"/>
      <c r="M133" s="683"/>
    </row>
    <row r="134" ht="16" customHeight="1" spans="1:13">
      <c r="A134" s="135">
        <f t="shared" si="26"/>
        <v>127</v>
      </c>
      <c r="B134" s="711" t="s">
        <v>650</v>
      </c>
      <c r="C134" s="652"/>
      <c r="D134" s="653">
        <v>1432233</v>
      </c>
      <c r="E134" s="75">
        <v>1432233</v>
      </c>
      <c r="F134" s="83"/>
      <c r="G134" s="654"/>
      <c r="H134" s="654"/>
      <c r="I134" s="654">
        <f t="shared" si="24"/>
        <v>0</v>
      </c>
      <c r="J134" s="75">
        <f t="shared" si="25"/>
        <v>1432233</v>
      </c>
      <c r="K134" s="75"/>
      <c r="L134" s="674"/>
      <c r="M134" s="675"/>
    </row>
    <row r="135" ht="16" customHeight="1" spans="1:13">
      <c r="A135" s="135">
        <f t="shared" si="26"/>
        <v>128</v>
      </c>
      <c r="B135" s="712" t="s">
        <v>651</v>
      </c>
      <c r="C135" s="1082" t="str">
        <f>C45</f>
        <v>06-12-2022</v>
      </c>
      <c r="D135" s="653">
        <v>2042787</v>
      </c>
      <c r="E135" s="658">
        <v>1742787</v>
      </c>
      <c r="F135" s="106"/>
      <c r="G135" s="659"/>
      <c r="H135" s="659"/>
      <c r="I135" s="654">
        <f t="shared" si="24"/>
        <v>0</v>
      </c>
      <c r="J135" s="658">
        <f t="shared" si="25"/>
        <v>1742787</v>
      </c>
      <c r="K135" s="658"/>
      <c r="L135" s="672"/>
      <c r="M135" s="687" t="s">
        <v>514</v>
      </c>
    </row>
    <row r="136" ht="16" customHeight="1" spans="1:13">
      <c r="A136" s="135">
        <f t="shared" si="26"/>
        <v>129</v>
      </c>
      <c r="B136" s="711" t="s">
        <v>652</v>
      </c>
      <c r="C136" s="652"/>
      <c r="D136" s="653">
        <v>1000000</v>
      </c>
      <c r="E136" s="75">
        <v>1000000</v>
      </c>
      <c r="F136" s="83"/>
      <c r="G136" s="654"/>
      <c r="H136" s="654"/>
      <c r="I136" s="654">
        <f t="shared" si="24"/>
        <v>0</v>
      </c>
      <c r="J136" s="75">
        <f t="shared" si="25"/>
        <v>1000000</v>
      </c>
      <c r="K136" s="75"/>
      <c r="L136" s="737"/>
      <c r="M136" s="738"/>
    </row>
    <row r="137" ht="16" customHeight="1" spans="1:13">
      <c r="A137" s="135">
        <f t="shared" si="26"/>
        <v>130</v>
      </c>
      <c r="B137" s="655" t="s">
        <v>653</v>
      </c>
      <c r="C137" s="652"/>
      <c r="D137" s="653">
        <v>980000</v>
      </c>
      <c r="E137" s="75">
        <v>430000</v>
      </c>
      <c r="F137" s="83"/>
      <c r="G137" s="654"/>
      <c r="H137" s="654"/>
      <c r="I137" s="654">
        <f t="shared" si="24"/>
        <v>0</v>
      </c>
      <c r="J137" s="75">
        <f t="shared" si="25"/>
        <v>430000</v>
      </c>
      <c r="K137" s="75"/>
      <c r="L137" s="674"/>
      <c r="M137" s="675"/>
    </row>
    <row r="138" ht="16" customHeight="1" spans="1:13">
      <c r="A138" s="135">
        <f t="shared" si="26"/>
        <v>131</v>
      </c>
      <c r="B138" s="655" t="s">
        <v>300</v>
      </c>
      <c r="C138" s="1079" t="s">
        <v>654</v>
      </c>
      <c r="D138" s="653">
        <v>4149500</v>
      </c>
      <c r="E138" s="75">
        <v>3799500</v>
      </c>
      <c r="F138" s="1080" t="s">
        <v>292</v>
      </c>
      <c r="G138" s="654">
        <v>150000</v>
      </c>
      <c r="H138" s="654"/>
      <c r="I138" s="654">
        <f t="shared" si="24"/>
        <v>150000</v>
      </c>
      <c r="J138" s="75">
        <f t="shared" si="25"/>
        <v>3649500</v>
      </c>
      <c r="K138" s="75"/>
      <c r="L138" s="677"/>
      <c r="M138" s="683"/>
    </row>
    <row r="139" ht="16" customHeight="1" spans="1:13">
      <c r="A139" s="135">
        <f t="shared" si="26"/>
        <v>132</v>
      </c>
      <c r="B139" s="655" t="s">
        <v>655</v>
      </c>
      <c r="C139" s="652"/>
      <c r="D139" s="653">
        <v>2000000</v>
      </c>
      <c r="E139" s="75">
        <v>750000</v>
      </c>
      <c r="F139" s="83"/>
      <c r="G139" s="654"/>
      <c r="H139" s="654"/>
      <c r="I139" s="654">
        <f t="shared" si="24"/>
        <v>0</v>
      </c>
      <c r="J139" s="75">
        <f t="shared" si="25"/>
        <v>750000</v>
      </c>
      <c r="K139" s="75"/>
      <c r="L139" s="677"/>
      <c r="M139" s="678" t="s">
        <v>514</v>
      </c>
    </row>
    <row r="140" ht="16" customHeight="1" spans="1:13">
      <c r="A140" s="135">
        <f t="shared" si="26"/>
        <v>133</v>
      </c>
      <c r="B140" s="712" t="s">
        <v>656</v>
      </c>
      <c r="C140" s="1079" t="str">
        <f>C67</f>
        <v>10-04-2023</v>
      </c>
      <c r="D140" s="653">
        <v>2338380</v>
      </c>
      <c r="E140" s="75">
        <v>2338380</v>
      </c>
      <c r="F140" s="83"/>
      <c r="G140" s="654"/>
      <c r="H140" s="654"/>
      <c r="I140" s="654">
        <f t="shared" si="24"/>
        <v>0</v>
      </c>
      <c r="J140" s="75">
        <f t="shared" si="25"/>
        <v>2338380</v>
      </c>
      <c r="K140" s="75"/>
      <c r="L140" s="672"/>
      <c r="M140" s="673" t="s">
        <v>514</v>
      </c>
    </row>
    <row r="141" ht="16" customHeight="1" spans="1:13">
      <c r="A141" s="135">
        <f t="shared" si="26"/>
        <v>134</v>
      </c>
      <c r="B141" s="711" t="s">
        <v>298</v>
      </c>
      <c r="C141" s="652"/>
      <c r="D141" s="653">
        <v>2000000</v>
      </c>
      <c r="E141" s="75">
        <v>1950000</v>
      </c>
      <c r="F141" s="1080" t="s">
        <v>292</v>
      </c>
      <c r="G141" s="654">
        <v>50000</v>
      </c>
      <c r="H141" s="654"/>
      <c r="I141" s="654">
        <f t="shared" si="24"/>
        <v>50000</v>
      </c>
      <c r="J141" s="75">
        <f t="shared" si="25"/>
        <v>1900000</v>
      </c>
      <c r="K141" s="75"/>
      <c r="L141" s="672"/>
      <c r="M141" s="673"/>
    </row>
    <row r="142" ht="16" customHeight="1" spans="1:13">
      <c r="A142" s="135">
        <f t="shared" si="26"/>
        <v>135</v>
      </c>
      <c r="B142" s="711" t="s">
        <v>657</v>
      </c>
      <c r="C142" s="652"/>
      <c r="D142" s="653">
        <v>5000000</v>
      </c>
      <c r="E142" s="75">
        <v>4600000</v>
      </c>
      <c r="F142" s="83"/>
      <c r="G142" s="654"/>
      <c r="H142" s="654"/>
      <c r="I142" s="654">
        <f t="shared" si="24"/>
        <v>0</v>
      </c>
      <c r="J142" s="75">
        <f t="shared" si="25"/>
        <v>4600000</v>
      </c>
      <c r="K142" s="75"/>
      <c r="L142" s="672"/>
      <c r="M142" s="673"/>
    </row>
    <row r="143" ht="16" customHeight="1" spans="1:13">
      <c r="A143" s="135">
        <f t="shared" si="26"/>
        <v>136</v>
      </c>
      <c r="B143" s="711" t="s">
        <v>658</v>
      </c>
      <c r="C143" s="652"/>
      <c r="D143" s="653">
        <v>2000000</v>
      </c>
      <c r="E143" s="75">
        <v>1970000</v>
      </c>
      <c r="F143" s="83"/>
      <c r="G143" s="654"/>
      <c r="H143" s="654"/>
      <c r="I143" s="654">
        <f t="shared" si="24"/>
        <v>0</v>
      </c>
      <c r="J143" s="75">
        <f t="shared" si="25"/>
        <v>1970000</v>
      </c>
      <c r="K143" s="75"/>
      <c r="L143" s="684"/>
      <c r="M143" s="673"/>
    </row>
    <row r="144" ht="16" customHeight="1" spans="1:13">
      <c r="A144" s="135">
        <f t="shared" si="26"/>
        <v>137</v>
      </c>
      <c r="B144" s="655" t="s">
        <v>659</v>
      </c>
      <c r="C144" s="652"/>
      <c r="D144" s="657">
        <v>815335</v>
      </c>
      <c r="E144" s="75">
        <v>434000</v>
      </c>
      <c r="F144" s="83"/>
      <c r="G144" s="654"/>
      <c r="H144" s="654"/>
      <c r="I144" s="654">
        <f t="shared" si="24"/>
        <v>0</v>
      </c>
      <c r="J144" s="75">
        <f t="shared" si="25"/>
        <v>434000</v>
      </c>
      <c r="K144" s="75"/>
      <c r="L144" s="672"/>
      <c r="M144" s="673"/>
    </row>
    <row r="145" ht="16" customHeight="1" spans="1:13">
      <c r="A145" s="135">
        <f t="shared" si="26"/>
        <v>138</v>
      </c>
      <c r="B145" s="711" t="s">
        <v>660</v>
      </c>
      <c r="C145" s="652"/>
      <c r="D145" s="653">
        <v>2000000</v>
      </c>
      <c r="E145" s="75">
        <v>2000000</v>
      </c>
      <c r="F145" s="83"/>
      <c r="G145" s="654"/>
      <c r="H145" s="654"/>
      <c r="I145" s="654">
        <f t="shared" si="24"/>
        <v>0</v>
      </c>
      <c r="J145" s="75">
        <f t="shared" si="25"/>
        <v>2000000</v>
      </c>
      <c r="K145" s="75"/>
      <c r="L145" s="672"/>
      <c r="M145" s="673"/>
    </row>
    <row r="146" ht="16" customHeight="1" spans="1:13">
      <c r="A146" s="135">
        <f t="shared" si="26"/>
        <v>139</v>
      </c>
      <c r="B146" s="711" t="s">
        <v>371</v>
      </c>
      <c r="C146" s="1079" t="s">
        <v>661</v>
      </c>
      <c r="D146" s="653">
        <v>6793678</v>
      </c>
      <c r="E146" s="75">
        <v>6793678</v>
      </c>
      <c r="F146" s="83"/>
      <c r="G146" s="654"/>
      <c r="H146" s="654"/>
      <c r="I146" s="654">
        <f t="shared" si="24"/>
        <v>0</v>
      </c>
      <c r="J146" s="75">
        <f t="shared" si="25"/>
        <v>6793678</v>
      </c>
      <c r="K146" s="75"/>
      <c r="L146" s="672"/>
      <c r="M146" s="673"/>
    </row>
    <row r="147" ht="16" customHeight="1" spans="1:13">
      <c r="A147" s="135">
        <f t="shared" si="26"/>
        <v>140</v>
      </c>
      <c r="B147" s="713" t="s">
        <v>662</v>
      </c>
      <c r="C147" s="1079" t="s">
        <v>661</v>
      </c>
      <c r="D147" s="714">
        <v>500000</v>
      </c>
      <c r="E147" s="75">
        <v>500000</v>
      </c>
      <c r="F147" s="83"/>
      <c r="G147" s="654"/>
      <c r="H147" s="654"/>
      <c r="I147" s="654">
        <f t="shared" si="24"/>
        <v>0</v>
      </c>
      <c r="J147" s="75">
        <f t="shared" si="25"/>
        <v>500000</v>
      </c>
      <c r="K147" s="75"/>
      <c r="L147" s="739"/>
      <c r="M147" s="740"/>
    </row>
    <row r="148" ht="16" customHeight="1" spans="1:13">
      <c r="A148" s="135">
        <f t="shared" si="26"/>
        <v>141</v>
      </c>
      <c r="B148" s="711" t="s">
        <v>663</v>
      </c>
      <c r="C148" s="1079" t="str">
        <f>C147</f>
        <v>31-01-2019</v>
      </c>
      <c r="D148" s="653">
        <v>1000000</v>
      </c>
      <c r="E148" s="75">
        <v>1000000</v>
      </c>
      <c r="F148" s="83"/>
      <c r="G148" s="654"/>
      <c r="H148" s="654"/>
      <c r="I148" s="654">
        <f t="shared" si="24"/>
        <v>0</v>
      </c>
      <c r="J148" s="75">
        <f t="shared" si="25"/>
        <v>1000000</v>
      </c>
      <c r="K148" s="75"/>
      <c r="L148" s="672"/>
      <c r="M148" s="673"/>
    </row>
    <row r="149" ht="16" customHeight="1" spans="1:13">
      <c r="A149" s="135">
        <f t="shared" si="26"/>
        <v>142</v>
      </c>
      <c r="B149" s="711" t="s">
        <v>299</v>
      </c>
      <c r="C149" s="1079" t="s">
        <v>664</v>
      </c>
      <c r="D149" s="653">
        <v>3000000</v>
      </c>
      <c r="E149" s="75">
        <v>2900000</v>
      </c>
      <c r="F149" s="1080" t="s">
        <v>292</v>
      </c>
      <c r="G149" s="654">
        <v>150000</v>
      </c>
      <c r="H149" s="654"/>
      <c r="I149" s="654">
        <f t="shared" si="24"/>
        <v>150000</v>
      </c>
      <c r="J149" s="75">
        <f t="shared" si="25"/>
        <v>2750000</v>
      </c>
      <c r="K149" s="75"/>
      <c r="L149" s="672"/>
      <c r="M149" s="673"/>
    </row>
    <row r="150" ht="16" customHeight="1" spans="1:13">
      <c r="A150" s="135">
        <f t="shared" si="26"/>
        <v>143</v>
      </c>
      <c r="B150" s="651" t="s">
        <v>349</v>
      </c>
      <c r="C150" s="652"/>
      <c r="D150" s="653">
        <v>3500000</v>
      </c>
      <c r="E150" s="75">
        <v>2600000</v>
      </c>
      <c r="F150" s="1080" t="s">
        <v>347</v>
      </c>
      <c r="G150" s="83">
        <v>500000</v>
      </c>
      <c r="H150" s="654"/>
      <c r="I150" s="654">
        <f t="shared" si="24"/>
        <v>500000</v>
      </c>
      <c r="J150" s="75">
        <f t="shared" si="25"/>
        <v>2100000</v>
      </c>
      <c r="K150" s="75"/>
      <c r="L150" s="684"/>
      <c r="M150" s="673"/>
    </row>
    <row r="151" ht="16" customHeight="1" spans="1:13">
      <c r="A151" s="135">
        <f t="shared" si="26"/>
        <v>144</v>
      </c>
      <c r="B151" s="712" t="s">
        <v>665</v>
      </c>
      <c r="C151" s="1079" t="s">
        <v>666</v>
      </c>
      <c r="D151" s="653">
        <v>4842135</v>
      </c>
      <c r="E151" s="75">
        <v>4842135</v>
      </c>
      <c r="F151" s="83"/>
      <c r="G151" s="654"/>
      <c r="H151" s="654"/>
      <c r="I151" s="654">
        <f t="shared" si="24"/>
        <v>0</v>
      </c>
      <c r="J151" s="75">
        <f t="shared" si="25"/>
        <v>4842135</v>
      </c>
      <c r="K151" s="75"/>
      <c r="L151" s="684"/>
      <c r="M151" s="673"/>
    </row>
    <row r="152" ht="16" customHeight="1" spans="1:13">
      <c r="A152" s="135">
        <f t="shared" si="26"/>
        <v>145</v>
      </c>
      <c r="B152" s="712" t="s">
        <v>667</v>
      </c>
      <c r="C152" s="652"/>
      <c r="D152" s="653">
        <v>1893910</v>
      </c>
      <c r="E152" s="75">
        <v>1372615</v>
      </c>
      <c r="F152" s="83"/>
      <c r="G152" s="654"/>
      <c r="H152" s="654"/>
      <c r="I152" s="654">
        <f t="shared" si="24"/>
        <v>0</v>
      </c>
      <c r="J152" s="75">
        <f t="shared" si="25"/>
        <v>1372615</v>
      </c>
      <c r="K152" s="75"/>
      <c r="L152" s="672"/>
      <c r="M152" s="673" t="s">
        <v>514</v>
      </c>
    </row>
    <row r="153" ht="16" customHeight="1" spans="1:13">
      <c r="A153" s="135">
        <f t="shared" si="26"/>
        <v>146</v>
      </c>
      <c r="B153" s="651" t="s">
        <v>668</v>
      </c>
      <c r="C153" s="656"/>
      <c r="D153" s="653">
        <v>5000000</v>
      </c>
      <c r="E153" s="658">
        <v>4900000</v>
      </c>
      <c r="F153" s="1081" t="s">
        <v>669</v>
      </c>
      <c r="G153" s="659">
        <v>150000</v>
      </c>
      <c r="H153" s="659"/>
      <c r="I153" s="654">
        <f t="shared" si="24"/>
        <v>150000</v>
      </c>
      <c r="J153" s="658">
        <f t="shared" si="25"/>
        <v>4750000</v>
      </c>
      <c r="K153" s="658"/>
      <c r="L153" s="672"/>
      <c r="M153" s="673"/>
    </row>
    <row r="154" ht="16" customHeight="1" spans="1:13">
      <c r="A154" s="135">
        <f t="shared" si="26"/>
        <v>147</v>
      </c>
      <c r="B154" s="651" t="s">
        <v>670</v>
      </c>
      <c r="C154" s="1079" t="s">
        <v>671</v>
      </c>
      <c r="D154" s="653">
        <v>1500000</v>
      </c>
      <c r="E154" s="75">
        <v>1000000</v>
      </c>
      <c r="F154" s="83"/>
      <c r="G154" s="654"/>
      <c r="H154" s="654"/>
      <c r="I154" s="654">
        <f t="shared" si="24"/>
        <v>0</v>
      </c>
      <c r="J154" s="75">
        <f t="shared" si="25"/>
        <v>1000000</v>
      </c>
      <c r="K154" s="75"/>
      <c r="L154" s="672"/>
      <c r="M154" s="673"/>
    </row>
    <row r="155" ht="16" customHeight="1" spans="1:13">
      <c r="A155" s="135">
        <f t="shared" si="26"/>
        <v>148</v>
      </c>
      <c r="B155" s="712" t="s">
        <v>672</v>
      </c>
      <c r="C155" s="652"/>
      <c r="D155" s="653">
        <v>36500000</v>
      </c>
      <c r="E155" s="75">
        <v>36050000</v>
      </c>
      <c r="F155" s="83"/>
      <c r="G155" s="654"/>
      <c r="H155" s="654"/>
      <c r="I155" s="654">
        <f t="shared" si="24"/>
        <v>0</v>
      </c>
      <c r="J155" s="75">
        <f t="shared" si="25"/>
        <v>36050000</v>
      </c>
      <c r="K155" s="75"/>
      <c r="L155" s="672"/>
      <c r="M155" s="673"/>
    </row>
    <row r="156" ht="16" customHeight="1" spans="1:13">
      <c r="A156" s="135">
        <f t="shared" si="26"/>
        <v>149</v>
      </c>
      <c r="B156" s="712" t="s">
        <v>673</v>
      </c>
      <c r="C156" s="1079" t="s">
        <v>674</v>
      </c>
      <c r="D156" s="653">
        <v>1400000</v>
      </c>
      <c r="E156" s="75">
        <v>1300000</v>
      </c>
      <c r="F156" s="83"/>
      <c r="G156" s="654"/>
      <c r="H156" s="654"/>
      <c r="I156" s="654">
        <f t="shared" si="24"/>
        <v>0</v>
      </c>
      <c r="J156" s="75">
        <f t="shared" si="25"/>
        <v>1300000</v>
      </c>
      <c r="K156" s="75"/>
      <c r="L156" s="672"/>
      <c r="M156" s="673"/>
    </row>
    <row r="157" ht="16" customHeight="1" spans="1:13">
      <c r="A157" s="135">
        <f t="shared" si="26"/>
        <v>150</v>
      </c>
      <c r="B157" s="712" t="s">
        <v>675</v>
      </c>
      <c r="C157" s="1079" t="s">
        <v>676</v>
      </c>
      <c r="D157" s="653">
        <v>2329482</v>
      </c>
      <c r="E157" s="75">
        <v>2149482</v>
      </c>
      <c r="F157" s="83"/>
      <c r="G157" s="654"/>
      <c r="H157" s="654"/>
      <c r="I157" s="654">
        <f t="shared" si="24"/>
        <v>0</v>
      </c>
      <c r="J157" s="75">
        <f t="shared" si="25"/>
        <v>2149482</v>
      </c>
      <c r="K157" s="75"/>
      <c r="L157" s="672"/>
      <c r="M157" s="673"/>
    </row>
    <row r="158" ht="16" customHeight="1" spans="1:13">
      <c r="A158" s="135">
        <f t="shared" si="26"/>
        <v>151</v>
      </c>
      <c r="B158" s="651" t="s">
        <v>677</v>
      </c>
      <c r="C158" s="652"/>
      <c r="D158" s="653">
        <v>10000000</v>
      </c>
      <c r="E158" s="75">
        <v>10000000</v>
      </c>
      <c r="F158" s="83"/>
      <c r="G158" s="654"/>
      <c r="H158" s="654"/>
      <c r="I158" s="654">
        <f t="shared" si="24"/>
        <v>0</v>
      </c>
      <c r="J158" s="75">
        <f t="shared" si="25"/>
        <v>10000000</v>
      </c>
      <c r="K158" s="75"/>
      <c r="L158" s="672"/>
      <c r="M158" s="673" t="s">
        <v>514</v>
      </c>
    </row>
    <row r="159" ht="16" customHeight="1" spans="1:13">
      <c r="A159" s="135">
        <f t="shared" si="26"/>
        <v>152</v>
      </c>
      <c r="B159" s="712" t="s">
        <v>678</v>
      </c>
      <c r="C159" s="652"/>
      <c r="D159" s="653">
        <v>2897309</v>
      </c>
      <c r="E159" s="75">
        <v>1897309</v>
      </c>
      <c r="F159" s="83"/>
      <c r="G159" s="654"/>
      <c r="H159" s="654"/>
      <c r="I159" s="654">
        <f t="shared" si="24"/>
        <v>0</v>
      </c>
      <c r="J159" s="75">
        <f t="shared" si="25"/>
        <v>1897309</v>
      </c>
      <c r="K159" s="75"/>
      <c r="L159" s="684"/>
      <c r="M159" s="673"/>
    </row>
    <row r="160" ht="16" customHeight="1" spans="1:13">
      <c r="A160" s="715" t="s">
        <v>679</v>
      </c>
      <c r="B160" s="716"/>
      <c r="C160" s="717"/>
      <c r="D160" s="718">
        <f>SUM(D14:D104)</f>
        <v>404010783</v>
      </c>
      <c r="E160" s="719">
        <f>SUM(E14:E104)</f>
        <v>307965902</v>
      </c>
      <c r="F160" s="720"/>
      <c r="G160" s="720">
        <f>SUM(G8:G159)</f>
        <v>15535470</v>
      </c>
      <c r="H160" s="720">
        <f>SUM(H8:H159)</f>
        <v>8815913</v>
      </c>
      <c r="I160" s="741">
        <f>SUM(I8:I159)</f>
        <v>24351383</v>
      </c>
      <c r="J160" s="742">
        <f>SUM(J8:J159)</f>
        <v>595443945</v>
      </c>
      <c r="K160" s="742">
        <f>SUM(K14:K157)</f>
        <v>8829843.025</v>
      </c>
      <c r="L160" s="743">
        <f>SUM(L14:L159)</f>
        <v>12603929</v>
      </c>
      <c r="M160" s="673"/>
    </row>
    <row r="161" ht="16" customHeight="1" spans="1:13">
      <c r="A161" s="721" t="s">
        <v>680</v>
      </c>
      <c r="B161" s="722"/>
      <c r="C161" s="723"/>
      <c r="D161" s="724">
        <f t="shared" ref="D161:L161" si="27">D160</f>
        <v>404010783</v>
      </c>
      <c r="E161" s="725">
        <f>SUM(E160)</f>
        <v>307965902</v>
      </c>
      <c r="F161" s="726"/>
      <c r="G161" s="727">
        <f t="shared" si="27"/>
        <v>15535470</v>
      </c>
      <c r="H161" s="727">
        <f t="shared" si="27"/>
        <v>8815913</v>
      </c>
      <c r="I161" s="741">
        <f>G161+H161</f>
        <v>24351383</v>
      </c>
      <c r="J161" s="744">
        <f t="shared" si="27"/>
        <v>595443945</v>
      </c>
      <c r="K161" s="744">
        <f t="shared" si="27"/>
        <v>8829843.025</v>
      </c>
      <c r="L161" s="745">
        <f t="shared" si="27"/>
        <v>12603929</v>
      </c>
      <c r="M161" s="746"/>
    </row>
    <row r="162" ht="16" customHeight="1" spans="1:13">
      <c r="A162" s="728" t="s">
        <v>681</v>
      </c>
      <c r="B162" s="729"/>
      <c r="C162" s="730"/>
      <c r="D162" s="731">
        <f t="shared" ref="D162:L162" si="28">D161</f>
        <v>404010783</v>
      </c>
      <c r="E162" s="732">
        <f t="shared" si="28"/>
        <v>307965902</v>
      </c>
      <c r="F162" s="733"/>
      <c r="G162" s="733">
        <f t="shared" si="28"/>
        <v>15535470</v>
      </c>
      <c r="H162" s="733">
        <f t="shared" si="28"/>
        <v>8815913</v>
      </c>
      <c r="I162" s="741">
        <f>G162+H162</f>
        <v>24351383</v>
      </c>
      <c r="J162" s="747">
        <f>J161</f>
        <v>595443945</v>
      </c>
      <c r="K162" s="747">
        <f t="shared" si="28"/>
        <v>8829843.025</v>
      </c>
      <c r="L162" s="748">
        <f t="shared" si="28"/>
        <v>12603929</v>
      </c>
      <c r="M162" s="749"/>
    </row>
    <row r="163" spans="1:13">
      <c r="A163" s="57"/>
      <c r="B163" s="734"/>
      <c r="C163" s="735"/>
      <c r="D163" s="736"/>
      <c r="E163" s="735"/>
      <c r="F163" s="57"/>
      <c r="G163" s="57"/>
      <c r="H163" s="679"/>
      <c r="I163" s="679"/>
      <c r="J163" s="735"/>
      <c r="K163" s="735"/>
      <c r="L163" s="750"/>
      <c r="M163" s="751"/>
    </row>
    <row r="164" spans="1:13">
      <c r="A164" s="88" t="s">
        <v>682</v>
      </c>
      <c r="B164" s="88"/>
      <c r="C164" s="88"/>
      <c r="D164" s="89"/>
      <c r="E164" s="88"/>
      <c r="F164" s="88"/>
      <c r="G164" s="88"/>
      <c r="H164" s="88"/>
      <c r="I164" s="88"/>
      <c r="J164" s="88"/>
      <c r="K164" s="88"/>
      <c r="L164" s="88"/>
      <c r="M164" s="88"/>
    </row>
    <row r="165" spans="1:13">
      <c r="A165" s="60"/>
      <c r="B165" s="88" t="s">
        <v>468</v>
      </c>
      <c r="C165" s="88"/>
      <c r="D165" s="89"/>
      <c r="E165" s="90"/>
      <c r="F165" s="88" t="s">
        <v>683</v>
      </c>
      <c r="G165" s="88"/>
      <c r="H165" s="88"/>
      <c r="I165" s="90"/>
      <c r="J165" s="90"/>
      <c r="K165" s="88" t="s">
        <v>467</v>
      </c>
      <c r="L165" s="88"/>
      <c r="M165" s="636"/>
    </row>
    <row r="166" spans="1:13">
      <c r="A166" s="60"/>
      <c r="B166" s="88" t="s">
        <v>684</v>
      </c>
      <c r="C166" s="88"/>
      <c r="D166" s="89"/>
      <c r="E166" s="90"/>
      <c r="F166" s="88" t="s">
        <v>685</v>
      </c>
      <c r="G166" s="88"/>
      <c r="H166" s="88"/>
      <c r="I166" s="97"/>
      <c r="J166" s="90"/>
      <c r="K166" s="88" t="s">
        <v>113</v>
      </c>
      <c r="L166" s="88"/>
      <c r="M166" s="752"/>
    </row>
    <row r="167" spans="1:13">
      <c r="A167" s="60"/>
      <c r="B167" s="90"/>
      <c r="C167" s="91"/>
      <c r="D167" s="92"/>
      <c r="E167" s="93"/>
      <c r="F167" s="94"/>
      <c r="G167" s="91"/>
      <c r="H167" s="91"/>
      <c r="I167" s="97"/>
      <c r="J167" s="104"/>
      <c r="K167" s="104"/>
      <c r="L167" s="104"/>
      <c r="M167" s="752"/>
    </row>
    <row r="168" spans="1:13">
      <c r="A168" s="60"/>
      <c r="B168" s="91"/>
      <c r="C168" s="95"/>
      <c r="D168" s="96"/>
      <c r="E168" s="95"/>
      <c r="F168" s="97"/>
      <c r="G168" s="91"/>
      <c r="H168" s="91"/>
      <c r="I168" s="97"/>
      <c r="J168" s="104"/>
      <c r="K168" s="104"/>
      <c r="L168" s="104"/>
      <c r="M168" s="752"/>
    </row>
    <row r="169" spans="1:13">
      <c r="A169" s="60"/>
      <c r="B169" s="91"/>
      <c r="C169" s="95"/>
      <c r="D169" s="96"/>
      <c r="E169" s="95"/>
      <c r="F169" s="97"/>
      <c r="G169" s="91"/>
      <c r="H169" s="91"/>
      <c r="I169" s="97"/>
      <c r="J169" s="104"/>
      <c r="K169" s="104"/>
      <c r="L169" s="104"/>
      <c r="M169" s="752"/>
    </row>
    <row r="170" spans="1:13">
      <c r="A170" s="60"/>
      <c r="B170" s="98" t="s">
        <v>686</v>
      </c>
      <c r="C170" s="98"/>
      <c r="D170" s="99"/>
      <c r="E170" s="97"/>
      <c r="F170" s="100" t="s">
        <v>176</v>
      </c>
      <c r="G170" s="100"/>
      <c r="H170" s="100"/>
      <c r="I170" s="90"/>
      <c r="J170" s="97"/>
      <c r="K170" s="98" t="s">
        <v>115</v>
      </c>
      <c r="L170" s="98"/>
      <c r="M170" s="753"/>
    </row>
  </sheetData>
  <mergeCells count="29">
    <mergeCell ref="A2:M2"/>
    <mergeCell ref="A3:M3"/>
    <mergeCell ref="A4:B4"/>
    <mergeCell ref="E5:H5"/>
    <mergeCell ref="A161:B161"/>
    <mergeCell ref="A162:B162"/>
    <mergeCell ref="F163:G163"/>
    <mergeCell ref="A164:M164"/>
    <mergeCell ref="B165:C165"/>
    <mergeCell ref="F165:H165"/>
    <mergeCell ref="K165:L165"/>
    <mergeCell ref="B166:C166"/>
    <mergeCell ref="F166:H166"/>
    <mergeCell ref="K166:L166"/>
    <mergeCell ref="B170:C170"/>
    <mergeCell ref="F170:H170"/>
    <mergeCell ref="K170:L170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  <mergeCell ref="J5:K6"/>
  </mergeCells>
  <pageMargins left="0.458333333333333" right="0.75" top="0.666666666666667" bottom="0.569444444444444" header="0.5" footer="0.5"/>
  <pageSetup paperSize="5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1"/>
  <sheetViews>
    <sheetView view="pageLayout" zoomScale="80" zoomScaleNormal="100" topLeftCell="A39" workbookViewId="0">
      <selection activeCell="L50" sqref="L50"/>
    </sheetView>
  </sheetViews>
  <sheetFormatPr defaultColWidth="9" defaultRowHeight="14.5"/>
  <cols>
    <col min="1" max="1" width="3.57272727272727" style="549" customWidth="1"/>
    <col min="2" max="2" width="9.54545454545454" style="550" customWidth="1"/>
    <col min="3" max="3" width="16.5454545454545" style="549" customWidth="1"/>
    <col min="4" max="4" width="15.1363636363636" style="549" customWidth="1"/>
    <col min="5" max="5" width="10.7272727272727" style="549" customWidth="1"/>
    <col min="6" max="6" width="11.2727272727273" style="549" customWidth="1"/>
    <col min="7" max="9" width="11.3636363636364" style="549" customWidth="1"/>
    <col min="10" max="10" width="4.81818181818182" style="549" customWidth="1"/>
    <col min="11" max="11" width="3.28181818181818" style="549" customWidth="1"/>
    <col min="12" max="12" width="10" style="549" customWidth="1"/>
    <col min="13" max="13" width="11.1363636363636" style="549" customWidth="1"/>
    <col min="14" max="14" width="10.8545454545455" style="549" customWidth="1"/>
    <col min="15" max="15" width="11.1363636363636" style="549" customWidth="1"/>
    <col min="16" max="16" width="11.4545454545455" style="549" customWidth="1"/>
    <col min="17" max="17" width="11.1363636363636" style="549" customWidth="1"/>
    <col min="18" max="18" width="10.7090909090909" style="549" customWidth="1"/>
    <col min="19" max="19" width="21.7272727272727" style="549" customWidth="1"/>
    <col min="20" max="20" width="14.2818181818182" style="549" customWidth="1"/>
    <col min="21" max="21" width="12.1363636363636" style="549" customWidth="1"/>
    <col min="22" max="22" width="14.4272727272727" style="549" customWidth="1"/>
    <col min="23" max="23" width="12.5727272727273" style="549" customWidth="1"/>
    <col min="24" max="24" width="14.1363636363636" style="549" customWidth="1"/>
    <col min="25" max="25" width="11.8545454545455" style="549" customWidth="1"/>
    <col min="26" max="16384" width="9" style="549"/>
  </cols>
  <sheetData>
    <row r="1" spans="1:23">
      <c r="A1" s="551" t="s">
        <v>687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615"/>
      <c r="S1" s="615"/>
      <c r="T1" s="616"/>
      <c r="U1" s="616"/>
      <c r="V1" s="616"/>
      <c r="W1" s="616"/>
    </row>
    <row r="2" spans="1:23">
      <c r="A2" s="552" t="s">
        <v>688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617"/>
      <c r="S2" s="617"/>
      <c r="T2" s="616"/>
      <c r="U2" s="616"/>
      <c r="V2" s="616"/>
      <c r="W2" s="616"/>
    </row>
    <row r="3" ht="15.75" customHeight="1" spans="1:23">
      <c r="A3" s="553" t="s">
        <v>478</v>
      </c>
      <c r="B3" s="554" t="s">
        <v>689</v>
      </c>
      <c r="C3" s="555" t="s">
        <v>690</v>
      </c>
      <c r="D3" s="555" t="s">
        <v>691</v>
      </c>
      <c r="E3" s="556" t="s">
        <v>692</v>
      </c>
      <c r="F3" s="556" t="s">
        <v>693</v>
      </c>
      <c r="G3" s="557" t="s">
        <v>694</v>
      </c>
      <c r="H3" s="558" t="s">
        <v>482</v>
      </c>
      <c r="I3" s="560"/>
      <c r="J3" s="597" t="s">
        <v>695</v>
      </c>
      <c r="K3" s="598" t="s">
        <v>696</v>
      </c>
      <c r="L3" s="598"/>
      <c r="M3" s="598"/>
      <c r="N3" s="598"/>
      <c r="O3" s="598"/>
      <c r="P3" s="599" t="s">
        <v>697</v>
      </c>
      <c r="Q3" s="599"/>
      <c r="R3" s="616"/>
      <c r="S3" s="616"/>
      <c r="T3" s="616"/>
      <c r="U3" s="616"/>
      <c r="V3" s="616"/>
      <c r="W3" s="616"/>
    </row>
    <row r="4" spans="1:23">
      <c r="A4" s="553"/>
      <c r="B4" s="554"/>
      <c r="C4" s="555"/>
      <c r="D4" s="555"/>
      <c r="E4" s="559"/>
      <c r="F4" s="559"/>
      <c r="G4" s="557"/>
      <c r="H4" s="560" t="s">
        <v>486</v>
      </c>
      <c r="I4" s="600" t="s">
        <v>698</v>
      </c>
      <c r="J4" s="597"/>
      <c r="K4" s="598" t="s">
        <v>699</v>
      </c>
      <c r="L4" s="598" t="s">
        <v>700</v>
      </c>
      <c r="M4" s="598" t="s">
        <v>701</v>
      </c>
      <c r="N4" s="598" t="s">
        <v>702</v>
      </c>
      <c r="O4" s="598" t="s">
        <v>703</v>
      </c>
      <c r="P4" s="599" t="s">
        <v>704</v>
      </c>
      <c r="Q4" s="599" t="s">
        <v>702</v>
      </c>
      <c r="R4" s="618"/>
      <c r="S4" s="616"/>
      <c r="T4" s="616"/>
      <c r="U4" s="616"/>
      <c r="V4" s="616"/>
      <c r="W4" s="616"/>
    </row>
    <row r="5" ht="16" customHeight="1" spans="1:23">
      <c r="A5" s="561">
        <v>1</v>
      </c>
      <c r="B5" s="562"/>
      <c r="C5" s="563" t="s">
        <v>659</v>
      </c>
      <c r="D5" s="564" t="s">
        <v>705</v>
      </c>
      <c r="E5" s="565">
        <v>3700000</v>
      </c>
      <c r="F5" s="565">
        <v>800000</v>
      </c>
      <c r="G5" s="565">
        <f t="shared" ref="G5:G27" si="0">SUM(E5+F5)</f>
        <v>4500000</v>
      </c>
      <c r="H5" s="565">
        <v>3125000</v>
      </c>
      <c r="I5" s="565">
        <v>550000</v>
      </c>
      <c r="J5" s="601">
        <v>20</v>
      </c>
      <c r="K5" s="601">
        <v>4</v>
      </c>
      <c r="L5" s="601"/>
      <c r="M5" s="565"/>
      <c r="N5" s="565"/>
      <c r="O5" s="565"/>
      <c r="P5" s="565">
        <f t="shared" ref="P5:P27" si="1">SUM(H5-M5)</f>
        <v>3125000</v>
      </c>
      <c r="Q5" s="565">
        <f t="shared" ref="Q5:Q12" si="2">SUM(I5-N5)</f>
        <v>550000</v>
      </c>
      <c r="R5" s="619"/>
      <c r="S5" s="619"/>
      <c r="T5" s="616"/>
      <c r="U5" s="616"/>
      <c r="V5" s="616"/>
      <c r="W5" s="616"/>
    </row>
    <row r="6" ht="16" customHeight="1" spans="1:23">
      <c r="A6" s="561">
        <f t="shared" ref="A6:A17" si="3">A5+1</f>
        <v>2</v>
      </c>
      <c r="B6" s="566"/>
      <c r="C6" s="567" t="s">
        <v>706</v>
      </c>
      <c r="D6" s="567" t="s">
        <v>707</v>
      </c>
      <c r="E6" s="568">
        <v>3000000</v>
      </c>
      <c r="F6" s="568">
        <v>600000</v>
      </c>
      <c r="G6" s="565">
        <f t="shared" si="0"/>
        <v>3600000</v>
      </c>
      <c r="H6" s="568">
        <v>175000</v>
      </c>
      <c r="I6" s="568">
        <v>0</v>
      </c>
      <c r="J6" s="602">
        <v>20</v>
      </c>
      <c r="K6" s="602">
        <v>19</v>
      </c>
      <c r="L6" s="602"/>
      <c r="M6" s="568"/>
      <c r="N6" s="568"/>
      <c r="O6" s="568">
        <f t="shared" ref="O6:O27" si="4">M6+N6</f>
        <v>0</v>
      </c>
      <c r="P6" s="565">
        <f t="shared" si="1"/>
        <v>175000</v>
      </c>
      <c r="Q6" s="565">
        <f t="shared" si="2"/>
        <v>0</v>
      </c>
      <c r="R6" s="619"/>
      <c r="S6" s="618"/>
      <c r="T6" s="616"/>
      <c r="U6" s="616"/>
      <c r="V6" s="616"/>
      <c r="W6" s="616"/>
    </row>
    <row r="7" ht="16" customHeight="1" spans="1:23">
      <c r="A7" s="561">
        <f t="shared" si="3"/>
        <v>3</v>
      </c>
      <c r="B7" s="569"/>
      <c r="C7" s="569" t="s">
        <v>708</v>
      </c>
      <c r="D7" s="569" t="s">
        <v>709</v>
      </c>
      <c r="E7" s="570">
        <v>10282500</v>
      </c>
      <c r="F7" s="570">
        <v>1338000</v>
      </c>
      <c r="G7" s="565">
        <f t="shared" si="0"/>
        <v>11620500</v>
      </c>
      <c r="H7" s="568">
        <v>2438106</v>
      </c>
      <c r="I7" s="568">
        <v>0</v>
      </c>
      <c r="J7" s="603">
        <v>30</v>
      </c>
      <c r="K7" s="603">
        <v>21</v>
      </c>
      <c r="L7" s="603"/>
      <c r="M7" s="570"/>
      <c r="N7" s="570"/>
      <c r="O7" s="570">
        <f t="shared" si="4"/>
        <v>0</v>
      </c>
      <c r="P7" s="565">
        <f t="shared" si="1"/>
        <v>2438106</v>
      </c>
      <c r="Q7" s="565">
        <f t="shared" si="2"/>
        <v>0</v>
      </c>
      <c r="R7" s="619">
        <v>639075</v>
      </c>
      <c r="S7" s="618"/>
      <c r="T7" s="618"/>
      <c r="U7" s="620"/>
      <c r="V7" s="616"/>
      <c r="W7" s="616"/>
    </row>
    <row r="8" ht="16" customHeight="1" spans="1:23">
      <c r="A8" s="561">
        <f t="shared" si="3"/>
        <v>4</v>
      </c>
      <c r="B8" s="569"/>
      <c r="C8" s="571" t="s">
        <v>414</v>
      </c>
      <c r="D8" s="569" t="s">
        <v>710</v>
      </c>
      <c r="E8" s="570">
        <v>2450000</v>
      </c>
      <c r="F8" s="570">
        <v>298000</v>
      </c>
      <c r="G8" s="565">
        <f t="shared" si="0"/>
        <v>2748000</v>
      </c>
      <c r="H8" s="568">
        <v>942000</v>
      </c>
      <c r="I8" s="568">
        <v>124168</v>
      </c>
      <c r="J8" s="603">
        <v>12</v>
      </c>
      <c r="K8" s="603">
        <v>8</v>
      </c>
      <c r="L8" s="603"/>
      <c r="M8" s="570"/>
      <c r="N8" s="570"/>
      <c r="O8" s="570">
        <f t="shared" si="4"/>
        <v>0</v>
      </c>
      <c r="P8" s="565">
        <f t="shared" si="1"/>
        <v>942000</v>
      </c>
      <c r="Q8" s="565">
        <f t="shared" si="2"/>
        <v>124168</v>
      </c>
      <c r="R8" s="619"/>
      <c r="S8" s="619"/>
      <c r="T8" s="618"/>
      <c r="U8" s="616"/>
      <c r="V8" s="616"/>
      <c r="W8" s="616"/>
    </row>
    <row r="9" ht="16" customHeight="1" spans="1:23">
      <c r="A9" s="561">
        <f t="shared" si="3"/>
        <v>5</v>
      </c>
      <c r="B9" s="569"/>
      <c r="C9" s="571" t="s">
        <v>711</v>
      </c>
      <c r="D9" s="569" t="s">
        <v>712</v>
      </c>
      <c r="E9" s="570">
        <v>4000000</v>
      </c>
      <c r="F9" s="570">
        <v>400000</v>
      </c>
      <c r="G9" s="565">
        <f t="shared" si="0"/>
        <v>4400000</v>
      </c>
      <c r="H9" s="568">
        <v>1200000</v>
      </c>
      <c r="I9" s="568">
        <v>120000</v>
      </c>
      <c r="J9" s="603">
        <v>10</v>
      </c>
      <c r="K9" s="603">
        <v>8</v>
      </c>
      <c r="L9" s="603"/>
      <c r="M9" s="570"/>
      <c r="N9" s="570"/>
      <c r="O9" s="570">
        <f t="shared" si="4"/>
        <v>0</v>
      </c>
      <c r="P9" s="565">
        <f t="shared" si="1"/>
        <v>1200000</v>
      </c>
      <c r="Q9" s="565">
        <f t="shared" si="2"/>
        <v>120000</v>
      </c>
      <c r="R9" s="619"/>
      <c r="S9" s="618"/>
      <c r="T9" s="618"/>
      <c r="U9" s="618"/>
      <c r="V9" s="616"/>
      <c r="W9" s="616"/>
    </row>
    <row r="10" ht="16" customHeight="1" spans="1:23">
      <c r="A10" s="561">
        <f t="shared" si="3"/>
        <v>6</v>
      </c>
      <c r="B10" s="569"/>
      <c r="C10" s="571" t="s">
        <v>713</v>
      </c>
      <c r="D10" s="569" t="s">
        <v>714</v>
      </c>
      <c r="E10" s="570">
        <v>1650000</v>
      </c>
      <c r="F10" s="570">
        <v>200000</v>
      </c>
      <c r="G10" s="565">
        <f t="shared" si="0"/>
        <v>1850000</v>
      </c>
      <c r="H10" s="568">
        <v>1320000</v>
      </c>
      <c r="I10" s="568">
        <v>160000</v>
      </c>
      <c r="J10" s="603">
        <v>10</v>
      </c>
      <c r="K10" s="603">
        <v>4</v>
      </c>
      <c r="L10" s="603"/>
      <c r="M10" s="570"/>
      <c r="N10" s="570"/>
      <c r="O10" s="570">
        <f t="shared" si="4"/>
        <v>0</v>
      </c>
      <c r="P10" s="565">
        <f t="shared" si="1"/>
        <v>1320000</v>
      </c>
      <c r="Q10" s="565">
        <f t="shared" si="2"/>
        <v>160000</v>
      </c>
      <c r="R10" s="619"/>
      <c r="S10" s="618"/>
      <c r="T10" s="619"/>
      <c r="U10" s="616"/>
      <c r="V10" s="616"/>
      <c r="W10" s="616"/>
    </row>
    <row r="11" ht="16" customHeight="1" spans="1:23">
      <c r="A11" s="561">
        <f t="shared" si="3"/>
        <v>7</v>
      </c>
      <c r="B11" s="569"/>
      <c r="C11" s="571" t="s">
        <v>715</v>
      </c>
      <c r="D11" s="569" t="s">
        <v>716</v>
      </c>
      <c r="E11" s="570">
        <v>2900000</v>
      </c>
      <c r="F11" s="570">
        <v>400000</v>
      </c>
      <c r="G11" s="565">
        <f t="shared" si="0"/>
        <v>3300000</v>
      </c>
      <c r="H11" s="568">
        <v>1208332</v>
      </c>
      <c r="I11" s="568">
        <v>166668</v>
      </c>
      <c r="J11" s="603">
        <v>12</v>
      </c>
      <c r="K11" s="603">
        <v>6</v>
      </c>
      <c r="L11" s="603"/>
      <c r="M11" s="570"/>
      <c r="N11" s="570"/>
      <c r="O11" s="570">
        <f t="shared" si="4"/>
        <v>0</v>
      </c>
      <c r="P11" s="565">
        <f t="shared" si="1"/>
        <v>1208332</v>
      </c>
      <c r="Q11" s="565">
        <f t="shared" si="2"/>
        <v>166668</v>
      </c>
      <c r="R11" s="619"/>
      <c r="S11" s="618"/>
      <c r="T11" s="618"/>
      <c r="U11" s="616"/>
      <c r="V11" s="616"/>
      <c r="W11" s="616"/>
    </row>
    <row r="12" ht="16" customHeight="1" spans="1:23">
      <c r="A12" s="561">
        <f t="shared" si="3"/>
        <v>8</v>
      </c>
      <c r="B12" s="569"/>
      <c r="C12" s="571" t="s">
        <v>717</v>
      </c>
      <c r="D12" s="569" t="s">
        <v>718</v>
      </c>
      <c r="E12" s="570">
        <v>2250000</v>
      </c>
      <c r="F12" s="570">
        <v>250000</v>
      </c>
      <c r="G12" s="565">
        <f t="shared" si="0"/>
        <v>2500000</v>
      </c>
      <c r="H12" s="568">
        <v>895000</v>
      </c>
      <c r="I12" s="568">
        <v>100000</v>
      </c>
      <c r="J12" s="603">
        <v>10</v>
      </c>
      <c r="K12" s="603">
        <v>6</v>
      </c>
      <c r="L12" s="603"/>
      <c r="M12" s="570"/>
      <c r="N12" s="570"/>
      <c r="O12" s="570">
        <f t="shared" si="4"/>
        <v>0</v>
      </c>
      <c r="P12" s="565">
        <f t="shared" si="1"/>
        <v>895000</v>
      </c>
      <c r="Q12" s="565">
        <f t="shared" si="2"/>
        <v>100000</v>
      </c>
      <c r="R12" s="619"/>
      <c r="S12" s="616"/>
      <c r="T12" s="618"/>
      <c r="U12" s="616"/>
      <c r="V12" s="616"/>
      <c r="W12" s="616"/>
    </row>
    <row r="13" ht="16" customHeight="1" spans="1:23">
      <c r="A13" s="561">
        <f t="shared" si="3"/>
        <v>9</v>
      </c>
      <c r="B13" s="571" t="e">
        <f>#REF!</f>
        <v>#REF!</v>
      </c>
      <c r="C13" s="572" t="s">
        <v>719</v>
      </c>
      <c r="D13" s="573" t="s">
        <v>720</v>
      </c>
      <c r="E13" s="574">
        <v>15000000</v>
      </c>
      <c r="F13" s="574">
        <v>6000000</v>
      </c>
      <c r="G13" s="575">
        <f t="shared" si="0"/>
        <v>21000000</v>
      </c>
      <c r="H13" s="574">
        <v>14025000</v>
      </c>
      <c r="I13" s="574"/>
      <c r="J13" s="604">
        <v>40</v>
      </c>
      <c r="K13" s="604">
        <v>2</v>
      </c>
      <c r="L13" s="1091" t="s">
        <v>721</v>
      </c>
      <c r="M13" s="575">
        <v>100000</v>
      </c>
      <c r="N13" s="574"/>
      <c r="O13" s="574">
        <f t="shared" si="4"/>
        <v>100000</v>
      </c>
      <c r="P13" s="575">
        <f t="shared" si="1"/>
        <v>13925000</v>
      </c>
      <c r="Q13" s="575"/>
      <c r="R13" s="619"/>
      <c r="S13" s="616"/>
      <c r="T13" s="618"/>
      <c r="U13" s="616"/>
      <c r="V13" s="616"/>
      <c r="W13" s="616"/>
    </row>
    <row r="14" ht="16" customHeight="1" spans="1:23">
      <c r="A14" s="561">
        <f t="shared" si="3"/>
        <v>10</v>
      </c>
      <c r="B14" s="1092" t="s">
        <v>722</v>
      </c>
      <c r="C14" s="571" t="s">
        <v>723</v>
      </c>
      <c r="D14" s="571" t="s">
        <v>724</v>
      </c>
      <c r="E14" s="577">
        <v>5000000</v>
      </c>
      <c r="F14" s="577">
        <v>450000</v>
      </c>
      <c r="G14" s="565">
        <f t="shared" si="0"/>
        <v>5450000</v>
      </c>
      <c r="H14" s="577">
        <v>5000000</v>
      </c>
      <c r="I14" s="577">
        <v>450000</v>
      </c>
      <c r="J14" s="606">
        <v>3</v>
      </c>
      <c r="K14" s="606"/>
      <c r="L14" s="606"/>
      <c r="M14" s="577"/>
      <c r="N14" s="577"/>
      <c r="O14" s="577">
        <f t="shared" si="4"/>
        <v>0</v>
      </c>
      <c r="P14" s="565">
        <f t="shared" si="1"/>
        <v>5000000</v>
      </c>
      <c r="Q14" s="565">
        <f t="shared" ref="Q14:Q20" si="5">SUM(I14-N14)</f>
        <v>450000</v>
      </c>
      <c r="R14" s="619"/>
      <c r="S14" s="616"/>
      <c r="T14" s="618"/>
      <c r="U14" s="616"/>
      <c r="V14" s="616"/>
      <c r="W14" s="616"/>
    </row>
    <row r="15" ht="16" customHeight="1" spans="1:23">
      <c r="A15" s="578">
        <f t="shared" si="3"/>
        <v>11</v>
      </c>
      <c r="B15" s="569"/>
      <c r="C15" s="572" t="s">
        <v>725</v>
      </c>
      <c r="D15" s="579" t="s">
        <v>714</v>
      </c>
      <c r="E15" s="580">
        <v>1650000</v>
      </c>
      <c r="F15" s="580">
        <v>200000</v>
      </c>
      <c r="G15" s="575">
        <f t="shared" si="0"/>
        <v>1850000</v>
      </c>
      <c r="H15" s="575">
        <v>479000</v>
      </c>
      <c r="I15" s="575">
        <v>0</v>
      </c>
      <c r="J15" s="607">
        <v>10</v>
      </c>
      <c r="K15" s="607">
        <v>7</v>
      </c>
      <c r="L15" s="1093" t="s">
        <v>387</v>
      </c>
      <c r="M15" s="580">
        <v>100000</v>
      </c>
      <c r="N15" s="580"/>
      <c r="O15" s="574">
        <f t="shared" si="4"/>
        <v>100000</v>
      </c>
      <c r="P15" s="575">
        <f t="shared" si="1"/>
        <v>379000</v>
      </c>
      <c r="Q15" s="575">
        <f t="shared" si="5"/>
        <v>0</v>
      </c>
      <c r="R15" s="619"/>
      <c r="S15" s="616"/>
      <c r="T15" s="616"/>
      <c r="U15" s="616"/>
      <c r="V15" s="616"/>
      <c r="W15" s="616"/>
    </row>
    <row r="16" ht="16" customHeight="1" spans="1:23">
      <c r="A16" s="578">
        <f t="shared" si="3"/>
        <v>12</v>
      </c>
      <c r="B16" s="569"/>
      <c r="C16" s="569" t="s">
        <v>726</v>
      </c>
      <c r="D16" s="569" t="s">
        <v>727</v>
      </c>
      <c r="E16" s="570">
        <v>2875000</v>
      </c>
      <c r="F16" s="570">
        <v>365000</v>
      </c>
      <c r="G16" s="568">
        <f t="shared" si="0"/>
        <v>3240000</v>
      </c>
      <c r="H16" s="568">
        <v>409170</v>
      </c>
      <c r="I16" s="568">
        <v>50832</v>
      </c>
      <c r="J16" s="603">
        <v>12</v>
      </c>
      <c r="K16" s="603">
        <v>11</v>
      </c>
      <c r="L16" s="603"/>
      <c r="M16" s="570"/>
      <c r="N16" s="570"/>
      <c r="O16" s="577">
        <f t="shared" si="4"/>
        <v>0</v>
      </c>
      <c r="P16" s="568">
        <f t="shared" si="1"/>
        <v>409170</v>
      </c>
      <c r="Q16" s="568">
        <f t="shared" si="5"/>
        <v>50832</v>
      </c>
      <c r="R16" s="619"/>
      <c r="S16" s="618"/>
      <c r="T16" s="616"/>
      <c r="U16" s="616"/>
      <c r="V16" s="616"/>
      <c r="W16" s="616"/>
    </row>
    <row r="17" ht="16" customHeight="1" spans="1:23">
      <c r="A17" s="578">
        <f t="shared" si="3"/>
        <v>13</v>
      </c>
      <c r="B17" s="569"/>
      <c r="C17" s="569" t="s">
        <v>728</v>
      </c>
      <c r="D17" s="569" t="s">
        <v>729</v>
      </c>
      <c r="E17" s="570">
        <v>3800000</v>
      </c>
      <c r="F17" s="570">
        <v>460000</v>
      </c>
      <c r="G17" s="568">
        <f t="shared" si="0"/>
        <v>4260000</v>
      </c>
      <c r="H17" s="568">
        <v>2381666</v>
      </c>
      <c r="I17" s="568">
        <v>218334</v>
      </c>
      <c r="J17" s="603">
        <v>12</v>
      </c>
      <c r="K17" s="603">
        <v>4</v>
      </c>
      <c r="L17" s="603"/>
      <c r="M17" s="570"/>
      <c r="N17" s="570"/>
      <c r="O17" s="577">
        <f t="shared" si="4"/>
        <v>0</v>
      </c>
      <c r="P17" s="568">
        <f t="shared" si="1"/>
        <v>2381666</v>
      </c>
      <c r="Q17" s="568">
        <f t="shared" si="5"/>
        <v>218334</v>
      </c>
      <c r="R17" s="619"/>
      <c r="S17" s="618"/>
      <c r="T17" s="616"/>
      <c r="U17" s="619"/>
      <c r="V17" s="616"/>
      <c r="W17" s="616"/>
    </row>
    <row r="18" ht="16" customHeight="1" spans="1:23">
      <c r="A18" s="578">
        <f t="shared" ref="A18:A62" si="6">A17+1</f>
        <v>14</v>
      </c>
      <c r="B18" s="569"/>
      <c r="C18" s="567" t="s">
        <v>730</v>
      </c>
      <c r="D18" s="569" t="s">
        <v>731</v>
      </c>
      <c r="E18" s="570">
        <v>2500000</v>
      </c>
      <c r="F18" s="570">
        <v>300000</v>
      </c>
      <c r="G18" s="568">
        <f t="shared" si="0"/>
        <v>2800000</v>
      </c>
      <c r="H18" s="568">
        <v>431333</v>
      </c>
      <c r="I18" s="568">
        <v>0</v>
      </c>
      <c r="J18" s="603">
        <v>12</v>
      </c>
      <c r="K18" s="603">
        <v>8</v>
      </c>
      <c r="L18" s="603"/>
      <c r="M18" s="570"/>
      <c r="N18" s="570"/>
      <c r="O18" s="577">
        <f t="shared" si="4"/>
        <v>0</v>
      </c>
      <c r="P18" s="568">
        <f t="shared" si="1"/>
        <v>431333</v>
      </c>
      <c r="Q18" s="568">
        <f t="shared" si="5"/>
        <v>0</v>
      </c>
      <c r="R18" s="619"/>
      <c r="S18" s="618"/>
      <c r="T18" s="618"/>
      <c r="U18" s="616"/>
      <c r="V18" s="616"/>
      <c r="W18" s="616"/>
    </row>
    <row r="19" ht="16" customHeight="1" spans="1:23">
      <c r="A19" s="578">
        <f t="shared" si="6"/>
        <v>15</v>
      </c>
      <c r="B19" s="1094" t="s">
        <v>732</v>
      </c>
      <c r="C19" s="567" t="s">
        <v>733</v>
      </c>
      <c r="D19" s="569" t="s">
        <v>734</v>
      </c>
      <c r="E19" s="570">
        <v>2295000</v>
      </c>
      <c r="F19" s="570">
        <v>413100</v>
      </c>
      <c r="G19" s="568">
        <f t="shared" si="0"/>
        <v>2708100</v>
      </c>
      <c r="H19" s="568">
        <v>1258100</v>
      </c>
      <c r="I19" s="568">
        <v>0</v>
      </c>
      <c r="J19" s="603">
        <v>12</v>
      </c>
      <c r="K19" s="603">
        <v>6</v>
      </c>
      <c r="L19" s="603"/>
      <c r="M19" s="570"/>
      <c r="N19" s="570"/>
      <c r="O19" s="577">
        <f t="shared" si="4"/>
        <v>0</v>
      </c>
      <c r="P19" s="568">
        <f t="shared" si="1"/>
        <v>1258100</v>
      </c>
      <c r="Q19" s="568">
        <f t="shared" si="5"/>
        <v>0</v>
      </c>
      <c r="R19" s="619"/>
      <c r="S19" s="618">
        <f>100000-N19</f>
        <v>100000</v>
      </c>
      <c r="T19" s="618"/>
      <c r="U19" s="616"/>
      <c r="V19" s="616"/>
      <c r="W19" s="616"/>
    </row>
    <row r="20" ht="16" customHeight="1" spans="1:23">
      <c r="A20" s="578">
        <f t="shared" si="6"/>
        <v>16</v>
      </c>
      <c r="B20" s="569"/>
      <c r="C20" s="579" t="s">
        <v>301</v>
      </c>
      <c r="D20" s="579" t="s">
        <v>735</v>
      </c>
      <c r="E20" s="580">
        <v>8889100</v>
      </c>
      <c r="F20" s="580">
        <v>3555640</v>
      </c>
      <c r="G20" s="575">
        <f t="shared" si="0"/>
        <v>12444740</v>
      </c>
      <c r="H20" s="575">
        <v>8593073</v>
      </c>
      <c r="I20" s="575">
        <v>0</v>
      </c>
      <c r="J20" s="607">
        <v>40</v>
      </c>
      <c r="K20" s="607">
        <v>6</v>
      </c>
      <c r="L20" s="1093" t="s">
        <v>669</v>
      </c>
      <c r="M20" s="580">
        <v>100000</v>
      </c>
      <c r="N20" s="580"/>
      <c r="O20" s="574">
        <f t="shared" si="4"/>
        <v>100000</v>
      </c>
      <c r="P20" s="575">
        <f t="shared" si="1"/>
        <v>8493073</v>
      </c>
      <c r="Q20" s="575">
        <f t="shared" si="5"/>
        <v>0</v>
      </c>
      <c r="R20" s="618"/>
      <c r="S20" s="618"/>
      <c r="T20" s="616"/>
      <c r="U20" s="616"/>
      <c r="V20" s="616"/>
      <c r="W20" s="616"/>
    </row>
    <row r="21" ht="16" customHeight="1" spans="1:23">
      <c r="A21" s="578">
        <f t="shared" si="6"/>
        <v>17</v>
      </c>
      <c r="B21" s="569"/>
      <c r="C21" s="569" t="s">
        <v>736</v>
      </c>
      <c r="D21" s="569" t="s">
        <v>737</v>
      </c>
      <c r="E21" s="570">
        <v>2300000</v>
      </c>
      <c r="F21" s="570">
        <v>276000</v>
      </c>
      <c r="G21" s="568">
        <f t="shared" si="0"/>
        <v>2576000</v>
      </c>
      <c r="H21" s="568">
        <v>536000</v>
      </c>
      <c r="I21" s="568">
        <v>0</v>
      </c>
      <c r="J21" s="603">
        <v>12</v>
      </c>
      <c r="K21" s="603"/>
      <c r="L21" s="603"/>
      <c r="M21" s="570"/>
      <c r="N21" s="570"/>
      <c r="O21" s="577">
        <f t="shared" si="4"/>
        <v>0</v>
      </c>
      <c r="P21" s="568">
        <f t="shared" si="1"/>
        <v>536000</v>
      </c>
      <c r="Q21" s="568">
        <f t="shared" ref="Q21:Q41" si="7">SUM(I21-N21)</f>
        <v>0</v>
      </c>
      <c r="R21" s="618"/>
      <c r="S21" s="618"/>
      <c r="T21" s="618"/>
      <c r="U21" s="616"/>
      <c r="V21" s="616"/>
      <c r="W21" s="616"/>
    </row>
    <row r="22" ht="16" customHeight="1" spans="1:23">
      <c r="A22" s="578">
        <f t="shared" si="6"/>
        <v>18</v>
      </c>
      <c r="B22" s="1094" t="s">
        <v>522</v>
      </c>
      <c r="C22" s="569" t="s">
        <v>738</v>
      </c>
      <c r="D22" s="569" t="s">
        <v>734</v>
      </c>
      <c r="E22" s="570">
        <v>30000000</v>
      </c>
      <c r="F22" s="570">
        <v>12000000</v>
      </c>
      <c r="G22" s="568">
        <f t="shared" si="0"/>
        <v>42000000</v>
      </c>
      <c r="H22" s="568">
        <v>17500000</v>
      </c>
      <c r="I22" s="568">
        <v>0</v>
      </c>
      <c r="J22" s="603">
        <v>40</v>
      </c>
      <c r="K22" s="603"/>
      <c r="L22" s="603"/>
      <c r="M22" s="570"/>
      <c r="N22" s="570"/>
      <c r="O22" s="577">
        <f t="shared" si="4"/>
        <v>0</v>
      </c>
      <c r="P22" s="568">
        <f t="shared" si="1"/>
        <v>17500000</v>
      </c>
      <c r="Q22" s="568">
        <f t="shared" si="7"/>
        <v>0</v>
      </c>
      <c r="R22" s="618"/>
      <c r="S22" s="618"/>
      <c r="T22" s="618"/>
      <c r="U22" s="616"/>
      <c r="V22" s="616"/>
      <c r="W22" s="616"/>
    </row>
    <row r="23" ht="16" customHeight="1" spans="1:23">
      <c r="A23" s="578">
        <f t="shared" si="6"/>
        <v>19</v>
      </c>
      <c r="B23" s="569" t="e">
        <f>#REF!</f>
        <v>#REF!</v>
      </c>
      <c r="C23" s="572" t="s">
        <v>739</v>
      </c>
      <c r="D23" s="572" t="s">
        <v>740</v>
      </c>
      <c r="E23" s="575">
        <v>28069000</v>
      </c>
      <c r="F23" s="575">
        <v>11225200</v>
      </c>
      <c r="G23" s="575">
        <f t="shared" si="0"/>
        <v>39294200</v>
      </c>
      <c r="H23" s="575">
        <v>12278150</v>
      </c>
      <c r="I23" s="575">
        <v>5051340</v>
      </c>
      <c r="J23" s="605">
        <v>40</v>
      </c>
      <c r="K23" s="605">
        <v>24</v>
      </c>
      <c r="L23" s="1091" t="s">
        <v>387</v>
      </c>
      <c r="M23" s="575">
        <v>12278150</v>
      </c>
      <c r="N23" s="575">
        <v>280630</v>
      </c>
      <c r="O23" s="575">
        <f t="shared" si="4"/>
        <v>12558780</v>
      </c>
      <c r="P23" s="575">
        <f t="shared" si="1"/>
        <v>0</v>
      </c>
      <c r="Q23" s="575"/>
      <c r="R23" s="618"/>
      <c r="S23" s="618">
        <f>F23/J23</f>
        <v>280630</v>
      </c>
      <c r="T23" s="618">
        <f>1000000-S23</f>
        <v>719370</v>
      </c>
      <c r="U23" s="616"/>
      <c r="V23" s="616"/>
      <c r="W23" s="616"/>
    </row>
    <row r="24" ht="16" customHeight="1" spans="1:23">
      <c r="A24" s="578">
        <f t="shared" si="6"/>
        <v>20</v>
      </c>
      <c r="B24" s="1094" t="s">
        <v>570</v>
      </c>
      <c r="C24" s="569" t="s">
        <v>741</v>
      </c>
      <c r="D24" s="569" t="s">
        <v>737</v>
      </c>
      <c r="E24" s="570">
        <v>2600000</v>
      </c>
      <c r="F24" s="570">
        <v>260000</v>
      </c>
      <c r="G24" s="568">
        <f t="shared" si="0"/>
        <v>2860000</v>
      </c>
      <c r="H24" s="568">
        <v>1158000</v>
      </c>
      <c r="I24" s="568">
        <v>64000</v>
      </c>
      <c r="J24" s="603">
        <v>10</v>
      </c>
      <c r="K24" s="603">
        <v>7</v>
      </c>
      <c r="L24" s="603"/>
      <c r="M24" s="570"/>
      <c r="N24" s="570"/>
      <c r="O24" s="577">
        <f t="shared" si="4"/>
        <v>0</v>
      </c>
      <c r="P24" s="568">
        <f t="shared" si="1"/>
        <v>1158000</v>
      </c>
      <c r="Q24" s="568">
        <f t="shared" si="7"/>
        <v>64000</v>
      </c>
      <c r="R24" s="618"/>
      <c r="S24" s="618"/>
      <c r="T24" s="618"/>
      <c r="U24" s="616"/>
      <c r="V24" s="616"/>
      <c r="W24" s="616"/>
    </row>
    <row r="25" ht="16" customHeight="1" spans="1:23">
      <c r="A25" s="578">
        <f t="shared" si="6"/>
        <v>21</v>
      </c>
      <c r="B25" s="1094" t="s">
        <v>742</v>
      </c>
      <c r="C25" s="567" t="s">
        <v>743</v>
      </c>
      <c r="D25" s="567" t="s">
        <v>744</v>
      </c>
      <c r="E25" s="568">
        <v>25000000</v>
      </c>
      <c r="F25" s="568">
        <v>10000000</v>
      </c>
      <c r="G25" s="568">
        <f t="shared" si="0"/>
        <v>35000000</v>
      </c>
      <c r="H25" s="568">
        <v>18225000</v>
      </c>
      <c r="I25" s="568">
        <v>4000000</v>
      </c>
      <c r="J25" s="602">
        <v>40</v>
      </c>
      <c r="K25" s="602">
        <v>21</v>
      </c>
      <c r="L25" s="602"/>
      <c r="M25" s="568"/>
      <c r="N25" s="568"/>
      <c r="O25" s="577">
        <f t="shared" si="4"/>
        <v>0</v>
      </c>
      <c r="P25" s="568">
        <f t="shared" si="1"/>
        <v>18225000</v>
      </c>
      <c r="Q25" s="568">
        <f t="shared" si="7"/>
        <v>4000000</v>
      </c>
      <c r="R25" s="618"/>
      <c r="S25" s="618">
        <f>F25/J25</f>
        <v>250000</v>
      </c>
      <c r="T25" s="618"/>
      <c r="U25" s="616"/>
      <c r="V25" s="616"/>
      <c r="W25" s="616"/>
    </row>
    <row r="26" ht="16" customHeight="1" spans="1:23">
      <c r="A26" s="578">
        <f t="shared" si="6"/>
        <v>22</v>
      </c>
      <c r="B26" s="1094" t="s">
        <v>745</v>
      </c>
      <c r="C26" s="579" t="s">
        <v>746</v>
      </c>
      <c r="D26" s="579" t="s">
        <v>747</v>
      </c>
      <c r="E26" s="580">
        <v>15000000</v>
      </c>
      <c r="F26" s="580">
        <v>6000000</v>
      </c>
      <c r="G26" s="575">
        <f t="shared" ref="G26:G54" si="8">SUM(E26+F26)</f>
        <v>21000000</v>
      </c>
      <c r="H26" s="575">
        <v>6825000</v>
      </c>
      <c r="I26" s="575">
        <v>3250000</v>
      </c>
      <c r="J26" s="607">
        <v>40</v>
      </c>
      <c r="K26" s="607">
        <v>26</v>
      </c>
      <c r="L26" s="1093" t="s">
        <v>387</v>
      </c>
      <c r="M26" s="580">
        <v>350000</v>
      </c>
      <c r="N26" s="580">
        <v>150000</v>
      </c>
      <c r="O26" s="574">
        <f t="shared" ref="O26:O53" si="9">M26+N26</f>
        <v>500000</v>
      </c>
      <c r="P26" s="575">
        <f t="shared" ref="P26:P54" si="10">SUM(H26-M26)</f>
        <v>6475000</v>
      </c>
      <c r="Q26" s="575">
        <f t="shared" si="7"/>
        <v>3100000</v>
      </c>
      <c r="R26" s="618">
        <f>F26/J26</f>
        <v>150000</v>
      </c>
      <c r="S26" s="618">
        <f>F26/J26</f>
        <v>150000</v>
      </c>
      <c r="T26" s="618"/>
      <c r="U26" s="616"/>
      <c r="V26" s="616"/>
      <c r="W26" s="616"/>
    </row>
    <row r="27" ht="16" customHeight="1" spans="1:23">
      <c r="A27" s="578">
        <f t="shared" si="6"/>
        <v>23</v>
      </c>
      <c r="B27" s="1092" t="s">
        <v>748</v>
      </c>
      <c r="C27" s="579" t="s">
        <v>407</v>
      </c>
      <c r="D27" s="579" t="s">
        <v>749</v>
      </c>
      <c r="E27" s="580">
        <v>14000000</v>
      </c>
      <c r="F27" s="580">
        <v>2520000</v>
      </c>
      <c r="G27" s="575">
        <f t="shared" si="8"/>
        <v>16520000</v>
      </c>
      <c r="H27" s="580">
        <v>6803000</v>
      </c>
      <c r="I27" s="580">
        <v>280000</v>
      </c>
      <c r="J27" s="607">
        <v>18</v>
      </c>
      <c r="K27" s="607">
        <v>12</v>
      </c>
      <c r="L27" s="1093" t="s">
        <v>387</v>
      </c>
      <c r="M27" s="580">
        <v>60000</v>
      </c>
      <c r="N27" s="580">
        <v>140000</v>
      </c>
      <c r="O27" s="574">
        <f t="shared" si="9"/>
        <v>200000</v>
      </c>
      <c r="P27" s="575">
        <f t="shared" si="10"/>
        <v>6743000</v>
      </c>
      <c r="Q27" s="575">
        <f t="shared" si="7"/>
        <v>140000</v>
      </c>
      <c r="R27" s="618">
        <f>F27/J27</f>
        <v>140000</v>
      </c>
      <c r="S27" s="618">
        <f>F27/J27</f>
        <v>140000</v>
      </c>
      <c r="T27" s="618"/>
      <c r="U27" s="618"/>
      <c r="V27" s="616"/>
      <c r="W27" s="616"/>
    </row>
    <row r="28" ht="16" customHeight="1" spans="1:23">
      <c r="A28" s="578">
        <f t="shared" si="6"/>
        <v>24</v>
      </c>
      <c r="B28" s="1092" t="s">
        <v>604</v>
      </c>
      <c r="C28" s="579" t="s">
        <v>460</v>
      </c>
      <c r="D28" s="579" t="s">
        <v>750</v>
      </c>
      <c r="E28" s="580">
        <v>28000000</v>
      </c>
      <c r="F28" s="580">
        <v>8680000</v>
      </c>
      <c r="G28" s="575">
        <f t="shared" si="8"/>
        <v>36680000</v>
      </c>
      <c r="H28" s="580">
        <v>11097000</v>
      </c>
      <c r="I28" s="580">
        <v>2800000</v>
      </c>
      <c r="J28" s="607">
        <v>31</v>
      </c>
      <c r="K28" s="607">
        <v>21</v>
      </c>
      <c r="L28" s="1093" t="s">
        <v>387</v>
      </c>
      <c r="M28" s="580">
        <v>904000</v>
      </c>
      <c r="N28" s="580">
        <v>280000</v>
      </c>
      <c r="O28" s="574">
        <f t="shared" si="9"/>
        <v>1184000</v>
      </c>
      <c r="P28" s="575">
        <f t="shared" si="10"/>
        <v>10193000</v>
      </c>
      <c r="Q28" s="575">
        <f t="shared" si="7"/>
        <v>2520000</v>
      </c>
      <c r="R28" s="618"/>
      <c r="S28" s="618"/>
      <c r="T28" s="618"/>
      <c r="U28" s="616"/>
      <c r="V28" s="616"/>
      <c r="W28" s="616"/>
    </row>
    <row r="29" ht="16" customHeight="1" spans="1:23">
      <c r="A29" s="578">
        <f t="shared" si="6"/>
        <v>25</v>
      </c>
      <c r="B29" s="1092" t="s">
        <v>604</v>
      </c>
      <c r="C29" s="569" t="s">
        <v>751</v>
      </c>
      <c r="D29" s="569" t="s">
        <v>752</v>
      </c>
      <c r="E29" s="570">
        <v>28000000</v>
      </c>
      <c r="F29" s="570">
        <v>8680000</v>
      </c>
      <c r="G29" s="568">
        <f t="shared" si="8"/>
        <v>36680000</v>
      </c>
      <c r="H29" s="570">
        <v>22416000</v>
      </c>
      <c r="I29" s="570">
        <v>2800000</v>
      </c>
      <c r="J29" s="603">
        <v>31</v>
      </c>
      <c r="K29" s="603">
        <v>21</v>
      </c>
      <c r="L29" s="603"/>
      <c r="M29" s="570"/>
      <c r="N29" s="570"/>
      <c r="O29" s="577">
        <f t="shared" si="9"/>
        <v>0</v>
      </c>
      <c r="P29" s="568">
        <f t="shared" si="10"/>
        <v>22416000</v>
      </c>
      <c r="Q29" s="568">
        <f t="shared" si="7"/>
        <v>2800000</v>
      </c>
      <c r="R29" s="618"/>
      <c r="S29" s="618"/>
      <c r="T29" s="618"/>
      <c r="U29" s="616"/>
      <c r="V29" s="616"/>
      <c r="W29" s="616"/>
    </row>
    <row r="30" ht="16" customHeight="1" spans="1:23">
      <c r="A30" s="578">
        <f t="shared" si="6"/>
        <v>26</v>
      </c>
      <c r="B30" s="1092" t="s">
        <v>604</v>
      </c>
      <c r="C30" s="579" t="s">
        <v>461</v>
      </c>
      <c r="D30" s="579" t="s">
        <v>753</v>
      </c>
      <c r="E30" s="580">
        <v>28000000</v>
      </c>
      <c r="F30" s="580">
        <v>8680000</v>
      </c>
      <c r="G30" s="575">
        <f t="shared" si="8"/>
        <v>36680000</v>
      </c>
      <c r="H30" s="580">
        <v>14708000</v>
      </c>
      <c r="I30" s="580">
        <v>2800000</v>
      </c>
      <c r="J30" s="607">
        <v>31</v>
      </c>
      <c r="K30" s="607">
        <v>21</v>
      </c>
      <c r="L30" s="607"/>
      <c r="M30" s="580"/>
      <c r="N30" s="580">
        <v>280000</v>
      </c>
      <c r="O30" s="574">
        <f t="shared" si="9"/>
        <v>280000</v>
      </c>
      <c r="P30" s="575">
        <f t="shared" si="10"/>
        <v>14708000</v>
      </c>
      <c r="Q30" s="575">
        <f t="shared" si="7"/>
        <v>2520000</v>
      </c>
      <c r="R30" s="618"/>
      <c r="S30" s="618"/>
      <c r="T30" s="618"/>
      <c r="U30" s="616"/>
      <c r="V30" s="620"/>
      <c r="W30" s="621"/>
    </row>
    <row r="31" ht="16" customHeight="1" spans="1:23">
      <c r="A31" s="578">
        <f t="shared" si="6"/>
        <v>27</v>
      </c>
      <c r="B31" s="1092" t="s">
        <v>754</v>
      </c>
      <c r="C31" s="579" t="s">
        <v>755</v>
      </c>
      <c r="D31" s="579" t="s">
        <v>756</v>
      </c>
      <c r="E31" s="580">
        <v>10000000</v>
      </c>
      <c r="F31" s="580">
        <v>6000000</v>
      </c>
      <c r="G31" s="575">
        <f t="shared" si="8"/>
        <v>16000000</v>
      </c>
      <c r="H31" s="580">
        <v>7950000</v>
      </c>
      <c r="I31" s="580">
        <v>3900000</v>
      </c>
      <c r="J31" s="607">
        <v>40</v>
      </c>
      <c r="K31" s="607">
        <v>15</v>
      </c>
      <c r="L31" s="1093" t="s">
        <v>387</v>
      </c>
      <c r="M31" s="580">
        <v>350000</v>
      </c>
      <c r="N31" s="580">
        <v>150000</v>
      </c>
      <c r="O31" s="574">
        <f t="shared" si="9"/>
        <v>500000</v>
      </c>
      <c r="P31" s="575">
        <f t="shared" si="10"/>
        <v>7600000</v>
      </c>
      <c r="Q31" s="575">
        <f t="shared" si="7"/>
        <v>3750000</v>
      </c>
      <c r="R31" s="618" t="s">
        <v>757</v>
      </c>
      <c r="S31" s="618"/>
      <c r="T31" s="618">
        <f>500000-U31</f>
        <v>350000</v>
      </c>
      <c r="U31" s="618">
        <f>F31/J31</f>
        <v>150000</v>
      </c>
      <c r="V31" s="616"/>
      <c r="W31" s="616"/>
    </row>
    <row r="32" ht="16" customHeight="1" spans="1:23">
      <c r="A32" s="578">
        <f t="shared" si="6"/>
        <v>28</v>
      </c>
      <c r="B32" s="1092" t="s">
        <v>758</v>
      </c>
      <c r="C32" s="579" t="s">
        <v>348</v>
      </c>
      <c r="D32" s="579" t="s">
        <v>759</v>
      </c>
      <c r="E32" s="580">
        <v>8000000</v>
      </c>
      <c r="F32" s="580">
        <v>450000</v>
      </c>
      <c r="G32" s="575">
        <f t="shared" si="8"/>
        <v>8450000</v>
      </c>
      <c r="H32" s="580">
        <v>7537500</v>
      </c>
      <c r="I32" s="580">
        <v>412500</v>
      </c>
      <c r="J32" s="607">
        <v>12</v>
      </c>
      <c r="K32" s="607">
        <v>2</v>
      </c>
      <c r="L32" s="1093" t="s">
        <v>347</v>
      </c>
      <c r="M32" s="580">
        <v>462500</v>
      </c>
      <c r="N32" s="580">
        <v>37500</v>
      </c>
      <c r="O32" s="574">
        <f t="shared" si="9"/>
        <v>500000</v>
      </c>
      <c r="P32" s="575">
        <f t="shared" si="10"/>
        <v>7075000</v>
      </c>
      <c r="Q32" s="575">
        <f t="shared" si="7"/>
        <v>375000</v>
      </c>
      <c r="R32" s="618">
        <f>F32/J32</f>
        <v>37500</v>
      </c>
      <c r="S32" s="618">
        <f>500000-R32</f>
        <v>462500</v>
      </c>
      <c r="T32" s="618"/>
      <c r="U32" s="616"/>
      <c r="V32" s="616"/>
      <c r="W32" s="616"/>
    </row>
    <row r="33" ht="16" customHeight="1" spans="1:23">
      <c r="A33" s="578">
        <f t="shared" si="6"/>
        <v>29</v>
      </c>
      <c r="B33" s="1092" t="s">
        <v>621</v>
      </c>
      <c r="C33" s="579" t="s">
        <v>412</v>
      </c>
      <c r="D33" s="579" t="s">
        <v>760</v>
      </c>
      <c r="E33" s="580">
        <v>20550000</v>
      </c>
      <c r="F33" s="580">
        <v>7398000</v>
      </c>
      <c r="G33" s="575">
        <f t="shared" si="8"/>
        <v>27948000</v>
      </c>
      <c r="H33" s="580">
        <v>13262000</v>
      </c>
      <c r="I33" s="580">
        <v>2157750</v>
      </c>
      <c r="J33" s="607">
        <v>24</v>
      </c>
      <c r="K33" s="607">
        <v>18</v>
      </c>
      <c r="L33" s="1093" t="s">
        <v>387</v>
      </c>
      <c r="M33" s="580">
        <v>91750</v>
      </c>
      <c r="N33" s="580">
        <v>308250</v>
      </c>
      <c r="O33" s="574">
        <f t="shared" si="9"/>
        <v>400000</v>
      </c>
      <c r="P33" s="575">
        <f t="shared" si="10"/>
        <v>13170250</v>
      </c>
      <c r="Q33" s="575">
        <f t="shared" si="7"/>
        <v>1849500</v>
      </c>
      <c r="R33" s="618">
        <f>400000-N33</f>
        <v>91750</v>
      </c>
      <c r="S33" s="618"/>
      <c r="T33" s="618"/>
      <c r="U33" s="616"/>
      <c r="V33" s="616"/>
      <c r="W33" s="616"/>
    </row>
    <row r="34" ht="16" customHeight="1" spans="1:23">
      <c r="A34" s="578">
        <f t="shared" si="6"/>
        <v>30</v>
      </c>
      <c r="B34" s="1092" t="s">
        <v>761</v>
      </c>
      <c r="C34" s="579" t="s">
        <v>762</v>
      </c>
      <c r="D34" s="579" t="s">
        <v>760</v>
      </c>
      <c r="E34" s="580">
        <v>25000000</v>
      </c>
      <c r="F34" s="580">
        <v>9375000</v>
      </c>
      <c r="G34" s="575">
        <f t="shared" si="8"/>
        <v>34375000</v>
      </c>
      <c r="H34" s="580">
        <v>17535000</v>
      </c>
      <c r="I34" s="580">
        <v>4125000</v>
      </c>
      <c r="J34" s="607">
        <v>25</v>
      </c>
      <c r="K34" s="607">
        <v>18</v>
      </c>
      <c r="L34" s="1093" t="s">
        <v>387</v>
      </c>
      <c r="M34" s="580">
        <v>500000</v>
      </c>
      <c r="N34" s="580">
        <v>375000</v>
      </c>
      <c r="O34" s="574">
        <f t="shared" si="9"/>
        <v>875000</v>
      </c>
      <c r="P34" s="575">
        <f t="shared" si="10"/>
        <v>17035000</v>
      </c>
      <c r="Q34" s="575">
        <f t="shared" si="7"/>
        <v>3750000</v>
      </c>
      <c r="R34" s="618">
        <f>F34/J34</f>
        <v>375000</v>
      </c>
      <c r="S34" s="618">
        <f>F34/J34</f>
        <v>375000</v>
      </c>
      <c r="T34" s="618"/>
      <c r="U34" s="616"/>
      <c r="V34" s="616"/>
      <c r="W34" s="616"/>
    </row>
    <row r="35" ht="16" customHeight="1" spans="1:23">
      <c r="A35" s="578">
        <f t="shared" si="6"/>
        <v>31</v>
      </c>
      <c r="B35" s="1092" t="s">
        <v>761</v>
      </c>
      <c r="C35" s="579" t="s">
        <v>449</v>
      </c>
      <c r="D35" s="579" t="s">
        <v>763</v>
      </c>
      <c r="E35" s="580">
        <v>5000000</v>
      </c>
      <c r="F35" s="580">
        <v>900000</v>
      </c>
      <c r="G35" s="575">
        <f t="shared" si="8"/>
        <v>5900000</v>
      </c>
      <c r="H35" s="580">
        <v>1260000</v>
      </c>
      <c r="I35" s="580">
        <v>225000</v>
      </c>
      <c r="J35" s="607">
        <v>12</v>
      </c>
      <c r="K35" s="607">
        <v>10</v>
      </c>
      <c r="L35" s="1093" t="s">
        <v>387</v>
      </c>
      <c r="M35" s="580">
        <v>425000</v>
      </c>
      <c r="N35" s="580">
        <v>75000</v>
      </c>
      <c r="O35" s="574">
        <f t="shared" si="9"/>
        <v>500000</v>
      </c>
      <c r="P35" s="575">
        <f t="shared" si="10"/>
        <v>835000</v>
      </c>
      <c r="Q35" s="575">
        <f t="shared" si="7"/>
        <v>150000</v>
      </c>
      <c r="R35" s="618">
        <f>F35/J35</f>
        <v>75000</v>
      </c>
      <c r="S35" s="618">
        <f>500000-R35</f>
        <v>425000</v>
      </c>
      <c r="T35" s="618"/>
      <c r="U35" s="618">
        <f>P35/2</f>
        <v>417500</v>
      </c>
      <c r="V35" s="616"/>
      <c r="W35" s="616"/>
    </row>
    <row r="36" ht="16" customHeight="1" spans="1:23">
      <c r="A36" s="578">
        <f t="shared" si="6"/>
        <v>32</v>
      </c>
      <c r="B36" s="1092" t="s">
        <v>764</v>
      </c>
      <c r="C36" s="572" t="s">
        <v>765</v>
      </c>
      <c r="D36" s="572" t="s">
        <v>766</v>
      </c>
      <c r="E36" s="575">
        <v>25000000</v>
      </c>
      <c r="F36" s="575">
        <v>8235000</v>
      </c>
      <c r="G36" s="575">
        <f t="shared" si="8"/>
        <v>33235000</v>
      </c>
      <c r="H36" s="575">
        <v>23059750</v>
      </c>
      <c r="I36" s="575">
        <v>6725250</v>
      </c>
      <c r="J36" s="605">
        <v>60</v>
      </c>
      <c r="K36" s="605">
        <v>15</v>
      </c>
      <c r="L36" s="1091" t="s">
        <v>387</v>
      </c>
      <c r="M36" s="575">
        <v>462750</v>
      </c>
      <c r="N36" s="575">
        <v>137250</v>
      </c>
      <c r="O36" s="574">
        <f t="shared" si="9"/>
        <v>600000</v>
      </c>
      <c r="P36" s="575">
        <f t="shared" si="10"/>
        <v>22597000</v>
      </c>
      <c r="Q36" s="575">
        <f t="shared" si="7"/>
        <v>6588000</v>
      </c>
      <c r="R36" s="618">
        <f>600000-N36</f>
        <v>462750</v>
      </c>
      <c r="S36" s="618">
        <f>F36/J36</f>
        <v>137250</v>
      </c>
      <c r="T36" s="618"/>
      <c r="U36" s="616"/>
      <c r="V36" s="616"/>
      <c r="W36" s="616"/>
    </row>
    <row r="37" ht="16" customHeight="1" spans="1:23">
      <c r="A37" s="578">
        <f t="shared" si="6"/>
        <v>33</v>
      </c>
      <c r="B37" s="1092" t="s">
        <v>767</v>
      </c>
      <c r="C37" s="569" t="s">
        <v>751</v>
      </c>
      <c r="D37" s="569" t="s">
        <v>768</v>
      </c>
      <c r="E37" s="570">
        <v>2100000</v>
      </c>
      <c r="F37" s="570">
        <v>630000</v>
      </c>
      <c r="G37" s="568">
        <f t="shared" si="8"/>
        <v>2730000</v>
      </c>
      <c r="H37" s="570">
        <v>318500</v>
      </c>
      <c r="I37" s="570">
        <v>94500</v>
      </c>
      <c r="J37" s="603">
        <v>20</v>
      </c>
      <c r="K37" s="603">
        <v>17</v>
      </c>
      <c r="L37" s="603"/>
      <c r="M37" s="570"/>
      <c r="N37" s="570"/>
      <c r="O37" s="577">
        <f t="shared" si="9"/>
        <v>0</v>
      </c>
      <c r="P37" s="568">
        <f t="shared" si="10"/>
        <v>318500</v>
      </c>
      <c r="Q37" s="568">
        <f t="shared" si="7"/>
        <v>94500</v>
      </c>
      <c r="R37" s="618">
        <f>S37*2</f>
        <v>63000</v>
      </c>
      <c r="S37" s="618">
        <f>F37/J37</f>
        <v>31500</v>
      </c>
      <c r="T37" s="618"/>
      <c r="U37" s="616"/>
      <c r="V37" s="616"/>
      <c r="W37" s="616"/>
    </row>
    <row r="38" ht="16" customHeight="1" spans="1:23">
      <c r="A38" s="578">
        <f t="shared" si="6"/>
        <v>34</v>
      </c>
      <c r="B38" s="1092" t="s">
        <v>767</v>
      </c>
      <c r="C38" s="579" t="s">
        <v>420</v>
      </c>
      <c r="D38" s="579" t="s">
        <v>768</v>
      </c>
      <c r="E38" s="580">
        <v>2100000</v>
      </c>
      <c r="F38" s="580">
        <v>630000</v>
      </c>
      <c r="G38" s="575">
        <f t="shared" si="8"/>
        <v>2730000</v>
      </c>
      <c r="H38" s="580">
        <v>459000</v>
      </c>
      <c r="I38" s="580">
        <v>126000</v>
      </c>
      <c r="J38" s="607">
        <v>20</v>
      </c>
      <c r="K38" s="607">
        <v>17</v>
      </c>
      <c r="L38" s="1093" t="s">
        <v>387</v>
      </c>
      <c r="M38" s="580">
        <v>105500</v>
      </c>
      <c r="N38" s="580">
        <v>31500</v>
      </c>
      <c r="O38" s="574">
        <f t="shared" si="9"/>
        <v>137000</v>
      </c>
      <c r="P38" s="575">
        <f t="shared" si="10"/>
        <v>353500</v>
      </c>
      <c r="Q38" s="575">
        <f t="shared" si="7"/>
        <v>94500</v>
      </c>
      <c r="R38" s="618">
        <f>F38/J38</f>
        <v>31500</v>
      </c>
      <c r="S38" s="618">
        <f>600000-N36</f>
        <v>462750</v>
      </c>
      <c r="T38" s="618"/>
      <c r="U38" s="616"/>
      <c r="V38" s="616"/>
      <c r="W38" s="616"/>
    </row>
    <row r="39" ht="16" customHeight="1" spans="1:23">
      <c r="A39" s="578">
        <f t="shared" si="6"/>
        <v>35</v>
      </c>
      <c r="B39" s="1092" t="s">
        <v>769</v>
      </c>
      <c r="C39" s="579" t="s">
        <v>770</v>
      </c>
      <c r="D39" s="579" t="s">
        <v>771</v>
      </c>
      <c r="E39" s="580">
        <v>6000000</v>
      </c>
      <c r="F39" s="580">
        <v>1350000</v>
      </c>
      <c r="G39" s="575">
        <f t="shared" si="8"/>
        <v>7350000</v>
      </c>
      <c r="H39" s="580">
        <v>2620000</v>
      </c>
      <c r="I39" s="580">
        <v>360000</v>
      </c>
      <c r="J39" s="607">
        <v>15</v>
      </c>
      <c r="K39" s="607">
        <v>12</v>
      </c>
      <c r="L39" s="1093" t="s">
        <v>387</v>
      </c>
      <c r="M39" s="580">
        <v>160000</v>
      </c>
      <c r="N39" s="580">
        <v>90000</v>
      </c>
      <c r="O39" s="574">
        <f t="shared" si="9"/>
        <v>250000</v>
      </c>
      <c r="P39" s="575">
        <f t="shared" si="10"/>
        <v>2460000</v>
      </c>
      <c r="Q39" s="575">
        <f t="shared" si="7"/>
        <v>270000</v>
      </c>
      <c r="R39" s="618">
        <f>137000-R38</f>
        <v>105500</v>
      </c>
      <c r="S39" s="618">
        <f>F39/J39</f>
        <v>90000</v>
      </c>
      <c r="T39" s="618">
        <f>250000-S39</f>
        <v>160000</v>
      </c>
      <c r="U39" s="616"/>
      <c r="V39" s="616"/>
      <c r="W39" s="616"/>
    </row>
    <row r="40" ht="16" customHeight="1" spans="1:23">
      <c r="A40" s="578">
        <f t="shared" si="6"/>
        <v>36</v>
      </c>
      <c r="B40" s="1092" t="s">
        <v>772</v>
      </c>
      <c r="C40" s="569" t="s">
        <v>640</v>
      </c>
      <c r="D40" s="569" t="s">
        <v>771</v>
      </c>
      <c r="E40" s="570">
        <v>2700000</v>
      </c>
      <c r="F40" s="570">
        <v>405000</v>
      </c>
      <c r="G40" s="568">
        <f t="shared" si="8"/>
        <v>3105000</v>
      </c>
      <c r="H40" s="570">
        <v>1621500</v>
      </c>
      <c r="I40" s="570">
        <v>243000</v>
      </c>
      <c r="J40" s="603">
        <v>10</v>
      </c>
      <c r="K40" s="603">
        <v>4</v>
      </c>
      <c r="L40" s="603"/>
      <c r="M40" s="570"/>
      <c r="N40" s="570"/>
      <c r="O40" s="577">
        <f t="shared" si="9"/>
        <v>0</v>
      </c>
      <c r="P40" s="568">
        <f t="shared" si="10"/>
        <v>1621500</v>
      </c>
      <c r="Q40" s="568">
        <f t="shared" ref="Q40:Q53" si="11">SUM(I40-N40)</f>
        <v>243000</v>
      </c>
      <c r="R40" s="618"/>
      <c r="S40" s="618">
        <f>P39/S39</f>
        <v>27.3333333333333</v>
      </c>
      <c r="T40" s="618"/>
      <c r="U40" s="616"/>
      <c r="V40" s="616"/>
      <c r="W40" s="616"/>
    </row>
    <row r="41" ht="16" customHeight="1" spans="1:23">
      <c r="A41" s="578">
        <f t="shared" si="6"/>
        <v>37</v>
      </c>
      <c r="B41" s="1092" t="s">
        <v>773</v>
      </c>
      <c r="C41" s="579" t="s">
        <v>774</v>
      </c>
      <c r="D41" s="579" t="s">
        <v>775</v>
      </c>
      <c r="E41" s="580">
        <v>1800000</v>
      </c>
      <c r="F41" s="580">
        <v>324000</v>
      </c>
      <c r="G41" s="575">
        <f t="shared" si="8"/>
        <v>2124000</v>
      </c>
      <c r="H41" s="580">
        <v>1180000</v>
      </c>
      <c r="I41" s="580">
        <v>162000</v>
      </c>
      <c r="J41" s="607">
        <v>12</v>
      </c>
      <c r="K41" s="607">
        <v>6</v>
      </c>
      <c r="L41" s="1093" t="s">
        <v>387</v>
      </c>
      <c r="M41" s="580">
        <v>221831</v>
      </c>
      <c r="N41" s="580">
        <v>27000</v>
      </c>
      <c r="O41" s="574">
        <f t="shared" si="9"/>
        <v>248831</v>
      </c>
      <c r="P41" s="575">
        <f t="shared" si="10"/>
        <v>958169</v>
      </c>
      <c r="Q41" s="575"/>
      <c r="R41" s="618">
        <f>F41/J41</f>
        <v>27000</v>
      </c>
      <c r="S41" s="618">
        <f>F41/J41</f>
        <v>27000</v>
      </c>
      <c r="T41" s="618"/>
      <c r="U41" s="616"/>
      <c r="V41" s="616"/>
      <c r="W41" s="616"/>
    </row>
    <row r="42" ht="16" customHeight="1" spans="1:23">
      <c r="A42" s="578">
        <f t="shared" si="6"/>
        <v>38</v>
      </c>
      <c r="B42" s="1092" t="s">
        <v>773</v>
      </c>
      <c r="C42" s="579" t="s">
        <v>305</v>
      </c>
      <c r="D42" s="579" t="s">
        <v>776</v>
      </c>
      <c r="E42" s="580">
        <v>30000000</v>
      </c>
      <c r="F42" s="580">
        <v>3600000</v>
      </c>
      <c r="G42" s="575">
        <f t="shared" si="8"/>
        <v>33600000</v>
      </c>
      <c r="H42" s="580">
        <v>13600000</v>
      </c>
      <c r="I42" s="580">
        <v>0</v>
      </c>
      <c r="J42" s="607">
        <v>3</v>
      </c>
      <c r="K42" s="607">
        <v>3</v>
      </c>
      <c r="L42" s="1093" t="s">
        <v>669</v>
      </c>
      <c r="M42" s="580">
        <v>1000000</v>
      </c>
      <c r="N42" s="580"/>
      <c r="O42" s="574">
        <f t="shared" si="9"/>
        <v>1000000</v>
      </c>
      <c r="P42" s="575">
        <f t="shared" si="10"/>
        <v>12600000</v>
      </c>
      <c r="Q42" s="575">
        <f t="shared" si="11"/>
        <v>0</v>
      </c>
      <c r="R42" s="618"/>
      <c r="S42" s="618">
        <f>P41+S41</f>
        <v>985169</v>
      </c>
      <c r="T42" s="618"/>
      <c r="U42" s="616"/>
      <c r="V42" s="616"/>
      <c r="W42" s="616"/>
    </row>
    <row r="43" s="548" customFormat="1" ht="16" customHeight="1" spans="1:23">
      <c r="A43" s="578">
        <f t="shared" si="6"/>
        <v>39</v>
      </c>
      <c r="B43" s="1092" t="s">
        <v>777</v>
      </c>
      <c r="C43" s="579" t="s">
        <v>405</v>
      </c>
      <c r="D43" s="579" t="s">
        <v>740</v>
      </c>
      <c r="E43" s="580">
        <v>80249643</v>
      </c>
      <c r="F43" s="580">
        <v>40800000</v>
      </c>
      <c r="G43" s="575">
        <f t="shared" si="8"/>
        <v>121049643</v>
      </c>
      <c r="H43" s="580">
        <v>66081300</v>
      </c>
      <c r="I43" s="580">
        <v>37918700</v>
      </c>
      <c r="J43" s="607">
        <v>48</v>
      </c>
      <c r="K43" s="607">
        <v>12</v>
      </c>
      <c r="L43" s="1093" t="s">
        <v>387</v>
      </c>
      <c r="M43" s="580">
        <v>750000</v>
      </c>
      <c r="N43" s="580">
        <v>850000</v>
      </c>
      <c r="O43" s="574">
        <f t="shared" si="9"/>
        <v>1600000</v>
      </c>
      <c r="P43" s="575">
        <f t="shared" si="10"/>
        <v>65331300</v>
      </c>
      <c r="Q43" s="575">
        <f t="shared" si="11"/>
        <v>37068700</v>
      </c>
      <c r="R43" s="596"/>
      <c r="S43" s="596">
        <f>1600000-N43</f>
        <v>750000</v>
      </c>
      <c r="T43" s="596">
        <v>881535</v>
      </c>
      <c r="U43" s="622">
        <f>S43+T43</f>
        <v>1631535</v>
      </c>
      <c r="V43" s="623"/>
      <c r="W43" s="623"/>
    </row>
    <row r="44" ht="16" customHeight="1" spans="1:23">
      <c r="A44" s="578">
        <f t="shared" si="6"/>
        <v>40</v>
      </c>
      <c r="B44" s="1092" t="s">
        <v>778</v>
      </c>
      <c r="C44" s="579" t="s">
        <v>779</v>
      </c>
      <c r="D44" s="579" t="s">
        <v>780</v>
      </c>
      <c r="E44" s="580">
        <v>2200000</v>
      </c>
      <c r="F44" s="580">
        <v>396000</v>
      </c>
      <c r="G44" s="575">
        <f t="shared" si="8"/>
        <v>2596000</v>
      </c>
      <c r="H44" s="580">
        <v>680000</v>
      </c>
      <c r="I44" s="580">
        <v>99000</v>
      </c>
      <c r="J44" s="607">
        <v>12</v>
      </c>
      <c r="K44" s="607">
        <v>9</v>
      </c>
      <c r="L44" s="1093" t="s">
        <v>387</v>
      </c>
      <c r="M44" s="580">
        <v>187000</v>
      </c>
      <c r="N44" s="580">
        <v>33000</v>
      </c>
      <c r="O44" s="574">
        <f t="shared" si="9"/>
        <v>220000</v>
      </c>
      <c r="P44" s="575">
        <f t="shared" si="10"/>
        <v>493000</v>
      </c>
      <c r="Q44" s="575">
        <f t="shared" si="11"/>
        <v>66000</v>
      </c>
      <c r="R44" s="618"/>
      <c r="S44" s="618">
        <f>1600000-N43</f>
        <v>750000</v>
      </c>
      <c r="T44" s="618">
        <f>220000-N44</f>
        <v>187000</v>
      </c>
      <c r="U44" s="616"/>
      <c r="V44" s="616"/>
      <c r="W44" s="616"/>
    </row>
    <row r="45" ht="16" customHeight="1" spans="1:23">
      <c r="A45" s="578">
        <f t="shared" si="6"/>
        <v>41</v>
      </c>
      <c r="B45" s="1095" t="s">
        <v>781</v>
      </c>
      <c r="C45" s="582" t="s">
        <v>738</v>
      </c>
      <c r="D45" s="582" t="s">
        <v>737</v>
      </c>
      <c r="E45" s="583">
        <v>1500000</v>
      </c>
      <c r="F45" s="583">
        <v>225000</v>
      </c>
      <c r="G45" s="575">
        <f t="shared" si="8"/>
        <v>1725000</v>
      </c>
      <c r="H45" s="584">
        <v>300000</v>
      </c>
      <c r="I45" s="584">
        <v>45000</v>
      </c>
      <c r="J45" s="608">
        <v>10</v>
      </c>
      <c r="K45" s="608">
        <v>9</v>
      </c>
      <c r="L45" s="1096" t="s">
        <v>387</v>
      </c>
      <c r="M45" s="584">
        <v>150000</v>
      </c>
      <c r="N45" s="584">
        <v>22500</v>
      </c>
      <c r="O45" s="574">
        <f t="shared" si="9"/>
        <v>172500</v>
      </c>
      <c r="P45" s="575">
        <f t="shared" si="10"/>
        <v>150000</v>
      </c>
      <c r="Q45" s="575">
        <f t="shared" si="11"/>
        <v>22500</v>
      </c>
      <c r="R45" s="618">
        <f>45000/2</f>
        <v>22500</v>
      </c>
      <c r="S45" s="618">
        <f>F45/J45</f>
        <v>22500</v>
      </c>
      <c r="T45" s="618"/>
      <c r="U45" s="616"/>
      <c r="V45" s="616"/>
      <c r="W45" s="616"/>
    </row>
    <row r="46" spans="1:23">
      <c r="A46" s="578">
        <f t="shared" si="6"/>
        <v>42</v>
      </c>
      <c r="B46" s="1095" t="s">
        <v>782</v>
      </c>
      <c r="C46" s="582" t="s">
        <v>263</v>
      </c>
      <c r="D46" s="582" t="s">
        <v>737</v>
      </c>
      <c r="E46" s="583">
        <v>1700000</v>
      </c>
      <c r="F46" s="583">
        <v>306000</v>
      </c>
      <c r="G46" s="585">
        <f t="shared" si="8"/>
        <v>2006000</v>
      </c>
      <c r="H46" s="583">
        <v>510500</v>
      </c>
      <c r="I46" s="583">
        <v>127500</v>
      </c>
      <c r="J46" s="608">
        <v>12</v>
      </c>
      <c r="K46" s="608">
        <v>8</v>
      </c>
      <c r="L46" s="1096" t="s">
        <v>783</v>
      </c>
      <c r="M46" s="583">
        <v>174500</v>
      </c>
      <c r="N46" s="590">
        <v>25500</v>
      </c>
      <c r="O46" s="574">
        <f t="shared" si="9"/>
        <v>200000</v>
      </c>
      <c r="P46" s="575">
        <f t="shared" si="10"/>
        <v>336000</v>
      </c>
      <c r="Q46" s="575">
        <f t="shared" si="11"/>
        <v>102000</v>
      </c>
      <c r="R46" s="618"/>
      <c r="S46" s="618"/>
      <c r="T46" s="618"/>
      <c r="U46" s="616"/>
      <c r="V46" s="616"/>
      <c r="W46" s="616"/>
    </row>
    <row r="47" spans="1:23">
      <c r="A47" s="578">
        <f t="shared" si="6"/>
        <v>43</v>
      </c>
      <c r="B47" s="1095" t="s">
        <v>784</v>
      </c>
      <c r="C47" s="581" t="s">
        <v>785</v>
      </c>
      <c r="D47" s="581" t="s">
        <v>776</v>
      </c>
      <c r="E47" s="586">
        <v>30000000</v>
      </c>
      <c r="F47" s="586">
        <v>3600000</v>
      </c>
      <c r="G47" s="587">
        <f t="shared" si="8"/>
        <v>33600000</v>
      </c>
      <c r="H47" s="586">
        <v>30000000</v>
      </c>
      <c r="I47" s="586">
        <v>3600000</v>
      </c>
      <c r="J47" s="609">
        <v>3</v>
      </c>
      <c r="K47" s="609"/>
      <c r="L47" s="581"/>
      <c r="M47" s="586"/>
      <c r="N47" s="586"/>
      <c r="O47" s="577">
        <f t="shared" si="9"/>
        <v>0</v>
      </c>
      <c r="P47" s="587">
        <f t="shared" si="10"/>
        <v>30000000</v>
      </c>
      <c r="Q47" s="587">
        <f t="shared" si="11"/>
        <v>3600000</v>
      </c>
      <c r="R47" s="618"/>
      <c r="S47" s="618"/>
      <c r="T47" s="618"/>
      <c r="U47" s="616"/>
      <c r="V47" s="616"/>
      <c r="W47" s="616"/>
    </row>
    <row r="48" spans="1:23">
      <c r="A48" s="578">
        <f t="shared" si="6"/>
        <v>44</v>
      </c>
      <c r="B48" s="1095" t="s">
        <v>786</v>
      </c>
      <c r="C48" s="582" t="s">
        <v>389</v>
      </c>
      <c r="D48" s="582" t="s">
        <v>787</v>
      </c>
      <c r="E48" s="583">
        <v>2200000</v>
      </c>
      <c r="F48" s="583">
        <v>330000</v>
      </c>
      <c r="G48" s="585">
        <f t="shared" si="8"/>
        <v>2530000</v>
      </c>
      <c r="H48" s="583">
        <v>1100000</v>
      </c>
      <c r="I48" s="583">
        <v>165000</v>
      </c>
      <c r="J48" s="608">
        <v>10</v>
      </c>
      <c r="K48" s="608">
        <v>6</v>
      </c>
      <c r="L48" s="1097" t="s">
        <v>387</v>
      </c>
      <c r="M48" s="583">
        <v>217000</v>
      </c>
      <c r="N48" s="583">
        <v>33000</v>
      </c>
      <c r="O48" s="574">
        <f t="shared" si="9"/>
        <v>250000</v>
      </c>
      <c r="P48" s="585">
        <f t="shared" si="10"/>
        <v>883000</v>
      </c>
      <c r="Q48" s="585">
        <f t="shared" si="11"/>
        <v>132000</v>
      </c>
      <c r="R48" s="618">
        <f>250000-S48</f>
        <v>217000</v>
      </c>
      <c r="S48" s="618">
        <f>F48/J48</f>
        <v>33000</v>
      </c>
      <c r="T48" s="618"/>
      <c r="U48" s="616"/>
      <c r="V48" s="616"/>
      <c r="W48" s="616"/>
    </row>
    <row r="49" spans="1:23">
      <c r="A49" s="578">
        <f t="shared" si="6"/>
        <v>45</v>
      </c>
      <c r="B49" s="1095" t="s">
        <v>786</v>
      </c>
      <c r="C49" s="581" t="s">
        <v>788</v>
      </c>
      <c r="D49" s="581" t="s">
        <v>787</v>
      </c>
      <c r="E49" s="586">
        <v>2200000</v>
      </c>
      <c r="F49" s="586">
        <v>330000</v>
      </c>
      <c r="G49" s="587">
        <f t="shared" si="8"/>
        <v>2530000</v>
      </c>
      <c r="H49" s="586">
        <v>1106000</v>
      </c>
      <c r="I49" s="586">
        <v>165000</v>
      </c>
      <c r="J49" s="609">
        <v>10</v>
      </c>
      <c r="K49" s="609">
        <v>5</v>
      </c>
      <c r="L49" s="581"/>
      <c r="M49" s="586"/>
      <c r="N49" s="586"/>
      <c r="O49" s="577">
        <f t="shared" si="9"/>
        <v>0</v>
      </c>
      <c r="P49" s="587">
        <f t="shared" si="10"/>
        <v>1106000</v>
      </c>
      <c r="Q49" s="587">
        <f t="shared" si="11"/>
        <v>165000</v>
      </c>
      <c r="R49" s="618"/>
      <c r="S49" s="618">
        <f>F50/J50</f>
        <v>45000</v>
      </c>
      <c r="T49" s="618"/>
      <c r="U49" s="616"/>
      <c r="V49" s="616"/>
      <c r="W49" s="616"/>
    </row>
    <row r="50" spans="1:23">
      <c r="A50" s="578">
        <f t="shared" si="6"/>
        <v>46</v>
      </c>
      <c r="B50" s="1095" t="s">
        <v>789</v>
      </c>
      <c r="C50" s="588" t="s">
        <v>255</v>
      </c>
      <c r="D50" s="588" t="s">
        <v>790</v>
      </c>
      <c r="E50" s="589">
        <v>3000000</v>
      </c>
      <c r="F50" s="589">
        <v>900000</v>
      </c>
      <c r="G50" s="587">
        <f t="shared" si="8"/>
        <v>3900000</v>
      </c>
      <c r="H50" s="589">
        <v>2700000</v>
      </c>
      <c r="I50" s="589">
        <v>765000</v>
      </c>
      <c r="J50" s="611">
        <v>20</v>
      </c>
      <c r="K50" s="611">
        <v>3</v>
      </c>
      <c r="L50" s="588"/>
      <c r="M50" s="589"/>
      <c r="N50" s="589"/>
      <c r="O50" s="568">
        <f t="shared" si="9"/>
        <v>0</v>
      </c>
      <c r="P50" s="587">
        <f t="shared" si="10"/>
        <v>2700000</v>
      </c>
      <c r="Q50" s="587">
        <f t="shared" si="11"/>
        <v>765000</v>
      </c>
      <c r="R50" s="618"/>
      <c r="S50" s="618">
        <f>F50/J50</f>
        <v>45000</v>
      </c>
      <c r="T50" s="618"/>
      <c r="U50" s="616"/>
      <c r="V50" s="616"/>
      <c r="W50" s="616"/>
    </row>
    <row r="51" spans="1:23">
      <c r="A51" s="578">
        <f t="shared" si="6"/>
        <v>47</v>
      </c>
      <c r="B51" s="1095" t="s">
        <v>791</v>
      </c>
      <c r="C51" s="581" t="s">
        <v>792</v>
      </c>
      <c r="D51" s="581" t="s">
        <v>793</v>
      </c>
      <c r="E51" s="586">
        <v>1410000</v>
      </c>
      <c r="F51" s="586">
        <v>35250</v>
      </c>
      <c r="G51" s="587">
        <f t="shared" si="8"/>
        <v>1445250</v>
      </c>
      <c r="H51" s="586">
        <v>1410000</v>
      </c>
      <c r="I51" s="586">
        <v>35250</v>
      </c>
      <c r="J51" s="609">
        <v>1</v>
      </c>
      <c r="K51" s="609"/>
      <c r="L51" s="581"/>
      <c r="M51" s="586"/>
      <c r="N51" s="586"/>
      <c r="O51" s="577">
        <f t="shared" si="9"/>
        <v>0</v>
      </c>
      <c r="P51" s="587">
        <f t="shared" si="10"/>
        <v>1410000</v>
      </c>
      <c r="Q51" s="587">
        <f t="shared" si="11"/>
        <v>35250</v>
      </c>
      <c r="R51" s="624">
        <f>P51+Q51</f>
        <v>1445250</v>
      </c>
      <c r="S51" s="618">
        <f>R51/12</f>
        <v>120437.5</v>
      </c>
      <c r="T51" s="618">
        <f>S51*4</f>
        <v>481750</v>
      </c>
      <c r="U51" s="616"/>
      <c r="V51" s="616"/>
      <c r="W51" s="616"/>
    </row>
    <row r="52" spans="1:23">
      <c r="A52" s="578">
        <f t="shared" si="6"/>
        <v>48</v>
      </c>
      <c r="B52" s="1095" t="str">
        <f>B51</f>
        <v>29-8-2025</v>
      </c>
      <c r="C52" s="582" t="s">
        <v>456</v>
      </c>
      <c r="D52" s="582" t="s">
        <v>794</v>
      </c>
      <c r="E52" s="583">
        <v>1270000</v>
      </c>
      <c r="F52" s="583">
        <v>317500</v>
      </c>
      <c r="G52" s="585">
        <f t="shared" si="8"/>
        <v>1587500</v>
      </c>
      <c r="H52" s="583">
        <v>777000</v>
      </c>
      <c r="I52" s="583">
        <v>190500</v>
      </c>
      <c r="J52" s="608">
        <v>10</v>
      </c>
      <c r="K52" s="608">
        <v>5</v>
      </c>
      <c r="L52" s="1096" t="s">
        <v>387</v>
      </c>
      <c r="M52" s="583">
        <v>128250</v>
      </c>
      <c r="N52" s="583">
        <v>31750</v>
      </c>
      <c r="O52" s="574">
        <f t="shared" si="9"/>
        <v>160000</v>
      </c>
      <c r="P52" s="585">
        <f t="shared" si="10"/>
        <v>648750</v>
      </c>
      <c r="Q52" s="585">
        <f t="shared" si="11"/>
        <v>158750</v>
      </c>
      <c r="R52" s="624">
        <v>160000</v>
      </c>
      <c r="S52" s="618">
        <f>R52*2</f>
        <v>320000</v>
      </c>
      <c r="T52" s="618">
        <f>F52/J52</f>
        <v>31750</v>
      </c>
      <c r="U52" s="618">
        <f>T52*2</f>
        <v>63500</v>
      </c>
      <c r="V52" s="618">
        <f>S52-N52</f>
        <v>288250</v>
      </c>
      <c r="W52" s="616"/>
    </row>
    <row r="53" spans="1:23">
      <c r="A53" s="578">
        <f t="shared" si="6"/>
        <v>49</v>
      </c>
      <c r="B53" s="1095" t="s">
        <v>791</v>
      </c>
      <c r="C53" s="581" t="s">
        <v>795</v>
      </c>
      <c r="D53" s="581" t="s">
        <v>793</v>
      </c>
      <c r="E53" s="586">
        <v>406000</v>
      </c>
      <c r="F53" s="586">
        <v>50750</v>
      </c>
      <c r="G53" s="587">
        <f t="shared" si="8"/>
        <v>456750</v>
      </c>
      <c r="H53" s="586">
        <v>256750</v>
      </c>
      <c r="I53" s="586">
        <v>0</v>
      </c>
      <c r="J53" s="609">
        <v>5</v>
      </c>
      <c r="K53" s="609"/>
      <c r="L53" s="581"/>
      <c r="M53" s="586"/>
      <c r="N53" s="586"/>
      <c r="O53" s="577">
        <f t="shared" ref="O53:O61" si="12">M53+N53</f>
        <v>0</v>
      </c>
      <c r="P53" s="587">
        <f t="shared" si="10"/>
        <v>256750</v>
      </c>
      <c r="Q53" s="587">
        <f t="shared" ref="Q53:Q62" si="13">SUM(I53-N53)</f>
        <v>0</v>
      </c>
      <c r="R53" s="624">
        <v>92000</v>
      </c>
      <c r="S53" s="618">
        <f>200000-N53</f>
        <v>200000</v>
      </c>
      <c r="T53" s="618">
        <f>160000-N52</f>
        <v>128250</v>
      </c>
      <c r="U53" s="616"/>
      <c r="V53" s="616"/>
      <c r="W53" s="616"/>
    </row>
    <row r="54" spans="1:23">
      <c r="A54" s="578">
        <f t="shared" si="6"/>
        <v>50</v>
      </c>
      <c r="B54" s="1095" t="s">
        <v>791</v>
      </c>
      <c r="C54" s="582" t="s">
        <v>294</v>
      </c>
      <c r="D54" s="582" t="s">
        <v>796</v>
      </c>
      <c r="E54" s="583">
        <v>2650000</v>
      </c>
      <c r="F54" s="583">
        <v>795000</v>
      </c>
      <c r="G54" s="585">
        <f t="shared" ref="G54:G62" si="14">SUM(E54+F54)</f>
        <v>3445000</v>
      </c>
      <c r="H54" s="583">
        <v>2600000</v>
      </c>
      <c r="I54" s="583">
        <v>795000</v>
      </c>
      <c r="J54" s="608">
        <v>12</v>
      </c>
      <c r="K54" s="608">
        <v>1</v>
      </c>
      <c r="L54" s="1096" t="s">
        <v>292</v>
      </c>
      <c r="M54" s="583">
        <v>221750</v>
      </c>
      <c r="N54" s="583">
        <v>66250</v>
      </c>
      <c r="O54" s="574">
        <f t="shared" si="12"/>
        <v>288000</v>
      </c>
      <c r="P54" s="585">
        <f t="shared" ref="P54:P62" si="15">SUM(H54-M54)</f>
        <v>2378250</v>
      </c>
      <c r="Q54" s="585">
        <f t="shared" si="13"/>
        <v>728750</v>
      </c>
      <c r="R54" s="624">
        <v>288000</v>
      </c>
      <c r="S54" s="618">
        <f>R54*4</f>
        <v>1152000</v>
      </c>
      <c r="T54" s="618">
        <f>I54/J54</f>
        <v>66250</v>
      </c>
      <c r="U54" s="616"/>
      <c r="V54" s="616"/>
      <c r="W54" s="616"/>
    </row>
    <row r="55" spans="1:23">
      <c r="A55" s="578">
        <f t="shared" si="6"/>
        <v>51</v>
      </c>
      <c r="B55" s="1095" t="str">
        <f>B54</f>
        <v>29-8-2025</v>
      </c>
      <c r="C55" s="582" t="s">
        <v>451</v>
      </c>
      <c r="D55" s="582" t="s">
        <v>796</v>
      </c>
      <c r="E55" s="583">
        <v>2015000</v>
      </c>
      <c r="F55" s="583">
        <v>100750</v>
      </c>
      <c r="G55" s="585">
        <f t="shared" si="14"/>
        <v>2115750</v>
      </c>
      <c r="H55" s="583">
        <v>2015000</v>
      </c>
      <c r="I55" s="583">
        <v>65000</v>
      </c>
      <c r="J55" s="608">
        <v>2</v>
      </c>
      <c r="K55" s="608">
        <v>2</v>
      </c>
      <c r="L55" s="1096" t="s">
        <v>387</v>
      </c>
      <c r="M55" s="583">
        <v>285000</v>
      </c>
      <c r="N55" s="583">
        <v>65000</v>
      </c>
      <c r="O55" s="574">
        <f t="shared" si="12"/>
        <v>350000</v>
      </c>
      <c r="P55" s="585">
        <f t="shared" si="15"/>
        <v>1730000</v>
      </c>
      <c r="Q55" s="585">
        <f t="shared" si="13"/>
        <v>0</v>
      </c>
      <c r="R55" s="624">
        <v>1365000</v>
      </c>
      <c r="S55" s="618">
        <f>P55+Q55</f>
        <v>1730000</v>
      </c>
      <c r="T55" s="618">
        <f>S55-R55</f>
        <v>365000</v>
      </c>
      <c r="U55" s="618">
        <f>350000-N55</f>
        <v>285000</v>
      </c>
      <c r="V55" s="616"/>
      <c r="W55" s="616"/>
    </row>
    <row r="56" spans="1:23">
      <c r="A56" s="578">
        <f t="shared" si="6"/>
        <v>52</v>
      </c>
      <c r="B56" s="1095" t="str">
        <f>B55</f>
        <v>29-8-2025</v>
      </c>
      <c r="C56" s="582" t="s">
        <v>450</v>
      </c>
      <c r="D56" s="582" t="s">
        <v>797</v>
      </c>
      <c r="E56" s="583">
        <v>1938000</v>
      </c>
      <c r="F56" s="583">
        <v>581400</v>
      </c>
      <c r="G56" s="585">
        <f t="shared" si="14"/>
        <v>2519400</v>
      </c>
      <c r="H56" s="583">
        <v>1180250</v>
      </c>
      <c r="I56" s="583">
        <v>339150</v>
      </c>
      <c r="J56" s="608">
        <v>12</v>
      </c>
      <c r="K56" s="608">
        <v>6</v>
      </c>
      <c r="L56" s="1096" t="s">
        <v>387</v>
      </c>
      <c r="M56" s="583">
        <v>151550</v>
      </c>
      <c r="N56" s="583">
        <v>48450</v>
      </c>
      <c r="O56" s="574">
        <f t="shared" si="12"/>
        <v>200000</v>
      </c>
      <c r="P56" s="585">
        <f t="shared" si="15"/>
        <v>1028700</v>
      </c>
      <c r="Q56" s="585">
        <f t="shared" si="13"/>
        <v>290700</v>
      </c>
      <c r="R56" s="624">
        <v>210000</v>
      </c>
      <c r="S56" s="618">
        <f>F56/J56</f>
        <v>48450</v>
      </c>
      <c r="T56" s="618">
        <f>1000000-N56</f>
        <v>951550</v>
      </c>
      <c r="U56" s="618"/>
      <c r="V56" s="616"/>
      <c r="W56" s="618">
        <f>200000-N56</f>
        <v>151550</v>
      </c>
    </row>
    <row r="57" spans="1:23">
      <c r="A57" s="578">
        <f t="shared" si="6"/>
        <v>53</v>
      </c>
      <c r="B57" s="1095" t="str">
        <f>B56</f>
        <v>29-8-2025</v>
      </c>
      <c r="C57" s="581" t="s">
        <v>305</v>
      </c>
      <c r="D57" s="581" t="s">
        <v>793</v>
      </c>
      <c r="E57" s="586">
        <v>604000</v>
      </c>
      <c r="F57" s="586">
        <v>181200</v>
      </c>
      <c r="G57" s="587">
        <f t="shared" si="14"/>
        <v>785200</v>
      </c>
      <c r="H57" s="586">
        <v>604000</v>
      </c>
      <c r="I57" s="586">
        <v>181200</v>
      </c>
      <c r="J57" s="609">
        <v>12</v>
      </c>
      <c r="K57" s="609"/>
      <c r="L57" s="581"/>
      <c r="M57" s="586"/>
      <c r="N57" s="586"/>
      <c r="O57" s="577">
        <f t="shared" si="12"/>
        <v>0</v>
      </c>
      <c r="P57" s="587">
        <f t="shared" si="15"/>
        <v>604000</v>
      </c>
      <c r="Q57" s="587">
        <f t="shared" si="13"/>
        <v>181200</v>
      </c>
      <c r="R57" s="624">
        <v>70000</v>
      </c>
      <c r="S57" s="618">
        <f>P56/J56</f>
        <v>85725</v>
      </c>
      <c r="T57" s="618"/>
      <c r="U57" s="616"/>
      <c r="V57" s="616"/>
      <c r="W57" s="616"/>
    </row>
    <row r="58" spans="1:23">
      <c r="A58" s="578">
        <f t="shared" si="6"/>
        <v>54</v>
      </c>
      <c r="B58" s="1095" t="s">
        <v>798</v>
      </c>
      <c r="C58" s="582" t="s">
        <v>799</v>
      </c>
      <c r="D58" s="582" t="s">
        <v>800</v>
      </c>
      <c r="E58" s="590">
        <v>3500000</v>
      </c>
      <c r="F58" s="590">
        <v>1050000</v>
      </c>
      <c r="G58" s="585">
        <f t="shared" si="14"/>
        <v>4550000</v>
      </c>
      <c r="H58" s="583">
        <v>2660000</v>
      </c>
      <c r="I58" s="590">
        <v>840000</v>
      </c>
      <c r="J58" s="608">
        <v>20</v>
      </c>
      <c r="K58" s="608">
        <v>5</v>
      </c>
      <c r="L58" s="1098" t="s">
        <v>333</v>
      </c>
      <c r="M58" s="590">
        <v>197500</v>
      </c>
      <c r="N58" s="590">
        <v>52500</v>
      </c>
      <c r="O58" s="574">
        <f t="shared" si="12"/>
        <v>250000</v>
      </c>
      <c r="P58" s="585">
        <f t="shared" si="15"/>
        <v>2462500</v>
      </c>
      <c r="Q58" s="585">
        <f t="shared" si="13"/>
        <v>787500</v>
      </c>
      <c r="R58" s="618">
        <f>F58/J58</f>
        <v>52500</v>
      </c>
      <c r="S58" s="618">
        <f>F58/J58</f>
        <v>52500</v>
      </c>
      <c r="T58" s="618">
        <f>250000-S58</f>
        <v>197500</v>
      </c>
      <c r="U58" s="616"/>
      <c r="V58" s="616"/>
      <c r="W58" s="616"/>
    </row>
    <row r="59" spans="1:23">
      <c r="A59" s="578">
        <f t="shared" si="6"/>
        <v>55</v>
      </c>
      <c r="B59" s="1095" t="s">
        <v>801</v>
      </c>
      <c r="C59" s="582" t="s">
        <v>802</v>
      </c>
      <c r="D59" s="582" t="s">
        <v>793</v>
      </c>
      <c r="E59" s="590">
        <v>1645000</v>
      </c>
      <c r="F59" s="590">
        <v>493500</v>
      </c>
      <c r="G59" s="585">
        <f t="shared" si="14"/>
        <v>2138500</v>
      </c>
      <c r="H59" s="583">
        <v>1188375</v>
      </c>
      <c r="I59" s="590">
        <v>370125</v>
      </c>
      <c r="J59" s="608">
        <v>12</v>
      </c>
      <c r="K59" s="608">
        <v>4</v>
      </c>
      <c r="L59" s="1098" t="s">
        <v>343</v>
      </c>
      <c r="M59" s="590">
        <v>158875</v>
      </c>
      <c r="N59" s="590">
        <v>41125</v>
      </c>
      <c r="O59" s="574">
        <f t="shared" si="12"/>
        <v>200000</v>
      </c>
      <c r="P59" s="585">
        <f t="shared" si="15"/>
        <v>1029500</v>
      </c>
      <c r="Q59" s="585">
        <f t="shared" si="13"/>
        <v>329000</v>
      </c>
      <c r="R59" s="624">
        <f>200000-N59</f>
        <v>158875</v>
      </c>
      <c r="S59" s="618"/>
      <c r="T59" s="618"/>
      <c r="U59" s="616"/>
      <c r="V59" s="616"/>
      <c r="W59" s="616"/>
    </row>
    <row r="60" spans="1:23">
      <c r="A60" s="578">
        <f t="shared" si="6"/>
        <v>56</v>
      </c>
      <c r="B60" s="1099" t="s">
        <v>803</v>
      </c>
      <c r="C60" s="582" t="s">
        <v>804</v>
      </c>
      <c r="D60" s="582" t="s">
        <v>756</v>
      </c>
      <c r="E60" s="590">
        <v>3000000</v>
      </c>
      <c r="F60" s="590">
        <v>450000</v>
      </c>
      <c r="G60" s="585">
        <f t="shared" si="14"/>
        <v>3450000</v>
      </c>
      <c r="H60" s="590">
        <v>3000000</v>
      </c>
      <c r="I60" s="590">
        <v>450000</v>
      </c>
      <c r="J60" s="608">
        <v>10</v>
      </c>
      <c r="K60" s="612">
        <v>1</v>
      </c>
      <c r="L60" s="1098" t="s">
        <v>669</v>
      </c>
      <c r="M60" s="590">
        <v>355000</v>
      </c>
      <c r="N60" s="590">
        <v>45000</v>
      </c>
      <c r="O60" s="574">
        <f t="shared" si="12"/>
        <v>400000</v>
      </c>
      <c r="P60" s="585">
        <f t="shared" si="15"/>
        <v>2645000</v>
      </c>
      <c r="Q60" s="585">
        <f t="shared" si="13"/>
        <v>405000</v>
      </c>
      <c r="R60" s="618">
        <f>400000-N60</f>
        <v>355000</v>
      </c>
      <c r="S60" s="618">
        <f>R54-N54</f>
        <v>221750</v>
      </c>
      <c r="T60" s="618"/>
      <c r="U60" s="616"/>
      <c r="V60" s="616"/>
      <c r="W60" s="616"/>
    </row>
    <row r="61" spans="1:23">
      <c r="A61" s="578">
        <f t="shared" si="6"/>
        <v>57</v>
      </c>
      <c r="B61" s="1099" t="s">
        <v>805</v>
      </c>
      <c r="C61" s="582" t="s">
        <v>806</v>
      </c>
      <c r="D61" s="582" t="s">
        <v>740</v>
      </c>
      <c r="E61" s="590">
        <v>20000000</v>
      </c>
      <c r="F61" s="590">
        <v>18000000</v>
      </c>
      <c r="G61" s="585">
        <f t="shared" si="14"/>
        <v>38000000</v>
      </c>
      <c r="H61" s="590">
        <v>20000000</v>
      </c>
      <c r="I61" s="590">
        <v>18000000</v>
      </c>
      <c r="J61" s="608">
        <v>60</v>
      </c>
      <c r="K61" s="608">
        <v>2</v>
      </c>
      <c r="L61" s="1098" t="s">
        <v>387</v>
      </c>
      <c r="M61" s="590">
        <v>668000</v>
      </c>
      <c r="N61" s="590">
        <v>600000</v>
      </c>
      <c r="O61" s="574">
        <f t="shared" si="12"/>
        <v>1268000</v>
      </c>
      <c r="P61" s="585">
        <f t="shared" si="15"/>
        <v>19332000</v>
      </c>
      <c r="Q61" s="585">
        <f t="shared" si="13"/>
        <v>17400000</v>
      </c>
      <c r="R61" s="618">
        <f>I61/J61</f>
        <v>300000</v>
      </c>
      <c r="S61" s="618"/>
      <c r="T61" s="618"/>
      <c r="U61" s="616"/>
      <c r="V61" s="616"/>
      <c r="W61" s="616"/>
    </row>
    <row r="62" spans="1:23">
      <c r="A62" s="578">
        <f t="shared" si="6"/>
        <v>58</v>
      </c>
      <c r="B62" s="1099" t="s">
        <v>379</v>
      </c>
      <c r="C62" s="592" t="s">
        <v>414</v>
      </c>
      <c r="D62" s="592" t="s">
        <v>807</v>
      </c>
      <c r="E62" s="593">
        <v>3500000</v>
      </c>
      <c r="F62" s="593">
        <v>1050000</v>
      </c>
      <c r="G62" s="587">
        <f t="shared" si="14"/>
        <v>4550000</v>
      </c>
      <c r="H62" s="593">
        <v>3500000</v>
      </c>
      <c r="I62" s="593">
        <v>1050000</v>
      </c>
      <c r="J62" s="591">
        <v>20</v>
      </c>
      <c r="K62" s="594"/>
      <c r="L62" s="594"/>
      <c r="M62" s="595"/>
      <c r="N62" s="595"/>
      <c r="O62" s="577"/>
      <c r="P62" s="587">
        <f t="shared" si="15"/>
        <v>3500000</v>
      </c>
      <c r="Q62" s="587">
        <f t="shared" si="13"/>
        <v>1050000</v>
      </c>
      <c r="R62" s="618" t="s">
        <v>808</v>
      </c>
      <c r="S62" s="618"/>
      <c r="T62" s="618"/>
      <c r="U62" s="616"/>
      <c r="V62" s="616"/>
      <c r="W62" s="616"/>
    </row>
    <row r="63" spans="1:23">
      <c r="A63" s="594" t="s">
        <v>809</v>
      </c>
      <c r="B63" s="594"/>
      <c r="C63" s="594"/>
      <c r="D63" s="594"/>
      <c r="E63" s="595">
        <f>SUM(E5:E37)</f>
        <v>368860600</v>
      </c>
      <c r="F63" s="595">
        <f>SUM(F5:F37)</f>
        <v>117338940</v>
      </c>
      <c r="G63" s="595"/>
      <c r="H63" s="595">
        <f>SUM(H5:H46)</f>
        <v>313401980</v>
      </c>
      <c r="I63" s="595"/>
      <c r="J63" s="594"/>
      <c r="K63" s="594"/>
      <c r="L63" s="594"/>
      <c r="M63" s="595">
        <f>SUM(M5:M59)</f>
        <v>20292906</v>
      </c>
      <c r="N63" s="595">
        <f>SUM(N5:N59)</f>
        <v>3631205</v>
      </c>
      <c r="O63" s="595">
        <f>SUM(O6:O61)</f>
        <v>25592111</v>
      </c>
      <c r="P63" s="613">
        <f>SUM(P5:P62)</f>
        <v>366183449</v>
      </c>
      <c r="Q63" s="595">
        <f>SUM(Q6:Q62)</f>
        <v>96985852</v>
      </c>
      <c r="R63" s="618"/>
      <c r="S63" s="618"/>
      <c r="T63" s="618"/>
      <c r="U63" s="616"/>
      <c r="V63" s="616"/>
      <c r="W63" s="616"/>
    </row>
    <row r="64" spans="5:23">
      <c r="E64" s="596"/>
      <c r="F64" s="596"/>
      <c r="L64" s="596"/>
      <c r="P64" s="614"/>
      <c r="Q64" s="625"/>
      <c r="R64" s="618">
        <f>Q43-N43</f>
        <v>36218700</v>
      </c>
      <c r="S64" s="618">
        <f>P43-M43</f>
        <v>64581300</v>
      </c>
      <c r="T64" s="618"/>
      <c r="U64" s="616"/>
      <c r="V64" s="616"/>
      <c r="W64" s="616"/>
    </row>
    <row r="65" spans="1:23">
      <c r="A65" s="626" t="s">
        <v>682</v>
      </c>
      <c r="B65" s="626"/>
      <c r="C65" s="626"/>
      <c r="D65" s="626"/>
      <c r="E65" s="626"/>
      <c r="F65" s="626"/>
      <c r="G65" s="626"/>
      <c r="H65" s="626"/>
      <c r="I65" s="626"/>
      <c r="J65" s="626"/>
      <c r="K65" s="626"/>
      <c r="L65" s="626"/>
      <c r="M65" s="626"/>
      <c r="N65" s="626"/>
      <c r="O65" s="626"/>
      <c r="P65" s="626"/>
      <c r="Q65" s="626"/>
      <c r="R65" s="618"/>
      <c r="S65" s="618"/>
      <c r="T65" s="618"/>
      <c r="U65" s="616"/>
      <c r="V65" s="616"/>
      <c r="W65" s="616"/>
    </row>
    <row r="66" spans="3:22">
      <c r="C66" s="626" t="s">
        <v>468</v>
      </c>
      <c r="D66" s="617"/>
      <c r="G66" s="626"/>
      <c r="H66" s="626"/>
      <c r="I66" s="626"/>
      <c r="J66" s="626"/>
      <c r="N66" s="632"/>
      <c r="O66" s="626" t="s">
        <v>467</v>
      </c>
      <c r="P66" s="626"/>
      <c r="Q66" s="626"/>
      <c r="T66" s="627"/>
      <c r="U66" s="627"/>
      <c r="V66" s="596"/>
    </row>
    <row r="67" spans="3:21">
      <c r="C67" s="626" t="s">
        <v>684</v>
      </c>
      <c r="D67" s="617"/>
      <c r="F67" s="626" t="s">
        <v>685</v>
      </c>
      <c r="G67" s="626"/>
      <c r="H67" s="626"/>
      <c r="I67" s="626"/>
      <c r="J67" s="626"/>
      <c r="K67" s="626"/>
      <c r="L67" s="626"/>
      <c r="N67" s="596"/>
      <c r="O67" s="626" t="s">
        <v>810</v>
      </c>
      <c r="P67" s="626"/>
      <c r="Q67" s="626"/>
      <c r="T67" s="596"/>
      <c r="U67" s="596"/>
    </row>
    <row r="68" spans="3:20">
      <c r="C68" s="617"/>
      <c r="D68" s="627"/>
      <c r="G68" s="628"/>
      <c r="H68" s="628"/>
      <c r="I68" s="628"/>
      <c r="J68" s="627"/>
      <c r="P68" s="615"/>
      <c r="Q68" s="615"/>
      <c r="T68" s="596"/>
    </row>
    <row r="69" spans="3:20">
      <c r="C69" s="627"/>
      <c r="D69" s="629"/>
      <c r="J69" s="627"/>
      <c r="P69" s="615"/>
      <c r="Q69" s="615"/>
      <c r="T69" s="596"/>
    </row>
    <row r="70" spans="3:14">
      <c r="C70" s="629"/>
      <c r="D70" s="629"/>
      <c r="J70" s="627"/>
      <c r="N70" s="596"/>
    </row>
    <row r="71" ht="16" spans="3:17">
      <c r="C71" s="630" t="s">
        <v>811</v>
      </c>
      <c r="D71" s="629"/>
      <c r="G71" s="631"/>
      <c r="H71" s="631" t="s">
        <v>470</v>
      </c>
      <c r="I71" s="631"/>
      <c r="J71" s="631"/>
      <c r="O71" s="630" t="s">
        <v>115</v>
      </c>
      <c r="P71" s="630"/>
      <c r="Q71" s="630"/>
    </row>
  </sheetData>
  <mergeCells count="20">
    <mergeCell ref="A1:Q1"/>
    <mergeCell ref="A2:Q2"/>
    <mergeCell ref="H3:I3"/>
    <mergeCell ref="K3:O3"/>
    <mergeCell ref="P3:Q3"/>
    <mergeCell ref="A63:D63"/>
    <mergeCell ref="J63:K63"/>
    <mergeCell ref="A65:Q65"/>
    <mergeCell ref="O66:Q66"/>
    <mergeCell ref="F67:L67"/>
    <mergeCell ref="O67:Q67"/>
    <mergeCell ref="O71:Q71"/>
    <mergeCell ref="A3:A4"/>
    <mergeCell ref="B3:B4"/>
    <mergeCell ref="C3:C4"/>
    <mergeCell ref="D3:D4"/>
    <mergeCell ref="E3:E4"/>
    <mergeCell ref="F3:F4"/>
    <mergeCell ref="G3:G4"/>
    <mergeCell ref="J3:J4"/>
  </mergeCells>
  <pageMargins left="0.314583333333333" right="0.25" top="0.879166666666667" bottom="0.75" header="0.3" footer="0.3"/>
  <pageSetup paperSize="5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8"/>
  <sheetViews>
    <sheetView view="pageBreakPreview" zoomScaleNormal="120" workbookViewId="0">
      <selection activeCell="D16" sqref="D16"/>
    </sheetView>
  </sheetViews>
  <sheetFormatPr defaultColWidth="9" defaultRowHeight="14.5"/>
  <cols>
    <col min="1" max="1" width="4" style="490" customWidth="1"/>
    <col min="2" max="2" width="21.1363636363636" style="491" customWidth="1"/>
    <col min="3" max="3" width="11.4272727272727" style="491" customWidth="1"/>
    <col min="4" max="4" width="12" style="491" customWidth="1"/>
    <col min="5" max="7" width="13" style="491" customWidth="1"/>
    <col min="8" max="8" width="12.7272727272727" style="491" customWidth="1"/>
    <col min="9" max="9" width="11.5727272727273" style="491" customWidth="1"/>
    <col min="10" max="10" width="13.4545454545455" style="491" customWidth="1"/>
    <col min="11" max="11" width="12" style="491" customWidth="1"/>
    <col min="12" max="12" width="11.0909090909091" style="491" customWidth="1"/>
    <col min="13" max="13" width="11.3636363636364" style="491" customWidth="1"/>
    <col min="14" max="19" width="12" style="491" customWidth="1"/>
    <col min="20" max="28" width="11.4272727272727" style="491" customWidth="1"/>
    <col min="29" max="29" width="19.1363636363636" style="491" customWidth="1"/>
    <col min="30" max="37" width="11.4272727272727" style="491" customWidth="1"/>
    <col min="38" max="16383" width="9" style="491"/>
  </cols>
  <sheetData>
    <row r="1" s="485" customFormat="1" ht="13.5" customHeight="1" spans="1:37">
      <c r="A1" s="492" t="s">
        <v>812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</row>
    <row r="2" s="485" customFormat="1" ht="13.5" customHeight="1" spans="1:37">
      <c r="A2" s="492" t="s">
        <v>813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</row>
    <row r="3" s="485" customFormat="1" ht="13.5" customHeight="1" spans="1:37">
      <c r="A3" s="492" t="s">
        <v>814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</row>
    <row r="5" s="486" customFormat="1" ht="12.75" customHeight="1" spans="1:20">
      <c r="A5" s="493" t="s">
        <v>478</v>
      </c>
      <c r="B5" s="494" t="s">
        <v>815</v>
      </c>
      <c r="C5" s="495" t="s">
        <v>179</v>
      </c>
      <c r="D5" s="496"/>
      <c r="E5" s="496"/>
      <c r="F5" s="496"/>
      <c r="G5" s="496"/>
      <c r="H5" s="496"/>
      <c r="I5" s="495" t="s">
        <v>180</v>
      </c>
      <c r="J5" s="496"/>
      <c r="K5" s="496"/>
      <c r="L5" s="496"/>
      <c r="M5" s="496"/>
      <c r="N5" s="496"/>
      <c r="O5" s="495" t="s">
        <v>816</v>
      </c>
      <c r="P5" s="496"/>
      <c r="Q5" s="496"/>
      <c r="R5" s="496"/>
      <c r="S5" s="496"/>
      <c r="T5" s="515"/>
    </row>
    <row r="6" s="486" customFormat="1" ht="12.75" customHeight="1" spans="1:20">
      <c r="A6" s="497"/>
      <c r="B6" s="498"/>
      <c r="C6" s="493" t="s">
        <v>125</v>
      </c>
      <c r="D6" s="494" t="s">
        <v>207</v>
      </c>
      <c r="E6" s="499" t="s">
        <v>817</v>
      </c>
      <c r="F6" s="499" t="s">
        <v>818</v>
      </c>
      <c r="G6" s="499"/>
      <c r="H6" s="499"/>
      <c r="I6" s="493" t="s">
        <v>125</v>
      </c>
      <c r="J6" s="494" t="s">
        <v>207</v>
      </c>
      <c r="K6" s="499" t="s">
        <v>817</v>
      </c>
      <c r="L6" s="499" t="s">
        <v>818</v>
      </c>
      <c r="M6" s="499"/>
      <c r="N6" s="499"/>
      <c r="O6" s="493" t="s">
        <v>125</v>
      </c>
      <c r="P6" s="494" t="s">
        <v>207</v>
      </c>
      <c r="Q6" s="499" t="s">
        <v>817</v>
      </c>
      <c r="R6" s="496" t="s">
        <v>818</v>
      </c>
      <c r="S6" s="496"/>
      <c r="T6" s="515"/>
    </row>
    <row r="7" s="486" customFormat="1" ht="12.75" customHeight="1" spans="1:20">
      <c r="A7" s="500"/>
      <c r="B7" s="501"/>
      <c r="C7" s="500"/>
      <c r="D7" s="501"/>
      <c r="E7" s="499"/>
      <c r="F7" s="502" t="s">
        <v>819</v>
      </c>
      <c r="G7" s="501" t="s">
        <v>820</v>
      </c>
      <c r="H7" s="503" t="s">
        <v>821</v>
      </c>
      <c r="I7" s="500"/>
      <c r="J7" s="501"/>
      <c r="K7" s="499"/>
      <c r="L7" s="502" t="s">
        <v>819</v>
      </c>
      <c r="M7" s="501" t="s">
        <v>820</v>
      </c>
      <c r="N7" s="500" t="s">
        <v>821</v>
      </c>
      <c r="O7" s="500"/>
      <c r="P7" s="501"/>
      <c r="Q7" s="499"/>
      <c r="R7" s="515" t="s">
        <v>819</v>
      </c>
      <c r="S7" s="499" t="s">
        <v>820</v>
      </c>
      <c r="T7" s="499" t="s">
        <v>821</v>
      </c>
    </row>
    <row r="8" s="487" customFormat="1" ht="12.75" customHeight="1" spans="1:23">
      <c r="A8" s="504">
        <v>1</v>
      </c>
      <c r="B8" s="505" t="s">
        <v>211</v>
      </c>
      <c r="C8" s="506">
        <f>SUM('RUGI LABA '!C12)</f>
        <v>3403256</v>
      </c>
      <c r="D8" s="507">
        <f>SUM('RUGI LABA '!F26)</f>
        <v>16640029.1666667</v>
      </c>
      <c r="E8" s="507">
        <f>SUM(C16-D8)</f>
        <v>437646.83333333</v>
      </c>
      <c r="F8" s="507">
        <f>E8*75%</f>
        <v>328235.124999998</v>
      </c>
      <c r="G8" s="507">
        <f>E8*20%</f>
        <v>87529.3666666661</v>
      </c>
      <c r="H8" s="508">
        <f>SUM(E8*5%)</f>
        <v>21882.3416666665</v>
      </c>
      <c r="I8" s="506"/>
      <c r="J8" s="507"/>
      <c r="K8" s="507"/>
      <c r="L8" s="507"/>
      <c r="M8" s="507"/>
      <c r="N8" s="507"/>
      <c r="O8" s="506"/>
      <c r="P8" s="507"/>
      <c r="Q8" s="507"/>
      <c r="R8" s="529"/>
      <c r="S8" s="507"/>
      <c r="T8" s="507"/>
      <c r="U8" s="530"/>
      <c r="V8" s="530">
        <f>SUM(C8+I8+O8)</f>
        <v>3403256</v>
      </c>
      <c r="W8" s="531">
        <v>8525975</v>
      </c>
    </row>
    <row r="9" s="487" customFormat="1" ht="12.75" customHeight="1" spans="1:22">
      <c r="A9" s="504">
        <v>2</v>
      </c>
      <c r="B9" s="505" t="s">
        <v>209</v>
      </c>
      <c r="C9" s="506">
        <f>SUM('RUGI LABA '!C9)</f>
        <v>8815913</v>
      </c>
      <c r="D9" s="507"/>
      <c r="E9" s="507"/>
      <c r="F9" s="507"/>
      <c r="G9" s="507"/>
      <c r="H9" s="508"/>
      <c r="I9" s="506"/>
      <c r="J9" s="507"/>
      <c r="K9" s="507"/>
      <c r="L9" s="507"/>
      <c r="M9" s="507"/>
      <c r="N9" s="507"/>
      <c r="O9" s="506"/>
      <c r="P9" s="507"/>
      <c r="Q9" s="507"/>
      <c r="R9" s="529"/>
      <c r="S9" s="507"/>
      <c r="T9" s="507"/>
      <c r="U9" s="530"/>
      <c r="V9" s="530">
        <f>C9+I9+O9</f>
        <v>8815913</v>
      </c>
    </row>
    <row r="10" s="487" customFormat="1" ht="12.75" customHeight="1" spans="1:22">
      <c r="A10" s="504">
        <v>3</v>
      </c>
      <c r="B10" s="505" t="s">
        <v>822</v>
      </c>
      <c r="C10" s="506">
        <f>SUM('RUGI LABA '!C13)</f>
        <v>3631205</v>
      </c>
      <c r="D10" s="507"/>
      <c r="E10" s="507"/>
      <c r="F10" s="507"/>
      <c r="G10" s="507"/>
      <c r="H10" s="508"/>
      <c r="I10" s="506"/>
      <c r="J10" s="507"/>
      <c r="K10" s="507"/>
      <c r="L10" s="507"/>
      <c r="M10" s="507"/>
      <c r="N10" s="507"/>
      <c r="O10" s="506"/>
      <c r="P10" s="507"/>
      <c r="Q10" s="507"/>
      <c r="R10" s="529"/>
      <c r="S10" s="507"/>
      <c r="T10" s="507"/>
      <c r="U10" s="530"/>
      <c r="V10" s="530">
        <f>C10+I10+O10</f>
        <v>3631205</v>
      </c>
    </row>
    <row r="11" s="487" customFormat="1" ht="12.75" customHeight="1" spans="1:22">
      <c r="A11" s="504">
        <v>4</v>
      </c>
      <c r="B11" s="505" t="s">
        <v>823</v>
      </c>
      <c r="C11" s="506">
        <f>SUM('RUGI LABA '!C14)</f>
        <v>0</v>
      </c>
      <c r="D11" s="507"/>
      <c r="E11" s="507"/>
      <c r="F11" s="507"/>
      <c r="G11" s="507"/>
      <c r="H11" s="508"/>
      <c r="I11" s="506"/>
      <c r="J11" s="507"/>
      <c r="K11" s="507"/>
      <c r="L11" s="507"/>
      <c r="M11" s="507"/>
      <c r="N11" s="507"/>
      <c r="O11" s="506"/>
      <c r="P11" s="507"/>
      <c r="Q11" s="507"/>
      <c r="R11" s="529"/>
      <c r="S11" s="507"/>
      <c r="T11" s="507"/>
      <c r="U11" s="530"/>
      <c r="V11" s="530">
        <f>C11+I11+O11</f>
        <v>0</v>
      </c>
    </row>
    <row r="12" s="487" customFormat="1" ht="12.75" customHeight="1" spans="1:26">
      <c r="A12" s="504">
        <v>5</v>
      </c>
      <c r="B12" s="505" t="s">
        <v>824</v>
      </c>
      <c r="C12" s="506">
        <f>SUM('RUGI LABA '!C10)</f>
        <v>800000</v>
      </c>
      <c r="D12" s="507"/>
      <c r="E12" s="507"/>
      <c r="F12" s="507"/>
      <c r="G12" s="507"/>
      <c r="H12" s="508"/>
      <c r="I12" s="506"/>
      <c r="J12" s="507"/>
      <c r="K12" s="507"/>
      <c r="L12" s="507"/>
      <c r="M12" s="507"/>
      <c r="N12" s="507"/>
      <c r="O12" s="506"/>
      <c r="P12" s="507"/>
      <c r="Q12" s="507"/>
      <c r="R12" s="529"/>
      <c r="S12" s="507"/>
      <c r="T12" s="507"/>
      <c r="U12" s="530"/>
      <c r="V12" s="530">
        <f>C12+I12+O12</f>
        <v>800000</v>
      </c>
      <c r="Z12" s="530">
        <f>SUM(V8+V22)</f>
        <v>3403256</v>
      </c>
    </row>
    <row r="13" s="487" customFormat="1" ht="12.75" customHeight="1" spans="1:26">
      <c r="A13" s="504">
        <v>6</v>
      </c>
      <c r="B13" s="505" t="s">
        <v>215</v>
      </c>
      <c r="C13" s="506">
        <v>0</v>
      </c>
      <c r="D13" s="507"/>
      <c r="E13" s="507"/>
      <c r="F13" s="507"/>
      <c r="G13" s="507"/>
      <c r="H13" s="508"/>
      <c r="I13" s="506"/>
      <c r="J13" s="507"/>
      <c r="K13" s="507"/>
      <c r="L13" s="507"/>
      <c r="M13" s="507"/>
      <c r="N13" s="507"/>
      <c r="O13" s="506"/>
      <c r="P13" s="507"/>
      <c r="Q13" s="507"/>
      <c r="R13" s="529"/>
      <c r="S13" s="507"/>
      <c r="T13" s="507"/>
      <c r="Z13" s="530">
        <f>V9+V23</f>
        <v>8815913</v>
      </c>
    </row>
    <row r="14" s="487" customFormat="1" ht="12.75" customHeight="1" spans="1:26">
      <c r="A14" s="504">
        <v>7</v>
      </c>
      <c r="B14" s="505" t="s">
        <v>214</v>
      </c>
      <c r="C14" s="506">
        <f>SUM('RUGI LABA '!C11)</f>
        <v>195000</v>
      </c>
      <c r="D14" s="507"/>
      <c r="E14" s="507"/>
      <c r="F14" s="507"/>
      <c r="G14" s="507"/>
      <c r="H14" s="508"/>
      <c r="I14" s="506"/>
      <c r="J14" s="507"/>
      <c r="K14" s="507"/>
      <c r="L14" s="507"/>
      <c r="M14" s="507"/>
      <c r="N14" s="507"/>
      <c r="O14" s="506"/>
      <c r="P14" s="507"/>
      <c r="Q14" s="507"/>
      <c r="R14" s="529"/>
      <c r="S14" s="507"/>
      <c r="T14" s="507"/>
      <c r="Z14" s="530"/>
    </row>
    <row r="15" s="487" customFormat="1" ht="12.75" customHeight="1" spans="1:26">
      <c r="A15" s="504">
        <v>8</v>
      </c>
      <c r="B15" s="505" t="s">
        <v>825</v>
      </c>
      <c r="C15" s="506">
        <f>SUM('RUGI LABA '!C16)</f>
        <v>232302</v>
      </c>
      <c r="D15" s="507"/>
      <c r="E15" s="507"/>
      <c r="F15" s="507"/>
      <c r="G15" s="507"/>
      <c r="H15" s="509"/>
      <c r="I15" s="506"/>
      <c r="J15" s="507"/>
      <c r="K15" s="507"/>
      <c r="L15" s="507"/>
      <c r="M15" s="507"/>
      <c r="N15" s="507"/>
      <c r="O15" s="506"/>
      <c r="P15" s="507"/>
      <c r="Q15" s="507"/>
      <c r="R15" s="529"/>
      <c r="S15" s="507"/>
      <c r="T15" s="507"/>
      <c r="Z15" s="530"/>
    </row>
    <row r="16" s="488" customFormat="1" ht="12.75" customHeight="1" spans="1:27">
      <c r="A16" s="499"/>
      <c r="B16" s="510" t="s">
        <v>109</v>
      </c>
      <c r="C16" s="511">
        <f>SUM(C8:C15)</f>
        <v>17077676</v>
      </c>
      <c r="D16" s="511"/>
      <c r="E16" s="511"/>
      <c r="F16" s="511"/>
      <c r="G16" s="511"/>
      <c r="H16" s="511"/>
      <c r="I16" s="511">
        <f>SUM(I8:I13)</f>
        <v>0</v>
      </c>
      <c r="J16" s="511"/>
      <c r="K16" s="511"/>
      <c r="L16" s="511"/>
      <c r="M16" s="511"/>
      <c r="N16" s="511"/>
      <c r="O16" s="511">
        <f>SUM(O8:O13)</f>
        <v>0</v>
      </c>
      <c r="P16" s="511"/>
      <c r="Q16" s="511"/>
      <c r="R16" s="511"/>
      <c r="S16" s="511"/>
      <c r="T16" s="511"/>
      <c r="U16" s="521"/>
      <c r="V16" s="521">
        <f>SUM(V8:V13)</f>
        <v>16650374</v>
      </c>
      <c r="W16" s="521">
        <f>D8+J8+P8</f>
        <v>16640029.1666667</v>
      </c>
      <c r="X16" s="522"/>
      <c r="Y16" s="522"/>
      <c r="Z16" s="522">
        <f>SUM(V10+V24)</f>
        <v>3631205</v>
      </c>
      <c r="AA16" s="522"/>
    </row>
    <row r="17" s="488" customFormat="1" ht="12.75" customHeight="1" spans="1:27">
      <c r="A17" s="512"/>
      <c r="B17" s="513"/>
      <c r="C17" s="514"/>
      <c r="D17" s="514"/>
      <c r="E17" s="514"/>
      <c r="F17" s="514"/>
      <c r="G17" s="514"/>
      <c r="H17" s="514"/>
      <c r="I17" s="514"/>
      <c r="J17" s="514"/>
      <c r="K17" s="514"/>
      <c r="L17" s="514">
        <f>SUM(F8+L8)</f>
        <v>328235.124999998</v>
      </c>
      <c r="M17" s="514">
        <f>SUM(G8+M8)</f>
        <v>87529.3666666661</v>
      </c>
      <c r="N17" s="514"/>
      <c r="O17" s="514"/>
      <c r="P17" s="514"/>
      <c r="Q17" s="514"/>
      <c r="R17" s="514">
        <f>SUM(L17+R8)</f>
        <v>328235.124999998</v>
      </c>
      <c r="S17" s="514">
        <f>SUM(M17+S8)</f>
        <v>87529.3666666661</v>
      </c>
      <c r="W17" s="521">
        <f>E8+K8+Q8</f>
        <v>437646.83333333</v>
      </c>
      <c r="X17" s="532">
        <f>W17*75%</f>
        <v>328235.124999998</v>
      </c>
      <c r="Y17" s="532"/>
      <c r="Z17" s="532">
        <f>SUM(V11+V25)</f>
        <v>0</v>
      </c>
      <c r="AA17" s="532"/>
    </row>
    <row r="18" s="488" customFormat="1" ht="12.75" customHeight="1" spans="1:27">
      <c r="A18" s="512"/>
      <c r="B18" s="513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W18" s="521">
        <f>V16-W16</f>
        <v>10344.8333333302</v>
      </c>
      <c r="X18" s="532">
        <f>W17*20%</f>
        <v>87529.3666666661</v>
      </c>
      <c r="Y18" s="532">
        <f>F8+L8+R8</f>
        <v>328235.124999998</v>
      </c>
      <c r="Z18" s="532">
        <f>SUM(V12+V26)</f>
        <v>800000</v>
      </c>
      <c r="AA18" s="532">
        <f>W16+W28</f>
        <v>16640029.1666667</v>
      </c>
    </row>
    <row r="19" s="488" customFormat="1" ht="12.75" customHeight="1" spans="1:27">
      <c r="A19" s="493" t="s">
        <v>478</v>
      </c>
      <c r="B19" s="494" t="s">
        <v>815</v>
      </c>
      <c r="C19" s="495" t="s">
        <v>826</v>
      </c>
      <c r="D19" s="496"/>
      <c r="E19" s="496"/>
      <c r="F19" s="496"/>
      <c r="G19" s="515"/>
      <c r="H19" s="496"/>
      <c r="I19" s="495" t="s">
        <v>183</v>
      </c>
      <c r="J19" s="496"/>
      <c r="K19" s="496"/>
      <c r="L19" s="496"/>
      <c r="M19" s="515"/>
      <c r="N19" s="496"/>
      <c r="O19" s="495" t="s">
        <v>827</v>
      </c>
      <c r="P19" s="496"/>
      <c r="Q19" s="496"/>
      <c r="R19" s="496"/>
      <c r="S19" s="496"/>
      <c r="T19" s="515"/>
      <c r="X19" s="521">
        <f>W17*5%</f>
        <v>21882.3416666665</v>
      </c>
      <c r="Z19" s="521">
        <f>SUM(Z12:Z18)</f>
        <v>16650374</v>
      </c>
      <c r="AA19" s="521">
        <f>W17+W29</f>
        <v>437646.83333333</v>
      </c>
    </row>
    <row r="20" s="488" customFormat="1" ht="12.75" customHeight="1" spans="1:28">
      <c r="A20" s="497"/>
      <c r="B20" s="498"/>
      <c r="C20" s="493" t="s">
        <v>125</v>
      </c>
      <c r="D20" s="494" t="s">
        <v>207</v>
      </c>
      <c r="E20" s="499" t="s">
        <v>817</v>
      </c>
      <c r="F20" s="516" t="s">
        <v>818</v>
      </c>
      <c r="G20" s="516"/>
      <c r="H20" s="517"/>
      <c r="I20" s="493" t="s">
        <v>125</v>
      </c>
      <c r="J20" s="494" t="s">
        <v>207</v>
      </c>
      <c r="K20" s="499" t="s">
        <v>817</v>
      </c>
      <c r="L20" s="516" t="s">
        <v>818</v>
      </c>
      <c r="M20" s="516"/>
      <c r="N20" s="517"/>
      <c r="O20" s="493" t="s">
        <v>125</v>
      </c>
      <c r="P20" s="494" t="s">
        <v>207</v>
      </c>
      <c r="Q20" s="499" t="s">
        <v>817</v>
      </c>
      <c r="R20" s="533" t="s">
        <v>818</v>
      </c>
      <c r="S20" s="534"/>
      <c r="T20" s="534"/>
      <c r="AA20" s="521">
        <f>AA19*75%</f>
        <v>328235.124999998</v>
      </c>
      <c r="AB20" s="521">
        <f>AA19*20%</f>
        <v>87529.3666666661</v>
      </c>
    </row>
    <row r="21" s="488" customFormat="1" ht="12.75" customHeight="1" spans="1:28">
      <c r="A21" s="500"/>
      <c r="B21" s="501"/>
      <c r="C21" s="500"/>
      <c r="D21" s="501"/>
      <c r="E21" s="499"/>
      <c r="F21" s="502" t="s">
        <v>819</v>
      </c>
      <c r="G21" s="501" t="s">
        <v>820</v>
      </c>
      <c r="H21" s="500" t="s">
        <v>821</v>
      </c>
      <c r="I21" s="500"/>
      <c r="J21" s="501"/>
      <c r="K21" s="499"/>
      <c r="L21" s="502" t="s">
        <v>819</v>
      </c>
      <c r="M21" s="501" t="s">
        <v>820</v>
      </c>
      <c r="N21" s="500" t="s">
        <v>821</v>
      </c>
      <c r="O21" s="500"/>
      <c r="P21" s="501"/>
      <c r="Q21" s="499"/>
      <c r="R21" s="515" t="s">
        <v>819</v>
      </c>
      <c r="S21" s="499" t="s">
        <v>820</v>
      </c>
      <c r="T21" s="499" t="s">
        <v>821</v>
      </c>
      <c r="AA21" s="521">
        <f>SUM(AA19*20%)</f>
        <v>87529.3666666661</v>
      </c>
      <c r="AB21" s="521">
        <f>X18+X30</f>
        <v>87529.3666666661</v>
      </c>
    </row>
    <row r="22" s="488" customFormat="1" ht="12.75" customHeight="1" spans="1:27">
      <c r="A22" s="504">
        <v>1</v>
      </c>
      <c r="B22" s="505" t="s">
        <v>211</v>
      </c>
      <c r="C22" s="506"/>
      <c r="D22" s="507"/>
      <c r="E22" s="507"/>
      <c r="F22" s="507"/>
      <c r="G22" s="507"/>
      <c r="H22" s="507"/>
      <c r="I22" s="506"/>
      <c r="J22" s="507"/>
      <c r="K22" s="507"/>
      <c r="L22" s="507"/>
      <c r="M22" s="507"/>
      <c r="N22" s="507"/>
      <c r="O22" s="506"/>
      <c r="P22" s="507"/>
      <c r="Q22" s="507"/>
      <c r="R22" s="529"/>
      <c r="S22" s="507"/>
      <c r="T22" s="507"/>
      <c r="U22" s="521"/>
      <c r="V22" s="521">
        <f>SUM(C22+I22+O22)</f>
        <v>0</v>
      </c>
      <c r="AA22" s="521">
        <f>SUM(AA19*5%)</f>
        <v>21882.3416666665</v>
      </c>
    </row>
    <row r="23" s="488" customFormat="1" ht="12.75" customHeight="1" spans="1:22">
      <c r="A23" s="504">
        <v>2</v>
      </c>
      <c r="B23" s="505" t="s">
        <v>209</v>
      </c>
      <c r="C23" s="506"/>
      <c r="D23" s="507"/>
      <c r="E23" s="507"/>
      <c r="F23" s="507"/>
      <c r="G23" s="507"/>
      <c r="H23" s="507"/>
      <c r="I23" s="506"/>
      <c r="J23" s="507"/>
      <c r="K23" s="507"/>
      <c r="L23" s="507"/>
      <c r="M23" s="507"/>
      <c r="N23" s="507"/>
      <c r="O23" s="506"/>
      <c r="P23" s="507"/>
      <c r="Q23" s="507"/>
      <c r="R23" s="529"/>
      <c r="S23" s="507"/>
      <c r="T23" s="507"/>
      <c r="U23" s="521"/>
      <c r="V23" s="521">
        <f>C23+I23+O23</f>
        <v>0</v>
      </c>
    </row>
    <row r="24" s="488" customFormat="1" ht="12.75" customHeight="1" spans="1:22">
      <c r="A24" s="504">
        <v>3</v>
      </c>
      <c r="B24" s="505" t="s">
        <v>822</v>
      </c>
      <c r="C24" s="506"/>
      <c r="D24" s="507"/>
      <c r="E24" s="507"/>
      <c r="F24" s="507"/>
      <c r="G24" s="507"/>
      <c r="H24" s="507"/>
      <c r="I24" s="506"/>
      <c r="J24" s="507"/>
      <c r="K24" s="507"/>
      <c r="L24" s="507"/>
      <c r="M24" s="507"/>
      <c r="N24" s="507"/>
      <c r="O24" s="506"/>
      <c r="P24" s="507"/>
      <c r="Q24" s="507"/>
      <c r="R24" s="529"/>
      <c r="S24" s="507"/>
      <c r="T24" s="507"/>
      <c r="U24" s="521"/>
      <c r="V24" s="521">
        <f>C24+I24+O24</f>
        <v>0</v>
      </c>
    </row>
    <row r="25" s="488" customFormat="1" ht="12.75" customHeight="1" spans="1:22">
      <c r="A25" s="504">
        <v>4</v>
      </c>
      <c r="B25" s="505" t="s">
        <v>823</v>
      </c>
      <c r="C25" s="506"/>
      <c r="D25" s="507"/>
      <c r="E25" s="507"/>
      <c r="F25" s="507"/>
      <c r="G25" s="507"/>
      <c r="H25" s="507"/>
      <c r="I25" s="506"/>
      <c r="J25" s="507"/>
      <c r="K25" s="507"/>
      <c r="L25" s="507"/>
      <c r="M25" s="507"/>
      <c r="N25" s="507"/>
      <c r="O25" s="506"/>
      <c r="P25" s="507"/>
      <c r="Q25" s="507"/>
      <c r="R25" s="529"/>
      <c r="S25" s="507"/>
      <c r="T25" s="507"/>
      <c r="U25" s="521"/>
      <c r="V25" s="521">
        <f>C25+I25+O25</f>
        <v>0</v>
      </c>
    </row>
    <row r="26" s="488" customFormat="1" ht="12.75" customHeight="1" spans="1:22">
      <c r="A26" s="504">
        <v>5</v>
      </c>
      <c r="B26" s="505" t="s">
        <v>824</v>
      </c>
      <c r="C26" s="506"/>
      <c r="D26" s="507"/>
      <c r="E26" s="507"/>
      <c r="F26" s="507"/>
      <c r="G26" s="507"/>
      <c r="H26" s="507"/>
      <c r="I26" s="506"/>
      <c r="J26" s="507"/>
      <c r="K26" s="507"/>
      <c r="L26" s="507"/>
      <c r="M26" s="507"/>
      <c r="N26" s="507"/>
      <c r="O26" s="506"/>
      <c r="P26" s="507"/>
      <c r="Q26" s="507"/>
      <c r="R26" s="529"/>
      <c r="S26" s="507"/>
      <c r="T26" s="507"/>
      <c r="U26" s="521"/>
      <c r="V26" s="521">
        <f>C26+I26+O26</f>
        <v>0</v>
      </c>
    </row>
    <row r="27" s="488" customFormat="1" ht="12.75" customHeight="1" spans="1:29">
      <c r="A27" s="504">
        <v>6</v>
      </c>
      <c r="B27" s="505" t="s">
        <v>828</v>
      </c>
      <c r="C27" s="506"/>
      <c r="D27" s="507"/>
      <c r="E27" s="507"/>
      <c r="F27" s="507"/>
      <c r="G27" s="507"/>
      <c r="H27" s="507"/>
      <c r="I27" s="506"/>
      <c r="J27" s="507"/>
      <c r="K27" s="507"/>
      <c r="L27" s="507"/>
      <c r="M27" s="507"/>
      <c r="N27" s="507"/>
      <c r="O27" s="506"/>
      <c r="P27" s="507"/>
      <c r="Q27" s="507"/>
      <c r="R27" s="529"/>
      <c r="S27" s="507"/>
      <c r="T27" s="507"/>
      <c r="AB27" s="488" t="s">
        <v>829</v>
      </c>
      <c r="AC27" s="521">
        <f>Z13+AA43</f>
        <v>8815913</v>
      </c>
    </row>
    <row r="28" s="488" customFormat="1" ht="12.75" customHeight="1" spans="1:29">
      <c r="A28" s="499"/>
      <c r="B28" s="510" t="s">
        <v>109</v>
      </c>
      <c r="C28" s="511">
        <f>SUM(C22:C27)</f>
        <v>0</v>
      </c>
      <c r="D28" s="511"/>
      <c r="E28" s="511"/>
      <c r="F28" s="511"/>
      <c r="G28" s="511"/>
      <c r="H28" s="511"/>
      <c r="I28" s="511">
        <f>SUM(I22:I26)</f>
        <v>0</v>
      </c>
      <c r="J28" s="511"/>
      <c r="K28" s="511"/>
      <c r="L28" s="511"/>
      <c r="M28" s="511"/>
      <c r="N28" s="511"/>
      <c r="O28" s="511">
        <f>SUM(O22:O26)</f>
        <v>0</v>
      </c>
      <c r="P28" s="511"/>
      <c r="Q28" s="511"/>
      <c r="R28" s="511"/>
      <c r="S28" s="511"/>
      <c r="T28" s="511"/>
      <c r="U28" s="521"/>
      <c r="V28" s="521">
        <f>C28+I28+O28</f>
        <v>0</v>
      </c>
      <c r="W28" s="521">
        <f>D22+J22+P22</f>
        <v>0</v>
      </c>
      <c r="X28" s="521"/>
      <c r="AB28" s="488" t="s">
        <v>830</v>
      </c>
      <c r="AC28" s="521" t="e">
        <f>#REF!+AA44</f>
        <v>#REF!</v>
      </c>
    </row>
    <row r="29" s="488" customFormat="1" ht="12.75" customHeight="1" spans="1:29">
      <c r="A29" s="512"/>
      <c r="B29" s="513"/>
      <c r="C29" s="514"/>
      <c r="D29" s="514"/>
      <c r="E29" s="514"/>
      <c r="F29" s="514">
        <f>SUM(F22+R17)</f>
        <v>328235.124999998</v>
      </c>
      <c r="G29" s="514">
        <f>SUM(G22+S17)</f>
        <v>87529.3666666661</v>
      </c>
      <c r="H29" s="514"/>
      <c r="I29" s="514"/>
      <c r="J29" s="514"/>
      <c r="K29" s="514"/>
      <c r="L29" s="514">
        <f>SUM(L22+F29)</f>
        <v>328235.124999998</v>
      </c>
      <c r="M29" s="514">
        <f>SUM(M22+G29)</f>
        <v>87529.3666666661</v>
      </c>
      <c r="N29" s="514"/>
      <c r="O29" s="514"/>
      <c r="P29" s="514"/>
      <c r="Q29" s="514"/>
      <c r="R29" s="514">
        <f>SUM(R22+L29)</f>
        <v>328235.124999998</v>
      </c>
      <c r="S29" s="514">
        <f>SUM(S22+M29)</f>
        <v>87529.3666666661</v>
      </c>
      <c r="W29" s="521">
        <f>V28-W28</f>
        <v>0</v>
      </c>
      <c r="X29" s="521">
        <f>W29*75%</f>
        <v>0</v>
      </c>
      <c r="AB29" s="488" t="s">
        <v>831</v>
      </c>
      <c r="AC29" s="521">
        <f>Z16+AA45</f>
        <v>13923605</v>
      </c>
    </row>
    <row r="30" s="488" customFormat="1" ht="12.75" customHeight="1" spans="1:37">
      <c r="A30" s="512"/>
      <c r="B30" s="513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22"/>
      <c r="U30" s="522"/>
      <c r="V30" s="522"/>
      <c r="W30" s="522">
        <f>Q22+K22+E22</f>
        <v>0</v>
      </c>
      <c r="X30" s="522">
        <f>W30*20%</f>
        <v>0</v>
      </c>
      <c r="Y30" s="522"/>
      <c r="Z30" s="522"/>
      <c r="AA30" s="522"/>
      <c r="AB30" s="522" t="s">
        <v>832</v>
      </c>
      <c r="AC30" s="522">
        <f>Z17+AA46</f>
        <v>0</v>
      </c>
      <c r="AD30" s="522"/>
      <c r="AE30" s="522"/>
      <c r="AF30" s="522"/>
      <c r="AG30" s="522"/>
      <c r="AH30" s="522"/>
      <c r="AI30" s="522"/>
      <c r="AJ30" s="522"/>
      <c r="AK30" s="522"/>
    </row>
    <row r="31" s="488" customFormat="1" ht="12.75" customHeight="1" spans="1:37">
      <c r="A31" s="493" t="s">
        <v>478</v>
      </c>
      <c r="B31" s="494" t="s">
        <v>815</v>
      </c>
      <c r="C31" s="495" t="s">
        <v>833</v>
      </c>
      <c r="D31" s="496"/>
      <c r="E31" s="496"/>
      <c r="F31" s="496"/>
      <c r="G31" s="515"/>
      <c r="H31" s="496"/>
      <c r="I31" s="495" t="s">
        <v>834</v>
      </c>
      <c r="J31" s="496"/>
      <c r="K31" s="496"/>
      <c r="L31" s="496"/>
      <c r="M31" s="496"/>
      <c r="N31" s="496"/>
      <c r="O31" s="495" t="s">
        <v>835</v>
      </c>
      <c r="P31" s="496"/>
      <c r="Q31" s="496"/>
      <c r="R31" s="496"/>
      <c r="S31" s="496"/>
      <c r="T31" s="515"/>
      <c r="X31" s="521">
        <f>SUM(W29*5%)</f>
        <v>0</v>
      </c>
      <c r="Y31" s="522"/>
      <c r="Z31" s="522"/>
      <c r="AA31" s="522"/>
      <c r="AB31" s="522" t="s">
        <v>836</v>
      </c>
      <c r="AC31" s="522">
        <f>AA47</f>
        <v>0</v>
      </c>
      <c r="AD31" s="522"/>
      <c r="AE31" s="522"/>
      <c r="AF31" s="522"/>
      <c r="AG31" s="522"/>
      <c r="AH31" s="522"/>
      <c r="AI31" s="522"/>
      <c r="AJ31" s="522"/>
      <c r="AK31" s="522"/>
    </row>
    <row r="32" s="488" customFormat="1" ht="12.75" customHeight="1" spans="1:29">
      <c r="A32" s="497"/>
      <c r="B32" s="498"/>
      <c r="C32" s="493" t="s">
        <v>125</v>
      </c>
      <c r="D32" s="494" t="s">
        <v>207</v>
      </c>
      <c r="E32" s="499" t="s">
        <v>817</v>
      </c>
      <c r="F32" s="499" t="s">
        <v>818</v>
      </c>
      <c r="G32" s="499"/>
      <c r="H32" s="499"/>
      <c r="I32" s="493" t="s">
        <v>125</v>
      </c>
      <c r="J32" s="494" t="s">
        <v>207</v>
      </c>
      <c r="K32" s="499" t="s">
        <v>817</v>
      </c>
      <c r="L32" s="516" t="s">
        <v>818</v>
      </c>
      <c r="M32" s="516"/>
      <c r="N32" s="517"/>
      <c r="O32" s="493" t="s">
        <v>125</v>
      </c>
      <c r="P32" s="494" t="s">
        <v>207</v>
      </c>
      <c r="Q32" s="499" t="s">
        <v>817</v>
      </c>
      <c r="R32" s="496" t="s">
        <v>818</v>
      </c>
      <c r="S32" s="496"/>
      <c r="T32" s="515"/>
      <c r="U32" s="522"/>
      <c r="V32" s="522"/>
      <c r="W32" s="522"/>
      <c r="X32" s="522"/>
      <c r="AC32" s="521" t="e">
        <f>SUM(AC27:AC31)</f>
        <v>#REF!</v>
      </c>
    </row>
    <row r="33" s="488" customFormat="1" ht="12.75" customHeight="1" spans="1:29">
      <c r="A33" s="500"/>
      <c r="B33" s="501"/>
      <c r="C33" s="500"/>
      <c r="D33" s="501"/>
      <c r="E33" s="499"/>
      <c r="F33" s="502" t="s">
        <v>819</v>
      </c>
      <c r="G33" s="501" t="s">
        <v>820</v>
      </c>
      <c r="H33" s="500" t="s">
        <v>821</v>
      </c>
      <c r="I33" s="500"/>
      <c r="J33" s="501"/>
      <c r="K33" s="499"/>
      <c r="L33" s="499" t="s">
        <v>819</v>
      </c>
      <c r="M33" s="499" t="s">
        <v>820</v>
      </c>
      <c r="N33" s="520" t="s">
        <v>821</v>
      </c>
      <c r="O33" s="500"/>
      <c r="P33" s="501"/>
      <c r="Q33" s="499"/>
      <c r="R33" s="515" t="s">
        <v>819</v>
      </c>
      <c r="S33" s="499" t="s">
        <v>820</v>
      </c>
      <c r="T33" s="499" t="s">
        <v>821</v>
      </c>
      <c r="U33" s="522"/>
      <c r="V33" s="522"/>
      <c r="W33" s="522" t="s">
        <v>837</v>
      </c>
      <c r="X33" s="522" t="s">
        <v>838</v>
      </c>
      <c r="Y33" s="488" t="s">
        <v>839</v>
      </c>
      <c r="AC33" s="521">
        <f>Z18+AA48</f>
        <v>11092400</v>
      </c>
    </row>
    <row r="34" s="488" customFormat="1" ht="12.75" customHeight="1" spans="1:25">
      <c r="A34" s="504">
        <v>1</v>
      </c>
      <c r="B34" s="505" t="s">
        <v>211</v>
      </c>
      <c r="C34" s="506"/>
      <c r="D34" s="507"/>
      <c r="E34" s="507"/>
      <c r="F34" s="507"/>
      <c r="G34" s="507"/>
      <c r="H34" s="507"/>
      <c r="I34" s="506"/>
      <c r="J34" s="507"/>
      <c r="K34" s="507"/>
      <c r="L34" s="507"/>
      <c r="M34" s="507"/>
      <c r="N34" s="507"/>
      <c r="O34" s="506"/>
      <c r="P34" s="507"/>
      <c r="Q34" s="507"/>
      <c r="R34" s="529"/>
      <c r="S34" s="507"/>
      <c r="T34" s="507"/>
      <c r="U34" s="522"/>
      <c r="V34" s="522">
        <f>C34+I34+O34</f>
        <v>0</v>
      </c>
      <c r="W34" s="522">
        <f>D34+J34+P34</f>
        <v>0</v>
      </c>
      <c r="X34" s="522">
        <f>F34+L34+R34</f>
        <v>0</v>
      </c>
      <c r="Y34" s="521">
        <f>G34+M34+S34</f>
        <v>0</v>
      </c>
    </row>
    <row r="35" s="488" customFormat="1" ht="12.75" customHeight="1" spans="1:24">
      <c r="A35" s="504">
        <v>2</v>
      </c>
      <c r="B35" s="505" t="s">
        <v>209</v>
      </c>
      <c r="C35" s="506"/>
      <c r="D35" s="507"/>
      <c r="E35" s="507"/>
      <c r="F35" s="507"/>
      <c r="G35" s="507"/>
      <c r="H35" s="507"/>
      <c r="I35" s="506"/>
      <c r="J35" s="507"/>
      <c r="K35" s="507"/>
      <c r="L35" s="507"/>
      <c r="M35" s="507"/>
      <c r="N35" s="507"/>
      <c r="O35" s="506"/>
      <c r="P35" s="507"/>
      <c r="Q35" s="507"/>
      <c r="R35" s="529"/>
      <c r="S35" s="507"/>
      <c r="T35" s="507"/>
      <c r="U35" s="522"/>
      <c r="V35" s="522">
        <f>C35+I35+O35</f>
        <v>0</v>
      </c>
      <c r="W35" s="522"/>
      <c r="X35" s="522"/>
    </row>
    <row r="36" s="488" customFormat="1" ht="12.75" customHeight="1" spans="1:24">
      <c r="A36" s="504">
        <v>3</v>
      </c>
      <c r="B36" s="505" t="s">
        <v>822</v>
      </c>
      <c r="C36" s="506"/>
      <c r="D36" s="507"/>
      <c r="E36" s="507"/>
      <c r="F36" s="507"/>
      <c r="G36" s="507"/>
      <c r="H36" s="507"/>
      <c r="I36" s="506"/>
      <c r="J36" s="507"/>
      <c r="K36" s="507"/>
      <c r="L36" s="507"/>
      <c r="M36" s="507"/>
      <c r="N36" s="507"/>
      <c r="O36" s="506"/>
      <c r="P36" s="507"/>
      <c r="Q36" s="507"/>
      <c r="R36" s="529"/>
      <c r="S36" s="507"/>
      <c r="T36" s="507"/>
      <c r="U36" s="522"/>
      <c r="V36" s="522">
        <f>C36+I36+O36</f>
        <v>0</v>
      </c>
      <c r="W36" s="522"/>
      <c r="X36" s="522"/>
    </row>
    <row r="37" s="488" customFormat="1" ht="12.75" customHeight="1" spans="1:24">
      <c r="A37" s="504">
        <v>4</v>
      </c>
      <c r="B37" s="505" t="s">
        <v>823</v>
      </c>
      <c r="C37" s="506"/>
      <c r="D37" s="507"/>
      <c r="E37" s="507"/>
      <c r="F37" s="507"/>
      <c r="G37" s="507"/>
      <c r="H37" s="507"/>
      <c r="I37" s="506"/>
      <c r="J37" s="507"/>
      <c r="K37" s="507"/>
      <c r="L37" s="507"/>
      <c r="M37" s="507"/>
      <c r="N37" s="507"/>
      <c r="O37" s="506"/>
      <c r="P37" s="507"/>
      <c r="Q37" s="507"/>
      <c r="R37" s="529"/>
      <c r="S37" s="507"/>
      <c r="T37" s="507"/>
      <c r="U37" s="522"/>
      <c r="V37" s="522">
        <f>C37+I37+O37</f>
        <v>0</v>
      </c>
      <c r="W37" s="522"/>
      <c r="X37" s="522"/>
    </row>
    <row r="38" s="488" customFormat="1" ht="12.75" customHeight="1" spans="1:24">
      <c r="A38" s="504">
        <v>5</v>
      </c>
      <c r="B38" s="505" t="s">
        <v>824</v>
      </c>
      <c r="C38" s="506"/>
      <c r="D38" s="507"/>
      <c r="E38" s="507"/>
      <c r="F38" s="507"/>
      <c r="G38" s="507"/>
      <c r="H38" s="507"/>
      <c r="I38" s="506"/>
      <c r="J38" s="507"/>
      <c r="K38" s="507"/>
      <c r="L38" s="507"/>
      <c r="M38" s="507"/>
      <c r="N38" s="507"/>
      <c r="O38" s="506"/>
      <c r="P38" s="507"/>
      <c r="Q38" s="507"/>
      <c r="R38" s="529"/>
      <c r="S38" s="507"/>
      <c r="T38" s="507"/>
      <c r="U38" s="522"/>
      <c r="V38" s="522">
        <f>C38+I38+O38</f>
        <v>0</v>
      </c>
      <c r="W38" s="522"/>
      <c r="X38" s="522"/>
    </row>
    <row r="39" s="488" customFormat="1" ht="12.75" customHeight="1" spans="1:24">
      <c r="A39" s="504">
        <v>6</v>
      </c>
      <c r="B39" s="505" t="s">
        <v>828</v>
      </c>
      <c r="C39" s="506"/>
      <c r="D39" s="507"/>
      <c r="E39" s="507"/>
      <c r="F39" s="507"/>
      <c r="G39" s="507"/>
      <c r="H39" s="507"/>
      <c r="I39" s="506"/>
      <c r="J39" s="507"/>
      <c r="K39" s="507"/>
      <c r="L39" s="507"/>
      <c r="M39" s="507"/>
      <c r="N39" s="507"/>
      <c r="O39" s="506"/>
      <c r="P39" s="507"/>
      <c r="Q39" s="507"/>
      <c r="R39" s="529"/>
      <c r="S39" s="507"/>
      <c r="T39" s="507"/>
      <c r="U39" s="522"/>
      <c r="V39" s="522">
        <f>SUM(V34:V38)</f>
        <v>0</v>
      </c>
      <c r="W39" s="522"/>
      <c r="X39" s="522"/>
    </row>
    <row r="40" s="488" customFormat="1" ht="12.75" customHeight="1" spans="1:30">
      <c r="A40" s="504">
        <v>7</v>
      </c>
      <c r="B40" s="505" t="s">
        <v>214</v>
      </c>
      <c r="C40" s="511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06"/>
      <c r="P40" s="511"/>
      <c r="Q40" s="511"/>
      <c r="R40" s="511"/>
      <c r="S40" s="511"/>
      <c r="T40" s="511"/>
      <c r="U40" s="522"/>
      <c r="V40" s="522"/>
      <c r="W40" s="522"/>
      <c r="X40" s="522"/>
      <c r="AA40" s="521"/>
      <c r="AB40" s="521"/>
      <c r="AC40" s="521"/>
      <c r="AD40" s="521"/>
    </row>
    <row r="41" s="488" customFormat="1" ht="12.75" customHeight="1" spans="1:30">
      <c r="A41" s="499"/>
      <c r="B41" s="510" t="s">
        <v>109</v>
      </c>
      <c r="C41" s="511">
        <f>SUM(C34:C39)</f>
        <v>0</v>
      </c>
      <c r="D41" s="511"/>
      <c r="E41" s="511"/>
      <c r="F41" s="511"/>
      <c r="G41" s="511"/>
      <c r="H41" s="511"/>
      <c r="I41" s="511">
        <f>SUM(I34:I39)</f>
        <v>0</v>
      </c>
      <c r="J41" s="511"/>
      <c r="K41" s="511"/>
      <c r="L41" s="511"/>
      <c r="M41" s="511"/>
      <c r="N41" s="511"/>
      <c r="O41" s="511">
        <f>SUM(O34:O40)</f>
        <v>0</v>
      </c>
      <c r="P41" s="511"/>
      <c r="Q41" s="511"/>
      <c r="R41" s="511"/>
      <c r="S41" s="511"/>
      <c r="T41" s="511"/>
      <c r="U41" s="522"/>
      <c r="V41" s="522">
        <f>C41+I41+O41</f>
        <v>0</v>
      </c>
      <c r="W41" s="522"/>
      <c r="X41" s="522"/>
      <c r="AA41" s="521">
        <f>V34+V47</f>
        <v>0</v>
      </c>
      <c r="AB41" s="521">
        <f>W34+W47</f>
        <v>0</v>
      </c>
      <c r="AC41" s="521">
        <f>X34+X47</f>
        <v>0</v>
      </c>
      <c r="AD41" s="521">
        <f>Y34+Y47</f>
        <v>0</v>
      </c>
    </row>
    <row r="42" s="488" customFormat="1" ht="12.75" customHeight="1" spans="1:30">
      <c r="A42" s="518"/>
      <c r="B42" s="519"/>
      <c r="C42" s="514"/>
      <c r="D42" s="514"/>
      <c r="E42" s="514"/>
      <c r="F42" s="514">
        <f>SUM(F34+R29)</f>
        <v>328235.124999998</v>
      </c>
      <c r="G42" s="514">
        <f>SUM(G34+S29)</f>
        <v>87529.3666666661</v>
      </c>
      <c r="H42" s="514"/>
      <c r="I42" s="514"/>
      <c r="J42" s="514"/>
      <c r="K42" s="514"/>
      <c r="L42" s="514">
        <f>SUM(L34+F42)</f>
        <v>328235.124999998</v>
      </c>
      <c r="M42" s="514">
        <f>SUM(M34+G42)</f>
        <v>87529.3666666661</v>
      </c>
      <c r="N42" s="514"/>
      <c r="O42" s="514"/>
      <c r="P42" s="514"/>
      <c r="Q42" s="514"/>
      <c r="R42" s="514">
        <f>SUM(R34+L42)</f>
        <v>328235.124999998</v>
      </c>
      <c r="S42" s="514">
        <f>SUM(S34+M42)</f>
        <v>87529.3666666661</v>
      </c>
      <c r="T42" s="522"/>
      <c r="U42" s="522"/>
      <c r="V42" s="522"/>
      <c r="W42" s="522"/>
      <c r="X42" s="522"/>
      <c r="AA42" s="521"/>
      <c r="AB42" s="521"/>
      <c r="AC42" s="521"/>
      <c r="AD42" s="521"/>
    </row>
    <row r="43" s="488" customFormat="1" ht="12.75" customHeight="1" spans="1:27">
      <c r="A43" s="513"/>
      <c r="B43" s="513"/>
      <c r="C43" s="513"/>
      <c r="D43" s="513"/>
      <c r="E43" s="513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22"/>
      <c r="U43" s="522"/>
      <c r="V43" s="522"/>
      <c r="W43" s="522"/>
      <c r="X43" s="522"/>
      <c r="AA43" s="521">
        <f>V35+V48</f>
        <v>0</v>
      </c>
    </row>
    <row r="44" s="489" customFormat="1" ht="12.75" customHeight="1" spans="1:37">
      <c r="A44" s="493" t="s">
        <v>478</v>
      </c>
      <c r="B44" s="494" t="s">
        <v>815</v>
      </c>
      <c r="C44" s="495" t="s">
        <v>840</v>
      </c>
      <c r="D44" s="496"/>
      <c r="E44" s="496"/>
      <c r="F44" s="496"/>
      <c r="G44" s="515"/>
      <c r="H44" s="496"/>
      <c r="I44" s="495" t="s">
        <v>841</v>
      </c>
      <c r="J44" s="496"/>
      <c r="K44" s="496"/>
      <c r="L44" s="496"/>
      <c r="M44" s="515"/>
      <c r="N44" s="496"/>
      <c r="O44" s="495" t="s">
        <v>842</v>
      </c>
      <c r="P44" s="496"/>
      <c r="Q44" s="496"/>
      <c r="R44" s="496"/>
      <c r="S44" s="515"/>
      <c r="T44" s="524"/>
      <c r="U44" s="524"/>
      <c r="V44" s="524"/>
      <c r="W44" s="524"/>
      <c r="X44" s="524"/>
      <c r="Y44" s="524"/>
      <c r="Z44" s="524"/>
      <c r="AA44" s="524">
        <f>V36+V49</f>
        <v>0</v>
      </c>
      <c r="AB44" s="524"/>
      <c r="AC44" s="524"/>
      <c r="AD44" s="524"/>
      <c r="AE44" s="524"/>
      <c r="AF44" s="524"/>
      <c r="AG44" s="524"/>
      <c r="AH44" s="524"/>
      <c r="AI44" s="524"/>
      <c r="AJ44" s="524"/>
      <c r="AK44" s="524"/>
    </row>
    <row r="45" s="486" customFormat="1" ht="12.75" customHeight="1" spans="1:27">
      <c r="A45" s="497"/>
      <c r="B45" s="498"/>
      <c r="C45" s="493" t="s">
        <v>125</v>
      </c>
      <c r="D45" s="494" t="s">
        <v>207</v>
      </c>
      <c r="E45" s="499" t="s">
        <v>817</v>
      </c>
      <c r="F45" s="516" t="s">
        <v>818</v>
      </c>
      <c r="G45" s="516"/>
      <c r="H45" s="517"/>
      <c r="I45" s="493" t="s">
        <v>125</v>
      </c>
      <c r="J45" s="494" t="s">
        <v>207</v>
      </c>
      <c r="K45" s="499" t="s">
        <v>817</v>
      </c>
      <c r="L45" s="516" t="s">
        <v>818</v>
      </c>
      <c r="M45" s="516"/>
      <c r="N45" s="517"/>
      <c r="O45" s="493" t="s">
        <v>125</v>
      </c>
      <c r="P45" s="494" t="s">
        <v>207</v>
      </c>
      <c r="Q45" s="535" t="s">
        <v>817</v>
      </c>
      <c r="R45" s="496" t="s">
        <v>818</v>
      </c>
      <c r="S45" s="515"/>
      <c r="AA45" s="537">
        <f>V37+V50</f>
        <v>10292400</v>
      </c>
    </row>
    <row r="46" s="486" customFormat="1" ht="12.75" customHeight="1" spans="1:27">
      <c r="A46" s="500"/>
      <c r="B46" s="501"/>
      <c r="C46" s="500"/>
      <c r="D46" s="501"/>
      <c r="E46" s="499"/>
      <c r="F46" s="499" t="s">
        <v>819</v>
      </c>
      <c r="G46" s="499" t="s">
        <v>820</v>
      </c>
      <c r="H46" s="520" t="s">
        <v>821</v>
      </c>
      <c r="I46" s="500"/>
      <c r="J46" s="501"/>
      <c r="K46" s="499"/>
      <c r="L46" s="502" t="s">
        <v>819</v>
      </c>
      <c r="M46" s="501" t="s">
        <v>820</v>
      </c>
      <c r="N46" s="500" t="s">
        <v>821</v>
      </c>
      <c r="O46" s="500"/>
      <c r="P46" s="501"/>
      <c r="Q46" s="536"/>
      <c r="R46" s="515" t="s">
        <v>12</v>
      </c>
      <c r="S46" s="499" t="s">
        <v>843</v>
      </c>
      <c r="W46" s="486" t="s">
        <v>837</v>
      </c>
      <c r="X46" s="486" t="s">
        <v>844</v>
      </c>
      <c r="Y46" s="486" t="s">
        <v>839</v>
      </c>
      <c r="AA46" s="537">
        <f>V38+V51</f>
        <v>0</v>
      </c>
    </row>
    <row r="47" s="486" customFormat="1" ht="12.75" customHeight="1" spans="1:27">
      <c r="A47" s="504">
        <v>1</v>
      </c>
      <c r="B47" s="505" t="s">
        <v>211</v>
      </c>
      <c r="C47" s="506"/>
      <c r="D47" s="507"/>
      <c r="E47" s="507"/>
      <c r="F47" s="507"/>
      <c r="G47" s="507"/>
      <c r="H47" s="507"/>
      <c r="I47" s="506"/>
      <c r="J47" s="507"/>
      <c r="K47" s="507"/>
      <c r="L47" s="507"/>
      <c r="M47" s="507"/>
      <c r="N47" s="507"/>
      <c r="O47" s="506"/>
      <c r="P47" s="507"/>
      <c r="Q47" s="507"/>
      <c r="R47" s="529"/>
      <c r="S47" s="507"/>
      <c r="T47" s="537"/>
      <c r="U47" s="537"/>
      <c r="V47" s="537">
        <f>C47+I47</f>
        <v>0</v>
      </c>
      <c r="W47" s="537">
        <f>D47+J47</f>
        <v>0</v>
      </c>
      <c r="X47" s="537">
        <f>F47+L47</f>
        <v>0</v>
      </c>
      <c r="Y47" s="537">
        <f>G47+M47</f>
        <v>0</v>
      </c>
      <c r="AA47" s="537">
        <f>V52</f>
        <v>0</v>
      </c>
    </row>
    <row r="48" s="486" customFormat="1" ht="12.75" customHeight="1" spans="1:27">
      <c r="A48" s="504">
        <v>2</v>
      </c>
      <c r="B48" s="505" t="s">
        <v>209</v>
      </c>
      <c r="C48" s="506"/>
      <c r="D48" s="507"/>
      <c r="E48" s="507"/>
      <c r="F48" s="507"/>
      <c r="G48" s="507"/>
      <c r="H48" s="507"/>
      <c r="I48" s="506"/>
      <c r="J48" s="507"/>
      <c r="K48" s="507"/>
      <c r="L48" s="507"/>
      <c r="M48" s="507"/>
      <c r="N48" s="507"/>
      <c r="O48" s="506"/>
      <c r="P48" s="507"/>
      <c r="Q48" s="507"/>
      <c r="R48" s="529"/>
      <c r="S48" s="507"/>
      <c r="T48" s="537"/>
      <c r="U48" s="537"/>
      <c r="V48" s="537">
        <f>C48+I48</f>
        <v>0</v>
      </c>
      <c r="AA48" s="537">
        <f>SUM(AA41:AA47)</f>
        <v>10292400</v>
      </c>
    </row>
    <row r="49" s="487" customFormat="1" ht="12.75" customHeight="1" spans="1:27">
      <c r="A49" s="504">
        <v>3</v>
      </c>
      <c r="B49" s="505" t="s">
        <v>822</v>
      </c>
      <c r="C49" s="506"/>
      <c r="D49" s="507"/>
      <c r="E49" s="507"/>
      <c r="F49" s="507"/>
      <c r="G49" s="507"/>
      <c r="H49" s="507"/>
      <c r="I49" s="506"/>
      <c r="J49" s="507"/>
      <c r="K49" s="507"/>
      <c r="L49" s="507"/>
      <c r="M49" s="507"/>
      <c r="N49" s="507"/>
      <c r="O49" s="506"/>
      <c r="P49" s="507"/>
      <c r="Q49" s="507"/>
      <c r="R49" s="529"/>
      <c r="S49" s="507"/>
      <c r="T49" s="530"/>
      <c r="U49" s="530"/>
      <c r="V49" s="530">
        <f>C49+I49</f>
        <v>0</v>
      </c>
      <c r="AA49" s="530" t="e">
        <f>V41+#REF!</f>
        <v>#REF!</v>
      </c>
    </row>
    <row r="50" s="487" customFormat="1" ht="12.75" customHeight="1" spans="1:22">
      <c r="A50" s="504">
        <v>4</v>
      </c>
      <c r="B50" s="505" t="s">
        <v>823</v>
      </c>
      <c r="C50" s="506"/>
      <c r="D50" s="507"/>
      <c r="E50" s="507"/>
      <c r="F50" s="507"/>
      <c r="G50" s="507"/>
      <c r="H50" s="507"/>
      <c r="I50" s="506"/>
      <c r="J50" s="507"/>
      <c r="K50" s="507"/>
      <c r="L50" s="507"/>
      <c r="M50" s="507"/>
      <c r="N50" s="507"/>
      <c r="O50" s="506"/>
      <c r="P50" s="507"/>
      <c r="Q50" s="507"/>
      <c r="R50" s="529"/>
      <c r="S50" s="507"/>
      <c r="T50" s="530"/>
      <c r="U50" s="530"/>
      <c r="V50" s="530">
        <v>10292400</v>
      </c>
    </row>
    <row r="51" s="487" customFormat="1" ht="12.75" customHeight="1" spans="1:22">
      <c r="A51" s="504">
        <v>5</v>
      </c>
      <c r="B51" s="505" t="s">
        <v>824</v>
      </c>
      <c r="C51" s="506"/>
      <c r="D51" s="507"/>
      <c r="E51" s="507"/>
      <c r="F51" s="507"/>
      <c r="G51" s="507"/>
      <c r="H51" s="507"/>
      <c r="I51" s="506"/>
      <c r="J51" s="507"/>
      <c r="K51" s="507"/>
      <c r="L51" s="507"/>
      <c r="M51" s="507"/>
      <c r="N51" s="507"/>
      <c r="O51" s="506"/>
      <c r="P51" s="507"/>
      <c r="Q51" s="507"/>
      <c r="R51" s="529"/>
      <c r="S51" s="507"/>
      <c r="T51" s="530"/>
      <c r="U51" s="530"/>
      <c r="V51" s="530">
        <f>C51+I51</f>
        <v>0</v>
      </c>
    </row>
    <row r="52" s="487" customFormat="1" ht="12.75" customHeight="1" spans="1:22">
      <c r="A52" s="504">
        <v>6</v>
      </c>
      <c r="B52" s="505" t="s">
        <v>828</v>
      </c>
      <c r="C52" s="506"/>
      <c r="D52" s="507"/>
      <c r="E52" s="507"/>
      <c r="F52" s="507"/>
      <c r="G52" s="507"/>
      <c r="H52" s="507"/>
      <c r="I52" s="506"/>
      <c r="J52" s="507"/>
      <c r="K52" s="507"/>
      <c r="L52" s="507"/>
      <c r="M52" s="507"/>
      <c r="N52" s="507"/>
      <c r="O52" s="506"/>
      <c r="P52" s="507"/>
      <c r="Q52" s="507"/>
      <c r="R52" s="529"/>
      <c r="S52" s="507"/>
      <c r="T52" s="530"/>
      <c r="U52" s="530"/>
      <c r="V52" s="530">
        <f>C53+I53</f>
        <v>0</v>
      </c>
    </row>
    <row r="53" s="487" customFormat="1" ht="12.75" customHeight="1" spans="1:19">
      <c r="A53" s="504">
        <v>7</v>
      </c>
      <c r="B53" s="505" t="s">
        <v>214</v>
      </c>
      <c r="C53" s="506"/>
      <c r="D53" s="507"/>
      <c r="E53" s="507"/>
      <c r="F53" s="507"/>
      <c r="G53" s="507"/>
      <c r="H53" s="507"/>
      <c r="I53" s="506"/>
      <c r="J53" s="507"/>
      <c r="K53" s="507"/>
      <c r="L53" s="507"/>
      <c r="M53" s="507"/>
      <c r="N53" s="507"/>
      <c r="O53" s="506"/>
      <c r="P53" s="507"/>
      <c r="Q53" s="507"/>
      <c r="R53" s="529"/>
      <c r="S53" s="507"/>
    </row>
    <row r="54" s="487" customFormat="1" ht="12.75" customHeight="1" spans="1:19">
      <c r="A54" s="504">
        <v>8</v>
      </c>
      <c r="B54" s="505" t="s">
        <v>216</v>
      </c>
      <c r="C54" s="506"/>
      <c r="D54" s="507"/>
      <c r="E54" s="507"/>
      <c r="F54" s="507"/>
      <c r="G54" s="507"/>
      <c r="H54" s="507"/>
      <c r="I54" s="506"/>
      <c r="J54" s="507"/>
      <c r="K54" s="507"/>
      <c r="L54" s="507"/>
      <c r="M54" s="507"/>
      <c r="N54" s="507"/>
      <c r="O54" s="506"/>
      <c r="P54" s="507"/>
      <c r="Q54" s="507"/>
      <c r="R54" s="529"/>
      <c r="S54" s="507"/>
    </row>
    <row r="55" s="487" customFormat="1" ht="12.75" customHeight="1" spans="1:19">
      <c r="A55" s="499"/>
      <c r="B55" s="510" t="s">
        <v>109</v>
      </c>
      <c r="C55" s="511">
        <f>SUM(C47:C53)</f>
        <v>0</v>
      </c>
      <c r="D55" s="511"/>
      <c r="E55" s="511"/>
      <c r="F55" s="511"/>
      <c r="G55" s="511"/>
      <c r="H55" s="511"/>
      <c r="I55" s="511">
        <f>SUM(I47:I53)</f>
        <v>0</v>
      </c>
      <c r="J55" s="511"/>
      <c r="K55" s="511"/>
      <c r="L55" s="511"/>
      <c r="M55" s="511"/>
      <c r="N55" s="511"/>
      <c r="O55" s="511">
        <f>SUM(O47:O53)</f>
        <v>0</v>
      </c>
      <c r="P55" s="511"/>
      <c r="Q55" s="511"/>
      <c r="R55" s="511"/>
      <c r="S55" s="511"/>
    </row>
    <row r="56" s="488" customFormat="1" ht="12.75" customHeight="1" spans="5:19">
      <c r="E56" s="521"/>
      <c r="F56" s="521">
        <f>SUM(F47+R42)</f>
        <v>328235.124999998</v>
      </c>
      <c r="G56" s="521">
        <f>SUM(G47+S42)</f>
        <v>87529.3666666661</v>
      </c>
      <c r="H56" s="513"/>
      <c r="I56" s="513"/>
      <c r="J56" s="513"/>
      <c r="K56" s="513"/>
      <c r="L56" s="526">
        <f>SUM(L47+F56)</f>
        <v>328235.124999998</v>
      </c>
      <c r="M56" s="526">
        <f>SUM(M47+G56)</f>
        <v>87529.3666666661</v>
      </c>
      <c r="N56" s="513"/>
      <c r="O56" s="513"/>
      <c r="P56" s="513"/>
      <c r="Q56" s="513"/>
      <c r="R56" s="526">
        <f>SUM(R47+L56)</f>
        <v>328235.124999998</v>
      </c>
      <c r="S56" s="526">
        <f>SUM(S47+M56)</f>
        <v>87529.3666666661</v>
      </c>
    </row>
    <row r="57" s="487" customFormat="1" ht="12.75" customHeight="1"/>
    <row r="58" s="488" customFormat="1" ht="12.75" customHeight="1"/>
    <row r="59" s="488" customFormat="1" ht="12.75" customHeight="1" spans="1:37">
      <c r="A59" s="486"/>
      <c r="C59" s="522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2"/>
    </row>
    <row r="60" s="489" customFormat="1" ht="12.75" customHeight="1" spans="1:37">
      <c r="A60" s="523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  <c r="R60" s="524"/>
      <c r="S60" s="524"/>
      <c r="T60" s="524"/>
      <c r="U60" s="524"/>
      <c r="V60" s="524"/>
      <c r="W60" s="524"/>
      <c r="X60" s="524"/>
      <c r="Y60" s="524"/>
      <c r="Z60" s="524"/>
      <c r="AA60" s="524"/>
      <c r="AB60" s="524"/>
      <c r="AC60" s="524"/>
      <c r="AD60" s="524"/>
      <c r="AE60" s="524"/>
      <c r="AF60" s="524"/>
      <c r="AG60" s="524"/>
      <c r="AH60" s="524"/>
      <c r="AI60" s="524"/>
      <c r="AJ60" s="524"/>
      <c r="AK60" s="524"/>
    </row>
    <row r="61" s="486" customFormat="1" ht="12.75" customHeight="1" spans="1:19">
      <c r="A61" s="524"/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  <c r="R61" s="524"/>
      <c r="S61" s="489"/>
    </row>
    <row r="62" s="486" customFormat="1" ht="12.75" customHeight="1" spans="1:19">
      <c r="A62" s="493" t="s">
        <v>478</v>
      </c>
      <c r="B62" s="494" t="s">
        <v>815</v>
      </c>
      <c r="C62" s="494" t="s">
        <v>109</v>
      </c>
      <c r="D62" s="516"/>
      <c r="E62" s="516"/>
      <c r="F62" s="496"/>
      <c r="G62" s="517"/>
      <c r="H62" s="494"/>
      <c r="I62" s="524"/>
      <c r="J62" s="524"/>
      <c r="K62" s="524"/>
      <c r="L62" s="524"/>
      <c r="M62" s="524"/>
      <c r="N62" s="524"/>
      <c r="O62" s="524"/>
      <c r="P62" s="524"/>
      <c r="Q62" s="524"/>
      <c r="R62" s="524"/>
      <c r="S62" s="489"/>
    </row>
    <row r="63" s="486" customFormat="1" ht="12.75" customHeight="1" spans="1:19">
      <c r="A63" s="497"/>
      <c r="B63" s="498"/>
      <c r="C63" s="493" t="s">
        <v>125</v>
      </c>
      <c r="D63" s="494" t="s">
        <v>207</v>
      </c>
      <c r="E63" s="499" t="s">
        <v>817</v>
      </c>
      <c r="F63" s="525" t="s">
        <v>818</v>
      </c>
      <c r="G63" s="496"/>
      <c r="H63" s="515"/>
      <c r="I63" s="519"/>
      <c r="J63" s="524">
        <v>11000000</v>
      </c>
      <c r="K63" s="524">
        <v>8000000</v>
      </c>
      <c r="L63" s="524"/>
      <c r="M63" s="524"/>
      <c r="N63" s="524"/>
      <c r="O63" s="524"/>
      <c r="P63" s="524"/>
      <c r="Q63" s="524"/>
      <c r="R63" s="524"/>
      <c r="S63" s="489"/>
    </row>
    <row r="64" s="487" customFormat="1" ht="12.75" customHeight="1" spans="1:19">
      <c r="A64" s="500"/>
      <c r="B64" s="501"/>
      <c r="C64" s="500"/>
      <c r="D64" s="501"/>
      <c r="E64" s="499"/>
      <c r="F64" s="515" t="s">
        <v>819</v>
      </c>
      <c r="G64" s="499" t="s">
        <v>820</v>
      </c>
      <c r="H64" s="515" t="s">
        <v>845</v>
      </c>
      <c r="I64" s="518"/>
      <c r="J64" s="527">
        <v>0.8</v>
      </c>
      <c r="K64" s="527">
        <v>0.2</v>
      </c>
      <c r="L64" s="524"/>
      <c r="M64" s="524"/>
      <c r="N64" s="524"/>
      <c r="O64" s="524"/>
      <c r="P64" s="524"/>
      <c r="Q64" s="524"/>
      <c r="R64" s="524"/>
      <c r="S64" s="489"/>
    </row>
    <row r="65" s="487" customFormat="1" ht="12.75" customHeight="1" spans="1:19">
      <c r="A65" s="504">
        <v>1</v>
      </c>
      <c r="B65" s="505" t="s">
        <v>211</v>
      </c>
      <c r="C65" s="506">
        <f>C8+I8+O8+C22+I22+O22+C34+I34+O34+C47+I47+O47</f>
        <v>3403256</v>
      </c>
      <c r="D65" s="507">
        <f>SUM('RL JAN-DES'!E28)</f>
        <v>16640029.1666667</v>
      </c>
      <c r="E65" s="507">
        <f>SUM(C73-D65)</f>
        <v>205344.83333333</v>
      </c>
      <c r="F65" s="507">
        <f>E65*75%</f>
        <v>154008.624999998</v>
      </c>
      <c r="G65" s="507">
        <f>E65*20%</f>
        <v>41068.966666666</v>
      </c>
      <c r="H65" s="507">
        <f>E65*5%</f>
        <v>10267.2416666665</v>
      </c>
      <c r="I65" s="541"/>
      <c r="J65" s="524">
        <f>SUM(J63*J64)</f>
        <v>8800000</v>
      </c>
      <c r="K65" s="524">
        <f>SUM(K63*K64)</f>
        <v>1600000</v>
      </c>
      <c r="L65" s="524"/>
      <c r="M65" s="524"/>
      <c r="N65" s="524"/>
      <c r="O65" s="524"/>
      <c r="P65" s="524"/>
      <c r="Q65" s="524"/>
      <c r="R65" s="524"/>
      <c r="S65" s="489"/>
    </row>
    <row r="66" s="487" customFormat="1" ht="12.75" customHeight="1" spans="1:19">
      <c r="A66" s="504">
        <v>2</v>
      </c>
      <c r="B66" s="505" t="s">
        <v>209</v>
      </c>
      <c r="C66" s="506">
        <f>C9+I9+O9+C23+I23+O23+C35+I35+O35+C48+I48+O48</f>
        <v>8815913</v>
      </c>
      <c r="D66" s="507"/>
      <c r="E66" s="507"/>
      <c r="F66" s="507"/>
      <c r="G66" s="507"/>
      <c r="H66" s="507"/>
      <c r="I66" s="542"/>
      <c r="J66" s="524">
        <f>SUM(F65+J65)</f>
        <v>8954008.625</v>
      </c>
      <c r="K66" s="524"/>
      <c r="L66" s="524"/>
      <c r="M66" s="524"/>
      <c r="N66" s="524"/>
      <c r="O66" s="524"/>
      <c r="P66" s="524"/>
      <c r="Q66" s="524"/>
      <c r="R66" s="524"/>
      <c r="S66" s="489"/>
    </row>
    <row r="67" s="487" customFormat="1" ht="12.75" customHeight="1" spans="1:19">
      <c r="A67" s="504">
        <v>3</v>
      </c>
      <c r="B67" s="505" t="s">
        <v>822</v>
      </c>
      <c r="C67" s="506">
        <f>C10+I10+O10+C24+I24+O24+C36+I36+O36+C49+I49+O49</f>
        <v>3631205</v>
      </c>
      <c r="D67" s="507"/>
      <c r="E67" s="507"/>
      <c r="F67" s="507"/>
      <c r="G67" s="507"/>
      <c r="H67" s="507"/>
      <c r="I67" s="543"/>
      <c r="J67" s="524"/>
      <c r="K67" s="524"/>
      <c r="L67" s="524"/>
      <c r="M67" s="524"/>
      <c r="N67" s="524"/>
      <c r="O67" s="524"/>
      <c r="P67" s="524"/>
      <c r="Q67" s="524"/>
      <c r="R67" s="524"/>
      <c r="S67" s="489"/>
    </row>
    <row r="68" s="487" customFormat="1" ht="12.75" customHeight="1" spans="1:19">
      <c r="A68" s="504">
        <v>4</v>
      </c>
      <c r="B68" s="505" t="s">
        <v>823</v>
      </c>
      <c r="C68" s="506">
        <f>C11+I11+O11+C25+I25+O25+C37+I37+O37+C50+I50+O50</f>
        <v>0</v>
      </c>
      <c r="D68" s="507"/>
      <c r="E68" s="507"/>
      <c r="F68" s="507"/>
      <c r="G68" s="507"/>
      <c r="H68" s="507"/>
      <c r="I68" s="544"/>
      <c r="J68" s="545"/>
      <c r="K68" s="524"/>
      <c r="L68" s="524"/>
      <c r="M68" s="524"/>
      <c r="N68" s="524"/>
      <c r="O68" s="524"/>
      <c r="P68" s="524"/>
      <c r="Q68" s="524"/>
      <c r="R68" s="524"/>
      <c r="S68" s="489"/>
    </row>
    <row r="69" s="488" customFormat="1" ht="12.75" customHeight="1" spans="1:19">
      <c r="A69" s="504">
        <v>5</v>
      </c>
      <c r="B69" s="505" t="s">
        <v>824</v>
      </c>
      <c r="C69" s="506">
        <f>C12+I12+O12+C26+I26+O26+C38+I38+O38+C51+I51+O51</f>
        <v>800000</v>
      </c>
      <c r="D69" s="507"/>
      <c r="E69" s="507"/>
      <c r="F69" s="507"/>
      <c r="G69" s="507"/>
      <c r="H69" s="507"/>
      <c r="I69" s="546"/>
      <c r="J69" s="545"/>
      <c r="K69" s="524"/>
      <c r="L69" s="524"/>
      <c r="M69" s="524"/>
      <c r="N69" s="524"/>
      <c r="O69" s="524"/>
      <c r="P69" s="524"/>
      <c r="Q69" s="524"/>
      <c r="R69" s="524"/>
      <c r="S69" s="489"/>
    </row>
    <row r="70" s="489" customFormat="1" ht="13" spans="1:9">
      <c r="A70" s="504">
        <v>6</v>
      </c>
      <c r="B70" s="505" t="s">
        <v>142</v>
      </c>
      <c r="C70" s="506">
        <f>C39+I39+O39+C52+I52+O52</f>
        <v>0</v>
      </c>
      <c r="D70" s="507"/>
      <c r="E70" s="507"/>
      <c r="F70" s="507"/>
      <c r="G70" s="507"/>
      <c r="H70" s="538"/>
      <c r="I70" s="541"/>
    </row>
    <row r="71" s="489" customFormat="1" ht="13" spans="1:9">
      <c r="A71" s="504">
        <v>7</v>
      </c>
      <c r="B71" s="505" t="s">
        <v>214</v>
      </c>
      <c r="C71" s="506">
        <f>SUM(C14+I14+O14)</f>
        <v>195000</v>
      </c>
      <c r="D71" s="507"/>
      <c r="E71" s="507"/>
      <c r="F71" s="507"/>
      <c r="G71" s="507"/>
      <c r="H71" s="538"/>
      <c r="I71" s="541"/>
    </row>
    <row r="72" s="489" customFormat="1" ht="13" spans="1:9">
      <c r="A72" s="504">
        <v>8</v>
      </c>
      <c r="B72" s="505" t="s">
        <v>216</v>
      </c>
      <c r="C72" s="506">
        <f>SUM(O54)</f>
        <v>0</v>
      </c>
      <c r="D72" s="507"/>
      <c r="E72" s="507"/>
      <c r="F72" s="507"/>
      <c r="G72" s="507"/>
      <c r="H72" s="538"/>
      <c r="I72" s="541"/>
    </row>
    <row r="73" s="489" customFormat="1" ht="13" spans="1:9">
      <c r="A73" s="499"/>
      <c r="B73" s="510" t="s">
        <v>109</v>
      </c>
      <c r="C73" s="511">
        <f>SUM(C65:C72)</f>
        <v>16845374</v>
      </c>
      <c r="D73" s="511"/>
      <c r="E73" s="511"/>
      <c r="F73" s="511"/>
      <c r="G73" s="511"/>
      <c r="H73" s="511"/>
      <c r="I73" s="547"/>
    </row>
    <row r="74" s="489" customFormat="1" ht="12" spans="1:1">
      <c r="A74" s="523"/>
    </row>
    <row r="75" spans="5:5">
      <c r="E75" s="539">
        <f>C73-D73</f>
        <v>16845374</v>
      </c>
    </row>
    <row r="76" spans="2:3">
      <c r="B76" s="540">
        <v>35000000</v>
      </c>
      <c r="C76" s="491" t="s">
        <v>846</v>
      </c>
    </row>
    <row r="77" spans="2:3">
      <c r="B77" s="539">
        <f>[45]Sheet1!$C$22</f>
        <v>0</v>
      </c>
      <c r="C77" s="491" t="s">
        <v>847</v>
      </c>
    </row>
    <row r="78" spans="2:2">
      <c r="B78" s="539">
        <f>SUM(B76:B77)</f>
        <v>35000000</v>
      </c>
    </row>
  </sheetData>
  <mergeCells count="142"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C19:G19"/>
    <mergeCell ref="I19:M19"/>
    <mergeCell ref="O19:T19"/>
    <mergeCell ref="F20:H20"/>
    <mergeCell ref="L20:N20"/>
    <mergeCell ref="C31:G31"/>
    <mergeCell ref="I31:N31"/>
    <mergeCell ref="O31:T31"/>
    <mergeCell ref="F32:H32"/>
    <mergeCell ref="L32:N32"/>
    <mergeCell ref="R32:T32"/>
    <mergeCell ref="C44:G44"/>
    <mergeCell ref="I44:M44"/>
    <mergeCell ref="O44:S44"/>
    <mergeCell ref="F45:H45"/>
    <mergeCell ref="L45:N45"/>
    <mergeCell ref="R45:S45"/>
    <mergeCell ref="C62:H62"/>
    <mergeCell ref="F63:H63"/>
    <mergeCell ref="A5:A7"/>
    <mergeCell ref="A19:A21"/>
    <mergeCell ref="A31:A33"/>
    <mergeCell ref="A44:A46"/>
    <mergeCell ref="A62:A64"/>
    <mergeCell ref="B5:B7"/>
    <mergeCell ref="B19:B21"/>
    <mergeCell ref="B31:B33"/>
    <mergeCell ref="B44:B46"/>
    <mergeCell ref="B62:B64"/>
    <mergeCell ref="C6:C7"/>
    <mergeCell ref="C20:C21"/>
    <mergeCell ref="C32:C33"/>
    <mergeCell ref="C45:C46"/>
    <mergeCell ref="C63:C64"/>
    <mergeCell ref="D6:D7"/>
    <mergeCell ref="D8:D15"/>
    <mergeCell ref="D20:D21"/>
    <mergeCell ref="D22:D27"/>
    <mergeCell ref="D32:D33"/>
    <mergeCell ref="D34:D39"/>
    <mergeCell ref="D45:D46"/>
    <mergeCell ref="D47:D54"/>
    <mergeCell ref="D63:D64"/>
    <mergeCell ref="D65:D71"/>
    <mergeCell ref="E6:E7"/>
    <mergeCell ref="E8:E15"/>
    <mergeCell ref="E20:E21"/>
    <mergeCell ref="E22:E27"/>
    <mergeCell ref="E32:E33"/>
    <mergeCell ref="E34:E39"/>
    <mergeCell ref="E45:E46"/>
    <mergeCell ref="E47:E54"/>
    <mergeCell ref="E63:E64"/>
    <mergeCell ref="E65:E71"/>
    <mergeCell ref="F8:F15"/>
    <mergeCell ref="F22:F27"/>
    <mergeCell ref="F34:F39"/>
    <mergeCell ref="F47:F54"/>
    <mergeCell ref="F65:F71"/>
    <mergeCell ref="G8:G15"/>
    <mergeCell ref="G22:G27"/>
    <mergeCell ref="G34:G39"/>
    <mergeCell ref="G47:G54"/>
    <mergeCell ref="G65:G71"/>
    <mergeCell ref="H8:H15"/>
    <mergeCell ref="H22:H27"/>
    <mergeCell ref="H34:H39"/>
    <mergeCell ref="H47:H54"/>
    <mergeCell ref="H65:H71"/>
    <mergeCell ref="I6:I7"/>
    <mergeCell ref="I20:I21"/>
    <mergeCell ref="I32:I33"/>
    <mergeCell ref="I45:I46"/>
    <mergeCell ref="I65:I70"/>
    <mergeCell ref="J6:J7"/>
    <mergeCell ref="J8:J13"/>
    <mergeCell ref="J20:J21"/>
    <mergeCell ref="J22:J27"/>
    <mergeCell ref="J32:J33"/>
    <mergeCell ref="J34:J39"/>
    <mergeCell ref="J45:J46"/>
    <mergeCell ref="J47:J54"/>
    <mergeCell ref="K6:K7"/>
    <mergeCell ref="K8:K13"/>
    <mergeCell ref="K20:K21"/>
    <mergeCell ref="K22:K27"/>
    <mergeCell ref="K32:K33"/>
    <mergeCell ref="K34:K39"/>
    <mergeCell ref="K45:K46"/>
    <mergeCell ref="K47:K54"/>
    <mergeCell ref="L8:L13"/>
    <mergeCell ref="L22:L27"/>
    <mergeCell ref="L34:L39"/>
    <mergeCell ref="L47:L54"/>
    <mergeCell ref="M8:M13"/>
    <mergeCell ref="M22:M27"/>
    <mergeCell ref="M34:M39"/>
    <mergeCell ref="M47:M54"/>
    <mergeCell ref="N8:N13"/>
    <mergeCell ref="N22:N27"/>
    <mergeCell ref="N34:N39"/>
    <mergeCell ref="N47:N54"/>
    <mergeCell ref="O6:O7"/>
    <mergeCell ref="O20:O21"/>
    <mergeCell ref="O32:O33"/>
    <mergeCell ref="O45:O46"/>
    <mergeCell ref="P6:P7"/>
    <mergeCell ref="P8:P13"/>
    <mergeCell ref="P20:P21"/>
    <mergeCell ref="P22:P27"/>
    <mergeCell ref="P32:P33"/>
    <mergeCell ref="P34:P39"/>
    <mergeCell ref="P45:P46"/>
    <mergeCell ref="P47:P54"/>
    <mergeCell ref="Q6:Q7"/>
    <mergeCell ref="Q8:Q13"/>
    <mergeCell ref="Q20:Q21"/>
    <mergeCell ref="Q22:Q27"/>
    <mergeCell ref="Q32:Q33"/>
    <mergeCell ref="Q34:Q39"/>
    <mergeCell ref="Q45:Q46"/>
    <mergeCell ref="Q47:Q54"/>
    <mergeCell ref="R8:R13"/>
    <mergeCell ref="R22:R27"/>
    <mergeCell ref="R34:R39"/>
    <mergeCell ref="R47:R54"/>
    <mergeCell ref="S8:S13"/>
    <mergeCell ref="S22:S27"/>
    <mergeCell ref="S34:S39"/>
    <mergeCell ref="S47:S54"/>
    <mergeCell ref="T8:T13"/>
    <mergeCell ref="T22:T27"/>
    <mergeCell ref="T34:T39"/>
  </mergeCells>
  <pageMargins left="0.0763888888888889" right="0.708661417322835" top="1.04861111111111" bottom="0.748031496062992" header="0.31496062992126" footer="0.31496062992126"/>
  <pageSetup paperSize="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7"/>
  <sheetViews>
    <sheetView view="pageLayout" zoomScaleNormal="100" topLeftCell="A5" workbookViewId="0">
      <selection activeCell="B14" sqref="B14:D14"/>
    </sheetView>
  </sheetViews>
  <sheetFormatPr defaultColWidth="9" defaultRowHeight="14.5" outlineLevelCol="7"/>
  <cols>
    <col min="1" max="1" width="9" style="447"/>
    <col min="2" max="2" width="6.13636363636364" style="447" customWidth="1"/>
    <col min="3" max="3" width="24.8545454545455" style="447" customWidth="1"/>
    <col min="4" max="4" width="18" style="447" customWidth="1"/>
    <col min="5" max="5" width="18.7090909090909" style="447" customWidth="1"/>
    <col min="6" max="6" width="11.4272727272727" style="447" customWidth="1"/>
    <col min="7" max="7" width="15.1363636363636" style="447" customWidth="1"/>
    <col min="8" max="8" width="12" style="447" customWidth="1"/>
    <col min="9" max="16384" width="9" style="447"/>
  </cols>
  <sheetData>
    <row r="1" spans="2:8">
      <c r="B1" s="448" t="s">
        <v>848</v>
      </c>
      <c r="C1" s="448"/>
      <c r="D1" s="448"/>
      <c r="E1" s="448"/>
      <c r="F1" s="449"/>
      <c r="G1" s="449"/>
      <c r="H1" s="449"/>
    </row>
    <row r="2" spans="2:8">
      <c r="B2" s="448" t="s">
        <v>849</v>
      </c>
      <c r="C2" s="448"/>
      <c r="D2" s="448"/>
      <c r="E2" s="448"/>
      <c r="F2" s="449"/>
      <c r="G2" s="449"/>
      <c r="H2" s="449"/>
    </row>
    <row r="3" spans="2:8">
      <c r="B3" s="448" t="s">
        <v>850</v>
      </c>
      <c r="C3" s="448"/>
      <c r="D3" s="448"/>
      <c r="E3" s="448"/>
      <c r="F3" s="449"/>
      <c r="G3" s="449"/>
      <c r="H3" s="449"/>
    </row>
    <row r="4" ht="15.25" spans="2:3">
      <c r="B4" s="450" t="s">
        <v>851</v>
      </c>
      <c r="C4" s="450"/>
    </row>
    <row r="5" spans="2:5">
      <c r="B5" s="451" t="s">
        <v>852</v>
      </c>
      <c r="C5" s="452" t="s">
        <v>853</v>
      </c>
      <c r="D5" s="453" t="s">
        <v>854</v>
      </c>
      <c r="E5" s="454" t="s">
        <v>24</v>
      </c>
    </row>
    <row r="6" ht="15.25" spans="2:5">
      <c r="B6" s="455"/>
      <c r="C6" s="456"/>
      <c r="D6" s="457"/>
      <c r="E6" s="458"/>
    </row>
    <row r="7" ht="15.25" spans="2:5">
      <c r="B7" s="459" t="s">
        <v>855</v>
      </c>
      <c r="C7" s="460"/>
      <c r="D7" s="461"/>
      <c r="E7" s="462"/>
    </row>
    <row r="8" ht="15.25" spans="2:5">
      <c r="B8" s="459" t="s">
        <v>856</v>
      </c>
      <c r="C8" s="460"/>
      <c r="D8" s="461"/>
      <c r="E8" s="463"/>
    </row>
    <row r="9" ht="17.45" customHeight="1" spans="2:6">
      <c r="B9" s="464">
        <v>1</v>
      </c>
      <c r="C9" s="465" t="s">
        <v>857</v>
      </c>
      <c r="D9" s="466" t="s">
        <v>858</v>
      </c>
      <c r="E9" s="467">
        <v>2327000</v>
      </c>
      <c r="F9" s="468"/>
    </row>
    <row r="10" ht="17.45" customHeight="1" spans="2:5">
      <c r="B10" s="469">
        <v>2</v>
      </c>
      <c r="C10" s="470" t="s">
        <v>859</v>
      </c>
      <c r="D10" s="471" t="str">
        <f>D9</f>
        <v>31/1/2025</v>
      </c>
      <c r="E10" s="472">
        <v>1389750</v>
      </c>
    </row>
    <row r="11" ht="17.45" customHeight="1" spans="2:5">
      <c r="B11" s="469">
        <v>3</v>
      </c>
      <c r="C11" s="470" t="s">
        <v>860</v>
      </c>
      <c r="D11" s="471" t="str">
        <f t="shared" ref="D11:D13" si="0">D10</f>
        <v>31/1/2025</v>
      </c>
      <c r="E11" s="472">
        <v>80000</v>
      </c>
    </row>
    <row r="12" ht="17.45" customHeight="1" spans="2:5">
      <c r="B12" s="469">
        <v>5</v>
      </c>
      <c r="C12" s="470" t="s">
        <v>226</v>
      </c>
      <c r="D12" s="471" t="str">
        <f t="shared" si="0"/>
        <v>31/1/2025</v>
      </c>
      <c r="E12" s="472">
        <v>40000</v>
      </c>
    </row>
    <row r="13" ht="17.45" customHeight="1" spans="2:5">
      <c r="B13" s="469">
        <v>6</v>
      </c>
      <c r="C13" s="470" t="s">
        <v>861</v>
      </c>
      <c r="D13" s="471" t="str">
        <f t="shared" si="0"/>
        <v>31/1/2025</v>
      </c>
      <c r="E13" s="473">
        <v>1031641</v>
      </c>
    </row>
    <row r="14" s="446" customFormat="1" ht="16.25" spans="2:6">
      <c r="B14" s="474" t="s">
        <v>679</v>
      </c>
      <c r="C14" s="475"/>
      <c r="D14" s="476"/>
      <c r="E14" s="477">
        <f>SUM(E9:E13)</f>
        <v>4868391</v>
      </c>
      <c r="F14" s="478"/>
    </row>
    <row r="15" ht="16.25" spans="2:5">
      <c r="B15" s="474" t="s">
        <v>862</v>
      </c>
      <c r="C15" s="475"/>
      <c r="D15" s="476"/>
      <c r="E15" s="477">
        <v>1465135</v>
      </c>
    </row>
    <row r="16" ht="16.25" spans="2:5">
      <c r="B16" s="474" t="s">
        <v>679</v>
      </c>
      <c r="C16" s="475"/>
      <c r="D16" s="476"/>
      <c r="E16" s="477">
        <f>SUM(E14-E15)</f>
        <v>3403256</v>
      </c>
    </row>
    <row r="17" ht="15.5" spans="2:5">
      <c r="B17" s="479"/>
      <c r="C17" s="479"/>
      <c r="D17" s="479"/>
      <c r="E17" s="480"/>
    </row>
    <row r="18" spans="2:5">
      <c r="B18" s="481" t="s">
        <v>111</v>
      </c>
      <c r="C18" s="481"/>
      <c r="D18" s="481"/>
      <c r="E18" s="481"/>
    </row>
    <row r="19" spans="2:5">
      <c r="B19" s="481" t="s">
        <v>112</v>
      </c>
      <c r="C19" s="481"/>
      <c r="D19" s="481"/>
      <c r="E19" s="481"/>
    </row>
    <row r="20" spans="2:5">
      <c r="B20" s="481"/>
      <c r="C20" s="481"/>
      <c r="D20" s="481"/>
      <c r="E20" s="481"/>
    </row>
    <row r="22" spans="2:5">
      <c r="B22" s="481" t="s">
        <v>113</v>
      </c>
      <c r="C22" s="481"/>
      <c r="E22" s="481" t="s">
        <v>114</v>
      </c>
    </row>
    <row r="23" spans="6:6">
      <c r="F23" s="482"/>
    </row>
    <row r="24" spans="4:6">
      <c r="D24" s="483"/>
      <c r="F24" s="482"/>
    </row>
    <row r="25" spans="4:6">
      <c r="D25" s="483"/>
      <c r="F25" s="482"/>
    </row>
    <row r="27" spans="2:6">
      <c r="B27" s="484" t="s">
        <v>115</v>
      </c>
      <c r="C27" s="484"/>
      <c r="D27" s="482"/>
      <c r="E27" s="484" t="s">
        <v>176</v>
      </c>
      <c r="F27" s="482"/>
    </row>
  </sheetData>
  <mergeCells count="17">
    <mergeCell ref="B1:E1"/>
    <mergeCell ref="B2:E2"/>
    <mergeCell ref="B3:E3"/>
    <mergeCell ref="B4:C4"/>
    <mergeCell ref="B7:D7"/>
    <mergeCell ref="B8:D8"/>
    <mergeCell ref="B14:D14"/>
    <mergeCell ref="B15:D15"/>
    <mergeCell ref="B16:D16"/>
    <mergeCell ref="B18:E18"/>
    <mergeCell ref="B19:E19"/>
    <mergeCell ref="B22:C22"/>
    <mergeCell ref="B27:C27"/>
    <mergeCell ref="B5:B6"/>
    <mergeCell ref="C5:C6"/>
    <mergeCell ref="D5:D6"/>
    <mergeCell ref="E5:E6"/>
  </mergeCells>
  <pageMargins left="1.11805555555556" right="0.7" top="1.08333333333333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74"/>
  <sheetViews>
    <sheetView view="pageLayout" zoomScale="60" zoomScaleSheetLayoutView="70" zoomScaleNormal="100" topLeftCell="A44" workbookViewId="0">
      <selection activeCell="H57" sqref="H57"/>
    </sheetView>
  </sheetViews>
  <sheetFormatPr defaultColWidth="9" defaultRowHeight="13"/>
  <cols>
    <col min="1" max="1" width="4.57272727272727" style="290" customWidth="1"/>
    <col min="2" max="2" width="36.8181818181818" style="290" customWidth="1"/>
    <col min="3" max="3" width="15.0181818181818" style="290" customWidth="1"/>
    <col min="4" max="4" width="8.77272727272727" style="290" customWidth="1"/>
    <col min="5" max="5" width="6.28181818181818" style="290" customWidth="1"/>
    <col min="6" max="6" width="16.0545454545455" style="290" customWidth="1"/>
    <col min="7" max="7" width="18" style="290" customWidth="1"/>
    <col min="8" max="8" width="12.1909090909091" style="290" customWidth="1"/>
    <col min="9" max="9" width="14.7272727272727" style="290" customWidth="1"/>
    <col min="10" max="10" width="8" style="290" customWidth="1"/>
    <col min="11" max="11" width="16" style="290" customWidth="1"/>
    <col min="12" max="12" width="8.85454545454546" style="290" customWidth="1"/>
    <col min="13" max="13" width="16.8545454545455" style="290" customWidth="1"/>
    <col min="14" max="14" width="10.5545454545455" style="290" customWidth="1"/>
    <col min="15" max="16" width="17.8545454545455" style="290" customWidth="1"/>
    <col min="17" max="17" width="14.1363636363636" style="290" customWidth="1"/>
    <col min="18" max="18" width="9.13636363636364" style="290"/>
    <col min="19" max="19" width="15.5727272727273" style="290" customWidth="1"/>
    <col min="20" max="20" width="10.1363636363636" style="290" customWidth="1"/>
    <col min="21" max="21" width="12.8545454545455" style="290" customWidth="1"/>
    <col min="22" max="256" width="9.13636363636364" style="290"/>
    <col min="257" max="257" width="4.57272727272727" style="290" customWidth="1"/>
    <col min="258" max="258" width="25.8545454545455" style="290" customWidth="1"/>
    <col min="259" max="259" width="16.4272727272727" style="290" customWidth="1"/>
    <col min="260" max="260" width="9.28181818181818" style="290" customWidth="1"/>
    <col min="261" max="261" width="6.28181818181818" style="290" customWidth="1"/>
    <col min="262" max="262" width="14.4272727272727" style="290" customWidth="1"/>
    <col min="263" max="263" width="15.5727272727273" style="290" customWidth="1"/>
    <col min="264" max="264" width="10.5727272727273" style="290" customWidth="1"/>
    <col min="265" max="265" width="14.4272727272727" style="290" customWidth="1"/>
    <col min="266" max="266" width="8" style="290" customWidth="1"/>
    <col min="267" max="267" width="16" style="290" customWidth="1"/>
    <col min="268" max="268" width="8.85454545454546" style="290" customWidth="1"/>
    <col min="269" max="269" width="16.8545454545455" style="290" customWidth="1"/>
    <col min="270" max="270" width="9.57272727272727" style="290" customWidth="1"/>
    <col min="271" max="271" width="16.1363636363636" style="290" customWidth="1"/>
    <col min="272" max="272" width="17.8545454545455" style="290" customWidth="1"/>
    <col min="273" max="273" width="14.1363636363636" style="290" customWidth="1"/>
    <col min="274" max="274" width="9.13636363636364" style="290"/>
    <col min="275" max="275" width="15.5727272727273" style="290" customWidth="1"/>
    <col min="276" max="276" width="10.1363636363636" style="290" customWidth="1"/>
    <col min="277" max="277" width="12.8545454545455" style="290" customWidth="1"/>
    <col min="278" max="512" width="9.13636363636364" style="290"/>
    <col min="513" max="513" width="4.57272727272727" style="290" customWidth="1"/>
    <col min="514" max="514" width="25.8545454545455" style="290" customWidth="1"/>
    <col min="515" max="515" width="16.4272727272727" style="290" customWidth="1"/>
    <col min="516" max="516" width="9.28181818181818" style="290" customWidth="1"/>
    <col min="517" max="517" width="6.28181818181818" style="290" customWidth="1"/>
    <col min="518" max="518" width="14.4272727272727" style="290" customWidth="1"/>
    <col min="519" max="519" width="15.5727272727273" style="290" customWidth="1"/>
    <col min="520" max="520" width="10.5727272727273" style="290" customWidth="1"/>
    <col min="521" max="521" width="14.4272727272727" style="290" customWidth="1"/>
    <col min="522" max="522" width="8" style="290" customWidth="1"/>
    <col min="523" max="523" width="16" style="290" customWidth="1"/>
    <col min="524" max="524" width="8.85454545454546" style="290" customWidth="1"/>
    <col min="525" max="525" width="16.8545454545455" style="290" customWidth="1"/>
    <col min="526" max="526" width="9.57272727272727" style="290" customWidth="1"/>
    <col min="527" max="527" width="16.1363636363636" style="290" customWidth="1"/>
    <col min="528" max="528" width="17.8545454545455" style="290" customWidth="1"/>
    <col min="529" max="529" width="14.1363636363636" style="290" customWidth="1"/>
    <col min="530" max="530" width="9.13636363636364" style="290"/>
    <col min="531" max="531" width="15.5727272727273" style="290" customWidth="1"/>
    <col min="532" max="532" width="10.1363636363636" style="290" customWidth="1"/>
    <col min="533" max="533" width="12.8545454545455" style="290" customWidth="1"/>
    <col min="534" max="768" width="9.13636363636364" style="290"/>
    <col min="769" max="769" width="4.57272727272727" style="290" customWidth="1"/>
    <col min="770" max="770" width="25.8545454545455" style="290" customWidth="1"/>
    <col min="771" max="771" width="16.4272727272727" style="290" customWidth="1"/>
    <col min="772" max="772" width="9.28181818181818" style="290" customWidth="1"/>
    <col min="773" max="773" width="6.28181818181818" style="290" customWidth="1"/>
    <col min="774" max="774" width="14.4272727272727" style="290" customWidth="1"/>
    <col min="775" max="775" width="15.5727272727273" style="290" customWidth="1"/>
    <col min="776" max="776" width="10.5727272727273" style="290" customWidth="1"/>
    <col min="777" max="777" width="14.4272727272727" style="290" customWidth="1"/>
    <col min="778" max="778" width="8" style="290" customWidth="1"/>
    <col min="779" max="779" width="16" style="290" customWidth="1"/>
    <col min="780" max="780" width="8.85454545454546" style="290" customWidth="1"/>
    <col min="781" max="781" width="16.8545454545455" style="290" customWidth="1"/>
    <col min="782" max="782" width="9.57272727272727" style="290" customWidth="1"/>
    <col min="783" max="783" width="16.1363636363636" style="290" customWidth="1"/>
    <col min="784" max="784" width="17.8545454545455" style="290" customWidth="1"/>
    <col min="785" max="785" width="14.1363636363636" style="290" customWidth="1"/>
    <col min="786" max="786" width="9.13636363636364" style="290"/>
    <col min="787" max="787" width="15.5727272727273" style="290" customWidth="1"/>
    <col min="788" max="788" width="10.1363636363636" style="290" customWidth="1"/>
    <col min="789" max="789" width="12.8545454545455" style="290" customWidth="1"/>
    <col min="790" max="1024" width="9.13636363636364" style="290"/>
    <col min="1025" max="1025" width="4.57272727272727" style="290" customWidth="1"/>
    <col min="1026" max="1026" width="25.8545454545455" style="290" customWidth="1"/>
    <col min="1027" max="1027" width="16.4272727272727" style="290" customWidth="1"/>
    <col min="1028" max="1028" width="9.28181818181818" style="290" customWidth="1"/>
    <col min="1029" max="1029" width="6.28181818181818" style="290" customWidth="1"/>
    <col min="1030" max="1030" width="14.4272727272727" style="290" customWidth="1"/>
    <col min="1031" max="1031" width="15.5727272727273" style="290" customWidth="1"/>
    <col min="1032" max="1032" width="10.5727272727273" style="290" customWidth="1"/>
    <col min="1033" max="1033" width="14.4272727272727" style="290" customWidth="1"/>
    <col min="1034" max="1034" width="8" style="290" customWidth="1"/>
    <col min="1035" max="1035" width="16" style="290" customWidth="1"/>
    <col min="1036" max="1036" width="8.85454545454546" style="290" customWidth="1"/>
    <col min="1037" max="1037" width="16.8545454545455" style="290" customWidth="1"/>
    <col min="1038" max="1038" width="9.57272727272727" style="290" customWidth="1"/>
    <col min="1039" max="1039" width="16.1363636363636" style="290" customWidth="1"/>
    <col min="1040" max="1040" width="17.8545454545455" style="290" customWidth="1"/>
    <col min="1041" max="1041" width="14.1363636363636" style="290" customWidth="1"/>
    <col min="1042" max="1042" width="9.13636363636364" style="290"/>
    <col min="1043" max="1043" width="15.5727272727273" style="290" customWidth="1"/>
    <col min="1044" max="1044" width="10.1363636363636" style="290" customWidth="1"/>
    <col min="1045" max="1045" width="12.8545454545455" style="290" customWidth="1"/>
    <col min="1046" max="1280" width="9.13636363636364" style="290"/>
    <col min="1281" max="1281" width="4.57272727272727" style="290" customWidth="1"/>
    <col min="1282" max="1282" width="25.8545454545455" style="290" customWidth="1"/>
    <col min="1283" max="1283" width="16.4272727272727" style="290" customWidth="1"/>
    <col min="1284" max="1284" width="9.28181818181818" style="290" customWidth="1"/>
    <col min="1285" max="1285" width="6.28181818181818" style="290" customWidth="1"/>
    <col min="1286" max="1286" width="14.4272727272727" style="290" customWidth="1"/>
    <col min="1287" max="1287" width="15.5727272727273" style="290" customWidth="1"/>
    <col min="1288" max="1288" width="10.5727272727273" style="290" customWidth="1"/>
    <col min="1289" max="1289" width="14.4272727272727" style="290" customWidth="1"/>
    <col min="1290" max="1290" width="8" style="290" customWidth="1"/>
    <col min="1291" max="1291" width="16" style="290" customWidth="1"/>
    <col min="1292" max="1292" width="8.85454545454546" style="290" customWidth="1"/>
    <col min="1293" max="1293" width="16.8545454545455" style="290" customWidth="1"/>
    <col min="1294" max="1294" width="9.57272727272727" style="290" customWidth="1"/>
    <col min="1295" max="1295" width="16.1363636363636" style="290" customWidth="1"/>
    <col min="1296" max="1296" width="17.8545454545455" style="290" customWidth="1"/>
    <col min="1297" max="1297" width="14.1363636363636" style="290" customWidth="1"/>
    <col min="1298" max="1298" width="9.13636363636364" style="290"/>
    <col min="1299" max="1299" width="15.5727272727273" style="290" customWidth="1"/>
    <col min="1300" max="1300" width="10.1363636363636" style="290" customWidth="1"/>
    <col min="1301" max="1301" width="12.8545454545455" style="290" customWidth="1"/>
    <col min="1302" max="1536" width="9.13636363636364" style="290"/>
    <col min="1537" max="1537" width="4.57272727272727" style="290" customWidth="1"/>
    <col min="1538" max="1538" width="25.8545454545455" style="290" customWidth="1"/>
    <col min="1539" max="1539" width="16.4272727272727" style="290" customWidth="1"/>
    <col min="1540" max="1540" width="9.28181818181818" style="290" customWidth="1"/>
    <col min="1541" max="1541" width="6.28181818181818" style="290" customWidth="1"/>
    <col min="1542" max="1542" width="14.4272727272727" style="290" customWidth="1"/>
    <col min="1543" max="1543" width="15.5727272727273" style="290" customWidth="1"/>
    <col min="1544" max="1544" width="10.5727272727273" style="290" customWidth="1"/>
    <col min="1545" max="1545" width="14.4272727272727" style="290" customWidth="1"/>
    <col min="1546" max="1546" width="8" style="290" customWidth="1"/>
    <col min="1547" max="1547" width="16" style="290" customWidth="1"/>
    <col min="1548" max="1548" width="8.85454545454546" style="290" customWidth="1"/>
    <col min="1549" max="1549" width="16.8545454545455" style="290" customWidth="1"/>
    <col min="1550" max="1550" width="9.57272727272727" style="290" customWidth="1"/>
    <col min="1551" max="1551" width="16.1363636363636" style="290" customWidth="1"/>
    <col min="1552" max="1552" width="17.8545454545455" style="290" customWidth="1"/>
    <col min="1553" max="1553" width="14.1363636363636" style="290" customWidth="1"/>
    <col min="1554" max="1554" width="9.13636363636364" style="290"/>
    <col min="1555" max="1555" width="15.5727272727273" style="290" customWidth="1"/>
    <col min="1556" max="1556" width="10.1363636363636" style="290" customWidth="1"/>
    <col min="1557" max="1557" width="12.8545454545455" style="290" customWidth="1"/>
    <col min="1558" max="1792" width="9.13636363636364" style="290"/>
    <col min="1793" max="1793" width="4.57272727272727" style="290" customWidth="1"/>
    <col min="1794" max="1794" width="25.8545454545455" style="290" customWidth="1"/>
    <col min="1795" max="1795" width="16.4272727272727" style="290" customWidth="1"/>
    <col min="1796" max="1796" width="9.28181818181818" style="290" customWidth="1"/>
    <col min="1797" max="1797" width="6.28181818181818" style="290" customWidth="1"/>
    <col min="1798" max="1798" width="14.4272727272727" style="290" customWidth="1"/>
    <col min="1799" max="1799" width="15.5727272727273" style="290" customWidth="1"/>
    <col min="1800" max="1800" width="10.5727272727273" style="290" customWidth="1"/>
    <col min="1801" max="1801" width="14.4272727272727" style="290" customWidth="1"/>
    <col min="1802" max="1802" width="8" style="290" customWidth="1"/>
    <col min="1803" max="1803" width="16" style="290" customWidth="1"/>
    <col min="1804" max="1804" width="8.85454545454546" style="290" customWidth="1"/>
    <col min="1805" max="1805" width="16.8545454545455" style="290" customWidth="1"/>
    <col min="1806" max="1806" width="9.57272727272727" style="290" customWidth="1"/>
    <col min="1807" max="1807" width="16.1363636363636" style="290" customWidth="1"/>
    <col min="1808" max="1808" width="17.8545454545455" style="290" customWidth="1"/>
    <col min="1809" max="1809" width="14.1363636363636" style="290" customWidth="1"/>
    <col min="1810" max="1810" width="9.13636363636364" style="290"/>
    <col min="1811" max="1811" width="15.5727272727273" style="290" customWidth="1"/>
    <col min="1812" max="1812" width="10.1363636363636" style="290" customWidth="1"/>
    <col min="1813" max="1813" width="12.8545454545455" style="290" customWidth="1"/>
    <col min="1814" max="2048" width="9.13636363636364" style="290"/>
    <col min="2049" max="2049" width="4.57272727272727" style="290" customWidth="1"/>
    <col min="2050" max="2050" width="25.8545454545455" style="290" customWidth="1"/>
    <col min="2051" max="2051" width="16.4272727272727" style="290" customWidth="1"/>
    <col min="2052" max="2052" width="9.28181818181818" style="290" customWidth="1"/>
    <col min="2053" max="2053" width="6.28181818181818" style="290" customWidth="1"/>
    <col min="2054" max="2054" width="14.4272727272727" style="290" customWidth="1"/>
    <col min="2055" max="2055" width="15.5727272727273" style="290" customWidth="1"/>
    <col min="2056" max="2056" width="10.5727272727273" style="290" customWidth="1"/>
    <col min="2057" max="2057" width="14.4272727272727" style="290" customWidth="1"/>
    <col min="2058" max="2058" width="8" style="290" customWidth="1"/>
    <col min="2059" max="2059" width="16" style="290" customWidth="1"/>
    <col min="2060" max="2060" width="8.85454545454546" style="290" customWidth="1"/>
    <col min="2061" max="2061" width="16.8545454545455" style="290" customWidth="1"/>
    <col min="2062" max="2062" width="9.57272727272727" style="290" customWidth="1"/>
    <col min="2063" max="2063" width="16.1363636363636" style="290" customWidth="1"/>
    <col min="2064" max="2064" width="17.8545454545455" style="290" customWidth="1"/>
    <col min="2065" max="2065" width="14.1363636363636" style="290" customWidth="1"/>
    <col min="2066" max="2066" width="9.13636363636364" style="290"/>
    <col min="2067" max="2067" width="15.5727272727273" style="290" customWidth="1"/>
    <col min="2068" max="2068" width="10.1363636363636" style="290" customWidth="1"/>
    <col min="2069" max="2069" width="12.8545454545455" style="290" customWidth="1"/>
    <col min="2070" max="2304" width="9.13636363636364" style="290"/>
    <col min="2305" max="2305" width="4.57272727272727" style="290" customWidth="1"/>
    <col min="2306" max="2306" width="25.8545454545455" style="290" customWidth="1"/>
    <col min="2307" max="2307" width="16.4272727272727" style="290" customWidth="1"/>
    <col min="2308" max="2308" width="9.28181818181818" style="290" customWidth="1"/>
    <col min="2309" max="2309" width="6.28181818181818" style="290" customWidth="1"/>
    <col min="2310" max="2310" width="14.4272727272727" style="290" customWidth="1"/>
    <col min="2311" max="2311" width="15.5727272727273" style="290" customWidth="1"/>
    <col min="2312" max="2312" width="10.5727272727273" style="290" customWidth="1"/>
    <col min="2313" max="2313" width="14.4272727272727" style="290" customWidth="1"/>
    <col min="2314" max="2314" width="8" style="290" customWidth="1"/>
    <col min="2315" max="2315" width="16" style="290" customWidth="1"/>
    <col min="2316" max="2316" width="8.85454545454546" style="290" customWidth="1"/>
    <col min="2317" max="2317" width="16.8545454545455" style="290" customWidth="1"/>
    <col min="2318" max="2318" width="9.57272727272727" style="290" customWidth="1"/>
    <col min="2319" max="2319" width="16.1363636363636" style="290" customWidth="1"/>
    <col min="2320" max="2320" width="17.8545454545455" style="290" customWidth="1"/>
    <col min="2321" max="2321" width="14.1363636363636" style="290" customWidth="1"/>
    <col min="2322" max="2322" width="9.13636363636364" style="290"/>
    <col min="2323" max="2323" width="15.5727272727273" style="290" customWidth="1"/>
    <col min="2324" max="2324" width="10.1363636363636" style="290" customWidth="1"/>
    <col min="2325" max="2325" width="12.8545454545455" style="290" customWidth="1"/>
    <col min="2326" max="2560" width="9.13636363636364" style="290"/>
    <col min="2561" max="2561" width="4.57272727272727" style="290" customWidth="1"/>
    <col min="2562" max="2562" width="25.8545454545455" style="290" customWidth="1"/>
    <col min="2563" max="2563" width="16.4272727272727" style="290" customWidth="1"/>
    <col min="2564" max="2564" width="9.28181818181818" style="290" customWidth="1"/>
    <col min="2565" max="2565" width="6.28181818181818" style="290" customWidth="1"/>
    <col min="2566" max="2566" width="14.4272727272727" style="290" customWidth="1"/>
    <col min="2567" max="2567" width="15.5727272727273" style="290" customWidth="1"/>
    <col min="2568" max="2568" width="10.5727272727273" style="290" customWidth="1"/>
    <col min="2569" max="2569" width="14.4272727272727" style="290" customWidth="1"/>
    <col min="2570" max="2570" width="8" style="290" customWidth="1"/>
    <col min="2571" max="2571" width="16" style="290" customWidth="1"/>
    <col min="2572" max="2572" width="8.85454545454546" style="290" customWidth="1"/>
    <col min="2573" max="2573" width="16.8545454545455" style="290" customWidth="1"/>
    <col min="2574" max="2574" width="9.57272727272727" style="290" customWidth="1"/>
    <col min="2575" max="2575" width="16.1363636363636" style="290" customWidth="1"/>
    <col min="2576" max="2576" width="17.8545454545455" style="290" customWidth="1"/>
    <col min="2577" max="2577" width="14.1363636363636" style="290" customWidth="1"/>
    <col min="2578" max="2578" width="9.13636363636364" style="290"/>
    <col min="2579" max="2579" width="15.5727272727273" style="290" customWidth="1"/>
    <col min="2580" max="2580" width="10.1363636363636" style="290" customWidth="1"/>
    <col min="2581" max="2581" width="12.8545454545455" style="290" customWidth="1"/>
    <col min="2582" max="2816" width="9.13636363636364" style="290"/>
    <col min="2817" max="2817" width="4.57272727272727" style="290" customWidth="1"/>
    <col min="2818" max="2818" width="25.8545454545455" style="290" customWidth="1"/>
    <col min="2819" max="2819" width="16.4272727272727" style="290" customWidth="1"/>
    <col min="2820" max="2820" width="9.28181818181818" style="290" customWidth="1"/>
    <col min="2821" max="2821" width="6.28181818181818" style="290" customWidth="1"/>
    <col min="2822" max="2822" width="14.4272727272727" style="290" customWidth="1"/>
    <col min="2823" max="2823" width="15.5727272727273" style="290" customWidth="1"/>
    <col min="2824" max="2824" width="10.5727272727273" style="290" customWidth="1"/>
    <col min="2825" max="2825" width="14.4272727272727" style="290" customWidth="1"/>
    <col min="2826" max="2826" width="8" style="290" customWidth="1"/>
    <col min="2827" max="2827" width="16" style="290" customWidth="1"/>
    <col min="2828" max="2828" width="8.85454545454546" style="290" customWidth="1"/>
    <col min="2829" max="2829" width="16.8545454545455" style="290" customWidth="1"/>
    <col min="2830" max="2830" width="9.57272727272727" style="290" customWidth="1"/>
    <col min="2831" max="2831" width="16.1363636363636" style="290" customWidth="1"/>
    <col min="2832" max="2832" width="17.8545454545455" style="290" customWidth="1"/>
    <col min="2833" max="2833" width="14.1363636363636" style="290" customWidth="1"/>
    <col min="2834" max="2834" width="9.13636363636364" style="290"/>
    <col min="2835" max="2835" width="15.5727272727273" style="290" customWidth="1"/>
    <col min="2836" max="2836" width="10.1363636363636" style="290" customWidth="1"/>
    <col min="2837" max="2837" width="12.8545454545455" style="290" customWidth="1"/>
    <col min="2838" max="3072" width="9.13636363636364" style="290"/>
    <col min="3073" max="3073" width="4.57272727272727" style="290" customWidth="1"/>
    <col min="3074" max="3074" width="25.8545454545455" style="290" customWidth="1"/>
    <col min="3075" max="3075" width="16.4272727272727" style="290" customWidth="1"/>
    <col min="3076" max="3076" width="9.28181818181818" style="290" customWidth="1"/>
    <col min="3077" max="3077" width="6.28181818181818" style="290" customWidth="1"/>
    <col min="3078" max="3078" width="14.4272727272727" style="290" customWidth="1"/>
    <col min="3079" max="3079" width="15.5727272727273" style="290" customWidth="1"/>
    <col min="3080" max="3080" width="10.5727272727273" style="290" customWidth="1"/>
    <col min="3081" max="3081" width="14.4272727272727" style="290" customWidth="1"/>
    <col min="3082" max="3082" width="8" style="290" customWidth="1"/>
    <col min="3083" max="3083" width="16" style="290" customWidth="1"/>
    <col min="3084" max="3084" width="8.85454545454546" style="290" customWidth="1"/>
    <col min="3085" max="3085" width="16.8545454545455" style="290" customWidth="1"/>
    <col min="3086" max="3086" width="9.57272727272727" style="290" customWidth="1"/>
    <col min="3087" max="3087" width="16.1363636363636" style="290" customWidth="1"/>
    <col min="3088" max="3088" width="17.8545454545455" style="290" customWidth="1"/>
    <col min="3089" max="3089" width="14.1363636363636" style="290" customWidth="1"/>
    <col min="3090" max="3090" width="9.13636363636364" style="290"/>
    <col min="3091" max="3091" width="15.5727272727273" style="290" customWidth="1"/>
    <col min="3092" max="3092" width="10.1363636363636" style="290" customWidth="1"/>
    <col min="3093" max="3093" width="12.8545454545455" style="290" customWidth="1"/>
    <col min="3094" max="3328" width="9.13636363636364" style="290"/>
    <col min="3329" max="3329" width="4.57272727272727" style="290" customWidth="1"/>
    <col min="3330" max="3330" width="25.8545454545455" style="290" customWidth="1"/>
    <col min="3331" max="3331" width="16.4272727272727" style="290" customWidth="1"/>
    <col min="3332" max="3332" width="9.28181818181818" style="290" customWidth="1"/>
    <col min="3333" max="3333" width="6.28181818181818" style="290" customWidth="1"/>
    <col min="3334" max="3334" width="14.4272727272727" style="290" customWidth="1"/>
    <col min="3335" max="3335" width="15.5727272727273" style="290" customWidth="1"/>
    <col min="3336" max="3336" width="10.5727272727273" style="290" customWidth="1"/>
    <col min="3337" max="3337" width="14.4272727272727" style="290" customWidth="1"/>
    <col min="3338" max="3338" width="8" style="290" customWidth="1"/>
    <col min="3339" max="3339" width="16" style="290" customWidth="1"/>
    <col min="3340" max="3340" width="8.85454545454546" style="290" customWidth="1"/>
    <col min="3341" max="3341" width="16.8545454545455" style="290" customWidth="1"/>
    <col min="3342" max="3342" width="9.57272727272727" style="290" customWidth="1"/>
    <col min="3343" max="3343" width="16.1363636363636" style="290" customWidth="1"/>
    <col min="3344" max="3344" width="17.8545454545455" style="290" customWidth="1"/>
    <col min="3345" max="3345" width="14.1363636363636" style="290" customWidth="1"/>
    <col min="3346" max="3346" width="9.13636363636364" style="290"/>
    <col min="3347" max="3347" width="15.5727272727273" style="290" customWidth="1"/>
    <col min="3348" max="3348" width="10.1363636363636" style="290" customWidth="1"/>
    <col min="3349" max="3349" width="12.8545454545455" style="290" customWidth="1"/>
    <col min="3350" max="3584" width="9.13636363636364" style="290"/>
    <col min="3585" max="3585" width="4.57272727272727" style="290" customWidth="1"/>
    <col min="3586" max="3586" width="25.8545454545455" style="290" customWidth="1"/>
    <col min="3587" max="3587" width="16.4272727272727" style="290" customWidth="1"/>
    <col min="3588" max="3588" width="9.28181818181818" style="290" customWidth="1"/>
    <col min="3589" max="3589" width="6.28181818181818" style="290" customWidth="1"/>
    <col min="3590" max="3590" width="14.4272727272727" style="290" customWidth="1"/>
    <col min="3591" max="3591" width="15.5727272727273" style="290" customWidth="1"/>
    <col min="3592" max="3592" width="10.5727272727273" style="290" customWidth="1"/>
    <col min="3593" max="3593" width="14.4272727272727" style="290" customWidth="1"/>
    <col min="3594" max="3594" width="8" style="290" customWidth="1"/>
    <col min="3595" max="3595" width="16" style="290" customWidth="1"/>
    <col min="3596" max="3596" width="8.85454545454546" style="290" customWidth="1"/>
    <col min="3597" max="3597" width="16.8545454545455" style="290" customWidth="1"/>
    <col min="3598" max="3598" width="9.57272727272727" style="290" customWidth="1"/>
    <col min="3599" max="3599" width="16.1363636363636" style="290" customWidth="1"/>
    <col min="3600" max="3600" width="17.8545454545455" style="290" customWidth="1"/>
    <col min="3601" max="3601" width="14.1363636363636" style="290" customWidth="1"/>
    <col min="3602" max="3602" width="9.13636363636364" style="290"/>
    <col min="3603" max="3603" width="15.5727272727273" style="290" customWidth="1"/>
    <col min="3604" max="3604" width="10.1363636363636" style="290" customWidth="1"/>
    <col min="3605" max="3605" width="12.8545454545455" style="290" customWidth="1"/>
    <col min="3606" max="3840" width="9.13636363636364" style="290"/>
    <col min="3841" max="3841" width="4.57272727272727" style="290" customWidth="1"/>
    <col min="3842" max="3842" width="25.8545454545455" style="290" customWidth="1"/>
    <col min="3843" max="3843" width="16.4272727272727" style="290" customWidth="1"/>
    <col min="3844" max="3844" width="9.28181818181818" style="290" customWidth="1"/>
    <col min="3845" max="3845" width="6.28181818181818" style="290" customWidth="1"/>
    <col min="3846" max="3846" width="14.4272727272727" style="290" customWidth="1"/>
    <col min="3847" max="3847" width="15.5727272727273" style="290" customWidth="1"/>
    <col min="3848" max="3848" width="10.5727272727273" style="290" customWidth="1"/>
    <col min="3849" max="3849" width="14.4272727272727" style="290" customWidth="1"/>
    <col min="3850" max="3850" width="8" style="290" customWidth="1"/>
    <col min="3851" max="3851" width="16" style="290" customWidth="1"/>
    <col min="3852" max="3852" width="8.85454545454546" style="290" customWidth="1"/>
    <col min="3853" max="3853" width="16.8545454545455" style="290" customWidth="1"/>
    <col min="3854" max="3854" width="9.57272727272727" style="290" customWidth="1"/>
    <col min="3855" max="3855" width="16.1363636363636" style="290" customWidth="1"/>
    <col min="3856" max="3856" width="17.8545454545455" style="290" customWidth="1"/>
    <col min="3857" max="3857" width="14.1363636363636" style="290" customWidth="1"/>
    <col min="3858" max="3858" width="9.13636363636364" style="290"/>
    <col min="3859" max="3859" width="15.5727272727273" style="290" customWidth="1"/>
    <col min="3860" max="3860" width="10.1363636363636" style="290" customWidth="1"/>
    <col min="3861" max="3861" width="12.8545454545455" style="290" customWidth="1"/>
    <col min="3862" max="4096" width="9.13636363636364" style="290"/>
    <col min="4097" max="4097" width="4.57272727272727" style="290" customWidth="1"/>
    <col min="4098" max="4098" width="25.8545454545455" style="290" customWidth="1"/>
    <col min="4099" max="4099" width="16.4272727272727" style="290" customWidth="1"/>
    <col min="4100" max="4100" width="9.28181818181818" style="290" customWidth="1"/>
    <col min="4101" max="4101" width="6.28181818181818" style="290" customWidth="1"/>
    <col min="4102" max="4102" width="14.4272727272727" style="290" customWidth="1"/>
    <col min="4103" max="4103" width="15.5727272727273" style="290" customWidth="1"/>
    <col min="4104" max="4104" width="10.5727272727273" style="290" customWidth="1"/>
    <col min="4105" max="4105" width="14.4272727272727" style="290" customWidth="1"/>
    <col min="4106" max="4106" width="8" style="290" customWidth="1"/>
    <col min="4107" max="4107" width="16" style="290" customWidth="1"/>
    <col min="4108" max="4108" width="8.85454545454546" style="290" customWidth="1"/>
    <col min="4109" max="4109" width="16.8545454545455" style="290" customWidth="1"/>
    <col min="4110" max="4110" width="9.57272727272727" style="290" customWidth="1"/>
    <col min="4111" max="4111" width="16.1363636363636" style="290" customWidth="1"/>
    <col min="4112" max="4112" width="17.8545454545455" style="290" customWidth="1"/>
    <col min="4113" max="4113" width="14.1363636363636" style="290" customWidth="1"/>
    <col min="4114" max="4114" width="9.13636363636364" style="290"/>
    <col min="4115" max="4115" width="15.5727272727273" style="290" customWidth="1"/>
    <col min="4116" max="4116" width="10.1363636363636" style="290" customWidth="1"/>
    <col min="4117" max="4117" width="12.8545454545455" style="290" customWidth="1"/>
    <col min="4118" max="4352" width="9.13636363636364" style="290"/>
    <col min="4353" max="4353" width="4.57272727272727" style="290" customWidth="1"/>
    <col min="4354" max="4354" width="25.8545454545455" style="290" customWidth="1"/>
    <col min="4355" max="4355" width="16.4272727272727" style="290" customWidth="1"/>
    <col min="4356" max="4356" width="9.28181818181818" style="290" customWidth="1"/>
    <col min="4357" max="4357" width="6.28181818181818" style="290" customWidth="1"/>
    <col min="4358" max="4358" width="14.4272727272727" style="290" customWidth="1"/>
    <col min="4359" max="4359" width="15.5727272727273" style="290" customWidth="1"/>
    <col min="4360" max="4360" width="10.5727272727273" style="290" customWidth="1"/>
    <col min="4361" max="4361" width="14.4272727272727" style="290" customWidth="1"/>
    <col min="4362" max="4362" width="8" style="290" customWidth="1"/>
    <col min="4363" max="4363" width="16" style="290" customWidth="1"/>
    <col min="4364" max="4364" width="8.85454545454546" style="290" customWidth="1"/>
    <col min="4365" max="4365" width="16.8545454545455" style="290" customWidth="1"/>
    <col min="4366" max="4366" width="9.57272727272727" style="290" customWidth="1"/>
    <col min="4367" max="4367" width="16.1363636363636" style="290" customWidth="1"/>
    <col min="4368" max="4368" width="17.8545454545455" style="290" customWidth="1"/>
    <col min="4369" max="4369" width="14.1363636363636" style="290" customWidth="1"/>
    <col min="4370" max="4370" width="9.13636363636364" style="290"/>
    <col min="4371" max="4371" width="15.5727272727273" style="290" customWidth="1"/>
    <col min="4372" max="4372" width="10.1363636363636" style="290" customWidth="1"/>
    <col min="4373" max="4373" width="12.8545454545455" style="290" customWidth="1"/>
    <col min="4374" max="4608" width="9.13636363636364" style="290"/>
    <col min="4609" max="4609" width="4.57272727272727" style="290" customWidth="1"/>
    <col min="4610" max="4610" width="25.8545454545455" style="290" customWidth="1"/>
    <col min="4611" max="4611" width="16.4272727272727" style="290" customWidth="1"/>
    <col min="4612" max="4612" width="9.28181818181818" style="290" customWidth="1"/>
    <col min="4613" max="4613" width="6.28181818181818" style="290" customWidth="1"/>
    <col min="4614" max="4614" width="14.4272727272727" style="290" customWidth="1"/>
    <col min="4615" max="4615" width="15.5727272727273" style="290" customWidth="1"/>
    <col min="4616" max="4616" width="10.5727272727273" style="290" customWidth="1"/>
    <col min="4617" max="4617" width="14.4272727272727" style="290" customWidth="1"/>
    <col min="4618" max="4618" width="8" style="290" customWidth="1"/>
    <col min="4619" max="4619" width="16" style="290" customWidth="1"/>
    <col min="4620" max="4620" width="8.85454545454546" style="290" customWidth="1"/>
    <col min="4621" max="4621" width="16.8545454545455" style="290" customWidth="1"/>
    <col min="4622" max="4622" width="9.57272727272727" style="290" customWidth="1"/>
    <col min="4623" max="4623" width="16.1363636363636" style="290" customWidth="1"/>
    <col min="4624" max="4624" width="17.8545454545455" style="290" customWidth="1"/>
    <col min="4625" max="4625" width="14.1363636363636" style="290" customWidth="1"/>
    <col min="4626" max="4626" width="9.13636363636364" style="290"/>
    <col min="4627" max="4627" width="15.5727272727273" style="290" customWidth="1"/>
    <col min="4628" max="4628" width="10.1363636363636" style="290" customWidth="1"/>
    <col min="4629" max="4629" width="12.8545454545455" style="290" customWidth="1"/>
    <col min="4630" max="4864" width="9.13636363636364" style="290"/>
    <col min="4865" max="4865" width="4.57272727272727" style="290" customWidth="1"/>
    <col min="4866" max="4866" width="25.8545454545455" style="290" customWidth="1"/>
    <col min="4867" max="4867" width="16.4272727272727" style="290" customWidth="1"/>
    <col min="4868" max="4868" width="9.28181818181818" style="290" customWidth="1"/>
    <col min="4869" max="4869" width="6.28181818181818" style="290" customWidth="1"/>
    <col min="4870" max="4870" width="14.4272727272727" style="290" customWidth="1"/>
    <col min="4871" max="4871" width="15.5727272727273" style="290" customWidth="1"/>
    <col min="4872" max="4872" width="10.5727272727273" style="290" customWidth="1"/>
    <col min="4873" max="4873" width="14.4272727272727" style="290" customWidth="1"/>
    <col min="4874" max="4874" width="8" style="290" customWidth="1"/>
    <col min="4875" max="4875" width="16" style="290" customWidth="1"/>
    <col min="4876" max="4876" width="8.85454545454546" style="290" customWidth="1"/>
    <col min="4877" max="4877" width="16.8545454545455" style="290" customWidth="1"/>
    <col min="4878" max="4878" width="9.57272727272727" style="290" customWidth="1"/>
    <col min="4879" max="4879" width="16.1363636363636" style="290" customWidth="1"/>
    <col min="4880" max="4880" width="17.8545454545455" style="290" customWidth="1"/>
    <col min="4881" max="4881" width="14.1363636363636" style="290" customWidth="1"/>
    <col min="4882" max="4882" width="9.13636363636364" style="290"/>
    <col min="4883" max="4883" width="15.5727272727273" style="290" customWidth="1"/>
    <col min="4884" max="4884" width="10.1363636363636" style="290" customWidth="1"/>
    <col min="4885" max="4885" width="12.8545454545455" style="290" customWidth="1"/>
    <col min="4886" max="5120" width="9.13636363636364" style="290"/>
    <col min="5121" max="5121" width="4.57272727272727" style="290" customWidth="1"/>
    <col min="5122" max="5122" width="25.8545454545455" style="290" customWidth="1"/>
    <col min="5123" max="5123" width="16.4272727272727" style="290" customWidth="1"/>
    <col min="5124" max="5124" width="9.28181818181818" style="290" customWidth="1"/>
    <col min="5125" max="5125" width="6.28181818181818" style="290" customWidth="1"/>
    <col min="5126" max="5126" width="14.4272727272727" style="290" customWidth="1"/>
    <col min="5127" max="5127" width="15.5727272727273" style="290" customWidth="1"/>
    <col min="5128" max="5128" width="10.5727272727273" style="290" customWidth="1"/>
    <col min="5129" max="5129" width="14.4272727272727" style="290" customWidth="1"/>
    <col min="5130" max="5130" width="8" style="290" customWidth="1"/>
    <col min="5131" max="5131" width="16" style="290" customWidth="1"/>
    <col min="5132" max="5132" width="8.85454545454546" style="290" customWidth="1"/>
    <col min="5133" max="5133" width="16.8545454545455" style="290" customWidth="1"/>
    <col min="5134" max="5134" width="9.57272727272727" style="290" customWidth="1"/>
    <col min="5135" max="5135" width="16.1363636363636" style="290" customWidth="1"/>
    <col min="5136" max="5136" width="17.8545454545455" style="290" customWidth="1"/>
    <col min="5137" max="5137" width="14.1363636363636" style="290" customWidth="1"/>
    <col min="5138" max="5138" width="9.13636363636364" style="290"/>
    <col min="5139" max="5139" width="15.5727272727273" style="290" customWidth="1"/>
    <col min="5140" max="5140" width="10.1363636363636" style="290" customWidth="1"/>
    <col min="5141" max="5141" width="12.8545454545455" style="290" customWidth="1"/>
    <col min="5142" max="5376" width="9.13636363636364" style="290"/>
    <col min="5377" max="5377" width="4.57272727272727" style="290" customWidth="1"/>
    <col min="5378" max="5378" width="25.8545454545455" style="290" customWidth="1"/>
    <col min="5379" max="5379" width="16.4272727272727" style="290" customWidth="1"/>
    <col min="5380" max="5380" width="9.28181818181818" style="290" customWidth="1"/>
    <col min="5381" max="5381" width="6.28181818181818" style="290" customWidth="1"/>
    <col min="5382" max="5382" width="14.4272727272727" style="290" customWidth="1"/>
    <col min="5383" max="5383" width="15.5727272727273" style="290" customWidth="1"/>
    <col min="5384" max="5384" width="10.5727272727273" style="290" customWidth="1"/>
    <col min="5385" max="5385" width="14.4272727272727" style="290" customWidth="1"/>
    <col min="5386" max="5386" width="8" style="290" customWidth="1"/>
    <col min="5387" max="5387" width="16" style="290" customWidth="1"/>
    <col min="5388" max="5388" width="8.85454545454546" style="290" customWidth="1"/>
    <col min="5389" max="5389" width="16.8545454545455" style="290" customWidth="1"/>
    <col min="5390" max="5390" width="9.57272727272727" style="290" customWidth="1"/>
    <col min="5391" max="5391" width="16.1363636363636" style="290" customWidth="1"/>
    <col min="5392" max="5392" width="17.8545454545455" style="290" customWidth="1"/>
    <col min="5393" max="5393" width="14.1363636363636" style="290" customWidth="1"/>
    <col min="5394" max="5394" width="9.13636363636364" style="290"/>
    <col min="5395" max="5395" width="15.5727272727273" style="290" customWidth="1"/>
    <col min="5396" max="5396" width="10.1363636363636" style="290" customWidth="1"/>
    <col min="5397" max="5397" width="12.8545454545455" style="290" customWidth="1"/>
    <col min="5398" max="5632" width="9.13636363636364" style="290"/>
    <col min="5633" max="5633" width="4.57272727272727" style="290" customWidth="1"/>
    <col min="5634" max="5634" width="25.8545454545455" style="290" customWidth="1"/>
    <col min="5635" max="5635" width="16.4272727272727" style="290" customWidth="1"/>
    <col min="5636" max="5636" width="9.28181818181818" style="290" customWidth="1"/>
    <col min="5637" max="5637" width="6.28181818181818" style="290" customWidth="1"/>
    <col min="5638" max="5638" width="14.4272727272727" style="290" customWidth="1"/>
    <col min="5639" max="5639" width="15.5727272727273" style="290" customWidth="1"/>
    <col min="5640" max="5640" width="10.5727272727273" style="290" customWidth="1"/>
    <col min="5641" max="5641" width="14.4272727272727" style="290" customWidth="1"/>
    <col min="5642" max="5642" width="8" style="290" customWidth="1"/>
    <col min="5643" max="5643" width="16" style="290" customWidth="1"/>
    <col min="5644" max="5644" width="8.85454545454546" style="290" customWidth="1"/>
    <col min="5645" max="5645" width="16.8545454545455" style="290" customWidth="1"/>
    <col min="5646" max="5646" width="9.57272727272727" style="290" customWidth="1"/>
    <col min="5647" max="5647" width="16.1363636363636" style="290" customWidth="1"/>
    <col min="5648" max="5648" width="17.8545454545455" style="290" customWidth="1"/>
    <col min="5649" max="5649" width="14.1363636363636" style="290" customWidth="1"/>
    <col min="5650" max="5650" width="9.13636363636364" style="290"/>
    <col min="5651" max="5651" width="15.5727272727273" style="290" customWidth="1"/>
    <col min="5652" max="5652" width="10.1363636363636" style="290" customWidth="1"/>
    <col min="5653" max="5653" width="12.8545454545455" style="290" customWidth="1"/>
    <col min="5654" max="5888" width="9.13636363636364" style="290"/>
    <col min="5889" max="5889" width="4.57272727272727" style="290" customWidth="1"/>
    <col min="5890" max="5890" width="25.8545454545455" style="290" customWidth="1"/>
    <col min="5891" max="5891" width="16.4272727272727" style="290" customWidth="1"/>
    <col min="5892" max="5892" width="9.28181818181818" style="290" customWidth="1"/>
    <col min="5893" max="5893" width="6.28181818181818" style="290" customWidth="1"/>
    <col min="5894" max="5894" width="14.4272727272727" style="290" customWidth="1"/>
    <col min="5895" max="5895" width="15.5727272727273" style="290" customWidth="1"/>
    <col min="5896" max="5896" width="10.5727272727273" style="290" customWidth="1"/>
    <col min="5897" max="5897" width="14.4272727272727" style="290" customWidth="1"/>
    <col min="5898" max="5898" width="8" style="290" customWidth="1"/>
    <col min="5899" max="5899" width="16" style="290" customWidth="1"/>
    <col min="5900" max="5900" width="8.85454545454546" style="290" customWidth="1"/>
    <col min="5901" max="5901" width="16.8545454545455" style="290" customWidth="1"/>
    <col min="5902" max="5902" width="9.57272727272727" style="290" customWidth="1"/>
    <col min="5903" max="5903" width="16.1363636363636" style="290" customWidth="1"/>
    <col min="5904" max="5904" width="17.8545454545455" style="290" customWidth="1"/>
    <col min="5905" max="5905" width="14.1363636363636" style="290" customWidth="1"/>
    <col min="5906" max="5906" width="9.13636363636364" style="290"/>
    <col min="5907" max="5907" width="15.5727272727273" style="290" customWidth="1"/>
    <col min="5908" max="5908" width="10.1363636363636" style="290" customWidth="1"/>
    <col min="5909" max="5909" width="12.8545454545455" style="290" customWidth="1"/>
    <col min="5910" max="6144" width="9.13636363636364" style="290"/>
    <col min="6145" max="6145" width="4.57272727272727" style="290" customWidth="1"/>
    <col min="6146" max="6146" width="25.8545454545455" style="290" customWidth="1"/>
    <col min="6147" max="6147" width="16.4272727272727" style="290" customWidth="1"/>
    <col min="6148" max="6148" width="9.28181818181818" style="290" customWidth="1"/>
    <col min="6149" max="6149" width="6.28181818181818" style="290" customWidth="1"/>
    <col min="6150" max="6150" width="14.4272727272727" style="290" customWidth="1"/>
    <col min="6151" max="6151" width="15.5727272727273" style="290" customWidth="1"/>
    <col min="6152" max="6152" width="10.5727272727273" style="290" customWidth="1"/>
    <col min="6153" max="6153" width="14.4272727272727" style="290" customWidth="1"/>
    <col min="6154" max="6154" width="8" style="290" customWidth="1"/>
    <col min="6155" max="6155" width="16" style="290" customWidth="1"/>
    <col min="6156" max="6156" width="8.85454545454546" style="290" customWidth="1"/>
    <col min="6157" max="6157" width="16.8545454545455" style="290" customWidth="1"/>
    <col min="6158" max="6158" width="9.57272727272727" style="290" customWidth="1"/>
    <col min="6159" max="6159" width="16.1363636363636" style="290" customWidth="1"/>
    <col min="6160" max="6160" width="17.8545454545455" style="290" customWidth="1"/>
    <col min="6161" max="6161" width="14.1363636363636" style="290" customWidth="1"/>
    <col min="6162" max="6162" width="9.13636363636364" style="290"/>
    <col min="6163" max="6163" width="15.5727272727273" style="290" customWidth="1"/>
    <col min="6164" max="6164" width="10.1363636363636" style="290" customWidth="1"/>
    <col min="6165" max="6165" width="12.8545454545455" style="290" customWidth="1"/>
    <col min="6166" max="6400" width="9.13636363636364" style="290"/>
    <col min="6401" max="6401" width="4.57272727272727" style="290" customWidth="1"/>
    <col min="6402" max="6402" width="25.8545454545455" style="290" customWidth="1"/>
    <col min="6403" max="6403" width="16.4272727272727" style="290" customWidth="1"/>
    <col min="6404" max="6404" width="9.28181818181818" style="290" customWidth="1"/>
    <col min="6405" max="6405" width="6.28181818181818" style="290" customWidth="1"/>
    <col min="6406" max="6406" width="14.4272727272727" style="290" customWidth="1"/>
    <col min="6407" max="6407" width="15.5727272727273" style="290" customWidth="1"/>
    <col min="6408" max="6408" width="10.5727272727273" style="290" customWidth="1"/>
    <col min="6409" max="6409" width="14.4272727272727" style="290" customWidth="1"/>
    <col min="6410" max="6410" width="8" style="290" customWidth="1"/>
    <col min="6411" max="6411" width="16" style="290" customWidth="1"/>
    <col min="6412" max="6412" width="8.85454545454546" style="290" customWidth="1"/>
    <col min="6413" max="6413" width="16.8545454545455" style="290" customWidth="1"/>
    <col min="6414" max="6414" width="9.57272727272727" style="290" customWidth="1"/>
    <col min="6415" max="6415" width="16.1363636363636" style="290" customWidth="1"/>
    <col min="6416" max="6416" width="17.8545454545455" style="290" customWidth="1"/>
    <col min="6417" max="6417" width="14.1363636363636" style="290" customWidth="1"/>
    <col min="6418" max="6418" width="9.13636363636364" style="290"/>
    <col min="6419" max="6419" width="15.5727272727273" style="290" customWidth="1"/>
    <col min="6420" max="6420" width="10.1363636363636" style="290" customWidth="1"/>
    <col min="6421" max="6421" width="12.8545454545455" style="290" customWidth="1"/>
    <col min="6422" max="6656" width="9.13636363636364" style="290"/>
    <col min="6657" max="6657" width="4.57272727272727" style="290" customWidth="1"/>
    <col min="6658" max="6658" width="25.8545454545455" style="290" customWidth="1"/>
    <col min="6659" max="6659" width="16.4272727272727" style="290" customWidth="1"/>
    <col min="6660" max="6660" width="9.28181818181818" style="290" customWidth="1"/>
    <col min="6661" max="6661" width="6.28181818181818" style="290" customWidth="1"/>
    <col min="6662" max="6662" width="14.4272727272727" style="290" customWidth="1"/>
    <col min="6663" max="6663" width="15.5727272727273" style="290" customWidth="1"/>
    <col min="6664" max="6664" width="10.5727272727273" style="290" customWidth="1"/>
    <col min="6665" max="6665" width="14.4272727272727" style="290" customWidth="1"/>
    <col min="6666" max="6666" width="8" style="290" customWidth="1"/>
    <col min="6667" max="6667" width="16" style="290" customWidth="1"/>
    <col min="6668" max="6668" width="8.85454545454546" style="290" customWidth="1"/>
    <col min="6669" max="6669" width="16.8545454545455" style="290" customWidth="1"/>
    <col min="6670" max="6670" width="9.57272727272727" style="290" customWidth="1"/>
    <col min="6671" max="6671" width="16.1363636363636" style="290" customWidth="1"/>
    <col min="6672" max="6672" width="17.8545454545455" style="290" customWidth="1"/>
    <col min="6673" max="6673" width="14.1363636363636" style="290" customWidth="1"/>
    <col min="6674" max="6674" width="9.13636363636364" style="290"/>
    <col min="6675" max="6675" width="15.5727272727273" style="290" customWidth="1"/>
    <col min="6676" max="6676" width="10.1363636363636" style="290" customWidth="1"/>
    <col min="6677" max="6677" width="12.8545454545455" style="290" customWidth="1"/>
    <col min="6678" max="6912" width="9.13636363636364" style="290"/>
    <col min="6913" max="6913" width="4.57272727272727" style="290" customWidth="1"/>
    <col min="6914" max="6914" width="25.8545454545455" style="290" customWidth="1"/>
    <col min="6915" max="6915" width="16.4272727272727" style="290" customWidth="1"/>
    <col min="6916" max="6916" width="9.28181818181818" style="290" customWidth="1"/>
    <col min="6917" max="6917" width="6.28181818181818" style="290" customWidth="1"/>
    <col min="6918" max="6918" width="14.4272727272727" style="290" customWidth="1"/>
    <col min="6919" max="6919" width="15.5727272727273" style="290" customWidth="1"/>
    <col min="6920" max="6920" width="10.5727272727273" style="290" customWidth="1"/>
    <col min="6921" max="6921" width="14.4272727272727" style="290" customWidth="1"/>
    <col min="6922" max="6922" width="8" style="290" customWidth="1"/>
    <col min="6923" max="6923" width="16" style="290" customWidth="1"/>
    <col min="6924" max="6924" width="8.85454545454546" style="290" customWidth="1"/>
    <col min="6925" max="6925" width="16.8545454545455" style="290" customWidth="1"/>
    <col min="6926" max="6926" width="9.57272727272727" style="290" customWidth="1"/>
    <col min="6927" max="6927" width="16.1363636363636" style="290" customWidth="1"/>
    <col min="6928" max="6928" width="17.8545454545455" style="290" customWidth="1"/>
    <col min="6929" max="6929" width="14.1363636363636" style="290" customWidth="1"/>
    <col min="6930" max="6930" width="9.13636363636364" style="290"/>
    <col min="6931" max="6931" width="15.5727272727273" style="290" customWidth="1"/>
    <col min="6932" max="6932" width="10.1363636363636" style="290" customWidth="1"/>
    <col min="6933" max="6933" width="12.8545454545455" style="290" customWidth="1"/>
    <col min="6934" max="7168" width="9.13636363636364" style="290"/>
    <col min="7169" max="7169" width="4.57272727272727" style="290" customWidth="1"/>
    <col min="7170" max="7170" width="25.8545454545455" style="290" customWidth="1"/>
    <col min="7171" max="7171" width="16.4272727272727" style="290" customWidth="1"/>
    <col min="7172" max="7172" width="9.28181818181818" style="290" customWidth="1"/>
    <col min="7173" max="7173" width="6.28181818181818" style="290" customWidth="1"/>
    <col min="7174" max="7174" width="14.4272727272727" style="290" customWidth="1"/>
    <col min="7175" max="7175" width="15.5727272727273" style="290" customWidth="1"/>
    <col min="7176" max="7176" width="10.5727272727273" style="290" customWidth="1"/>
    <col min="7177" max="7177" width="14.4272727272727" style="290" customWidth="1"/>
    <col min="7178" max="7178" width="8" style="290" customWidth="1"/>
    <col min="7179" max="7179" width="16" style="290" customWidth="1"/>
    <col min="7180" max="7180" width="8.85454545454546" style="290" customWidth="1"/>
    <col min="7181" max="7181" width="16.8545454545455" style="290" customWidth="1"/>
    <col min="7182" max="7182" width="9.57272727272727" style="290" customWidth="1"/>
    <col min="7183" max="7183" width="16.1363636363636" style="290" customWidth="1"/>
    <col min="7184" max="7184" width="17.8545454545455" style="290" customWidth="1"/>
    <col min="7185" max="7185" width="14.1363636363636" style="290" customWidth="1"/>
    <col min="7186" max="7186" width="9.13636363636364" style="290"/>
    <col min="7187" max="7187" width="15.5727272727273" style="290" customWidth="1"/>
    <col min="7188" max="7188" width="10.1363636363636" style="290" customWidth="1"/>
    <col min="7189" max="7189" width="12.8545454545455" style="290" customWidth="1"/>
    <col min="7190" max="7424" width="9.13636363636364" style="290"/>
    <col min="7425" max="7425" width="4.57272727272727" style="290" customWidth="1"/>
    <col min="7426" max="7426" width="25.8545454545455" style="290" customWidth="1"/>
    <col min="7427" max="7427" width="16.4272727272727" style="290" customWidth="1"/>
    <col min="7428" max="7428" width="9.28181818181818" style="290" customWidth="1"/>
    <col min="7429" max="7429" width="6.28181818181818" style="290" customWidth="1"/>
    <col min="7430" max="7430" width="14.4272727272727" style="290" customWidth="1"/>
    <col min="7431" max="7431" width="15.5727272727273" style="290" customWidth="1"/>
    <col min="7432" max="7432" width="10.5727272727273" style="290" customWidth="1"/>
    <col min="7433" max="7433" width="14.4272727272727" style="290" customWidth="1"/>
    <col min="7434" max="7434" width="8" style="290" customWidth="1"/>
    <col min="7435" max="7435" width="16" style="290" customWidth="1"/>
    <col min="7436" max="7436" width="8.85454545454546" style="290" customWidth="1"/>
    <col min="7437" max="7437" width="16.8545454545455" style="290" customWidth="1"/>
    <col min="7438" max="7438" width="9.57272727272727" style="290" customWidth="1"/>
    <col min="7439" max="7439" width="16.1363636363636" style="290" customWidth="1"/>
    <col min="7440" max="7440" width="17.8545454545455" style="290" customWidth="1"/>
    <col min="7441" max="7441" width="14.1363636363636" style="290" customWidth="1"/>
    <col min="7442" max="7442" width="9.13636363636364" style="290"/>
    <col min="7443" max="7443" width="15.5727272727273" style="290" customWidth="1"/>
    <col min="7444" max="7444" width="10.1363636363636" style="290" customWidth="1"/>
    <col min="7445" max="7445" width="12.8545454545455" style="290" customWidth="1"/>
    <col min="7446" max="7680" width="9.13636363636364" style="290"/>
    <col min="7681" max="7681" width="4.57272727272727" style="290" customWidth="1"/>
    <col min="7682" max="7682" width="25.8545454545455" style="290" customWidth="1"/>
    <col min="7683" max="7683" width="16.4272727272727" style="290" customWidth="1"/>
    <col min="7684" max="7684" width="9.28181818181818" style="290" customWidth="1"/>
    <col min="7685" max="7685" width="6.28181818181818" style="290" customWidth="1"/>
    <col min="7686" max="7686" width="14.4272727272727" style="290" customWidth="1"/>
    <col min="7687" max="7687" width="15.5727272727273" style="290" customWidth="1"/>
    <col min="7688" max="7688" width="10.5727272727273" style="290" customWidth="1"/>
    <col min="7689" max="7689" width="14.4272727272727" style="290" customWidth="1"/>
    <col min="7690" max="7690" width="8" style="290" customWidth="1"/>
    <col min="7691" max="7691" width="16" style="290" customWidth="1"/>
    <col min="7692" max="7692" width="8.85454545454546" style="290" customWidth="1"/>
    <col min="7693" max="7693" width="16.8545454545455" style="290" customWidth="1"/>
    <col min="7694" max="7694" width="9.57272727272727" style="290" customWidth="1"/>
    <col min="7695" max="7695" width="16.1363636363636" style="290" customWidth="1"/>
    <col min="7696" max="7696" width="17.8545454545455" style="290" customWidth="1"/>
    <col min="7697" max="7697" width="14.1363636363636" style="290" customWidth="1"/>
    <col min="7698" max="7698" width="9.13636363636364" style="290"/>
    <col min="7699" max="7699" width="15.5727272727273" style="290" customWidth="1"/>
    <col min="7700" max="7700" width="10.1363636363636" style="290" customWidth="1"/>
    <col min="7701" max="7701" width="12.8545454545455" style="290" customWidth="1"/>
    <col min="7702" max="7936" width="9.13636363636364" style="290"/>
    <col min="7937" max="7937" width="4.57272727272727" style="290" customWidth="1"/>
    <col min="7938" max="7938" width="25.8545454545455" style="290" customWidth="1"/>
    <col min="7939" max="7939" width="16.4272727272727" style="290" customWidth="1"/>
    <col min="7940" max="7940" width="9.28181818181818" style="290" customWidth="1"/>
    <col min="7941" max="7941" width="6.28181818181818" style="290" customWidth="1"/>
    <col min="7942" max="7942" width="14.4272727272727" style="290" customWidth="1"/>
    <col min="7943" max="7943" width="15.5727272727273" style="290" customWidth="1"/>
    <col min="7944" max="7944" width="10.5727272727273" style="290" customWidth="1"/>
    <col min="7945" max="7945" width="14.4272727272727" style="290" customWidth="1"/>
    <col min="7946" max="7946" width="8" style="290" customWidth="1"/>
    <col min="7947" max="7947" width="16" style="290" customWidth="1"/>
    <col min="7948" max="7948" width="8.85454545454546" style="290" customWidth="1"/>
    <col min="7949" max="7949" width="16.8545454545455" style="290" customWidth="1"/>
    <col min="7950" max="7950" width="9.57272727272727" style="290" customWidth="1"/>
    <col min="7951" max="7951" width="16.1363636363636" style="290" customWidth="1"/>
    <col min="7952" max="7952" width="17.8545454545455" style="290" customWidth="1"/>
    <col min="7953" max="7953" width="14.1363636363636" style="290" customWidth="1"/>
    <col min="7954" max="7954" width="9.13636363636364" style="290"/>
    <col min="7955" max="7955" width="15.5727272727273" style="290" customWidth="1"/>
    <col min="7956" max="7956" width="10.1363636363636" style="290" customWidth="1"/>
    <col min="7957" max="7957" width="12.8545454545455" style="290" customWidth="1"/>
    <col min="7958" max="8192" width="9.13636363636364" style="290"/>
    <col min="8193" max="8193" width="4.57272727272727" style="290" customWidth="1"/>
    <col min="8194" max="8194" width="25.8545454545455" style="290" customWidth="1"/>
    <col min="8195" max="8195" width="16.4272727272727" style="290" customWidth="1"/>
    <col min="8196" max="8196" width="9.28181818181818" style="290" customWidth="1"/>
    <col min="8197" max="8197" width="6.28181818181818" style="290" customWidth="1"/>
    <col min="8198" max="8198" width="14.4272727272727" style="290" customWidth="1"/>
    <col min="8199" max="8199" width="15.5727272727273" style="290" customWidth="1"/>
    <col min="8200" max="8200" width="10.5727272727273" style="290" customWidth="1"/>
    <col min="8201" max="8201" width="14.4272727272727" style="290" customWidth="1"/>
    <col min="8202" max="8202" width="8" style="290" customWidth="1"/>
    <col min="8203" max="8203" width="16" style="290" customWidth="1"/>
    <col min="8204" max="8204" width="8.85454545454546" style="290" customWidth="1"/>
    <col min="8205" max="8205" width="16.8545454545455" style="290" customWidth="1"/>
    <col min="8206" max="8206" width="9.57272727272727" style="290" customWidth="1"/>
    <col min="8207" max="8207" width="16.1363636363636" style="290" customWidth="1"/>
    <col min="8208" max="8208" width="17.8545454545455" style="290" customWidth="1"/>
    <col min="8209" max="8209" width="14.1363636363636" style="290" customWidth="1"/>
    <col min="8210" max="8210" width="9.13636363636364" style="290"/>
    <col min="8211" max="8211" width="15.5727272727273" style="290" customWidth="1"/>
    <col min="8212" max="8212" width="10.1363636363636" style="290" customWidth="1"/>
    <col min="8213" max="8213" width="12.8545454545455" style="290" customWidth="1"/>
    <col min="8214" max="8448" width="9.13636363636364" style="290"/>
    <col min="8449" max="8449" width="4.57272727272727" style="290" customWidth="1"/>
    <col min="8450" max="8450" width="25.8545454545455" style="290" customWidth="1"/>
    <col min="8451" max="8451" width="16.4272727272727" style="290" customWidth="1"/>
    <col min="8452" max="8452" width="9.28181818181818" style="290" customWidth="1"/>
    <col min="8453" max="8453" width="6.28181818181818" style="290" customWidth="1"/>
    <col min="8454" max="8454" width="14.4272727272727" style="290" customWidth="1"/>
    <col min="8455" max="8455" width="15.5727272727273" style="290" customWidth="1"/>
    <col min="8456" max="8456" width="10.5727272727273" style="290" customWidth="1"/>
    <col min="8457" max="8457" width="14.4272727272727" style="290" customWidth="1"/>
    <col min="8458" max="8458" width="8" style="290" customWidth="1"/>
    <col min="8459" max="8459" width="16" style="290" customWidth="1"/>
    <col min="8460" max="8460" width="8.85454545454546" style="290" customWidth="1"/>
    <col min="8461" max="8461" width="16.8545454545455" style="290" customWidth="1"/>
    <col min="8462" max="8462" width="9.57272727272727" style="290" customWidth="1"/>
    <col min="8463" max="8463" width="16.1363636363636" style="290" customWidth="1"/>
    <col min="8464" max="8464" width="17.8545454545455" style="290" customWidth="1"/>
    <col min="8465" max="8465" width="14.1363636363636" style="290" customWidth="1"/>
    <col min="8466" max="8466" width="9.13636363636364" style="290"/>
    <col min="8467" max="8467" width="15.5727272727273" style="290" customWidth="1"/>
    <col min="8468" max="8468" width="10.1363636363636" style="290" customWidth="1"/>
    <col min="8469" max="8469" width="12.8545454545455" style="290" customWidth="1"/>
    <col min="8470" max="8704" width="9.13636363636364" style="290"/>
    <col min="8705" max="8705" width="4.57272727272727" style="290" customWidth="1"/>
    <col min="8706" max="8706" width="25.8545454545455" style="290" customWidth="1"/>
    <col min="8707" max="8707" width="16.4272727272727" style="290" customWidth="1"/>
    <col min="8708" max="8708" width="9.28181818181818" style="290" customWidth="1"/>
    <col min="8709" max="8709" width="6.28181818181818" style="290" customWidth="1"/>
    <col min="8710" max="8710" width="14.4272727272727" style="290" customWidth="1"/>
    <col min="8711" max="8711" width="15.5727272727273" style="290" customWidth="1"/>
    <col min="8712" max="8712" width="10.5727272727273" style="290" customWidth="1"/>
    <col min="8713" max="8713" width="14.4272727272727" style="290" customWidth="1"/>
    <col min="8714" max="8714" width="8" style="290" customWidth="1"/>
    <col min="8715" max="8715" width="16" style="290" customWidth="1"/>
    <col min="8716" max="8716" width="8.85454545454546" style="290" customWidth="1"/>
    <col min="8717" max="8717" width="16.8545454545455" style="290" customWidth="1"/>
    <col min="8718" max="8718" width="9.57272727272727" style="290" customWidth="1"/>
    <col min="8719" max="8719" width="16.1363636363636" style="290" customWidth="1"/>
    <col min="8720" max="8720" width="17.8545454545455" style="290" customWidth="1"/>
    <col min="8721" max="8721" width="14.1363636363636" style="290" customWidth="1"/>
    <col min="8722" max="8722" width="9.13636363636364" style="290"/>
    <col min="8723" max="8723" width="15.5727272727273" style="290" customWidth="1"/>
    <col min="8724" max="8724" width="10.1363636363636" style="290" customWidth="1"/>
    <col min="8725" max="8725" width="12.8545454545455" style="290" customWidth="1"/>
    <col min="8726" max="8960" width="9.13636363636364" style="290"/>
    <col min="8961" max="8961" width="4.57272727272727" style="290" customWidth="1"/>
    <col min="8962" max="8962" width="25.8545454545455" style="290" customWidth="1"/>
    <col min="8963" max="8963" width="16.4272727272727" style="290" customWidth="1"/>
    <col min="8964" max="8964" width="9.28181818181818" style="290" customWidth="1"/>
    <col min="8965" max="8965" width="6.28181818181818" style="290" customWidth="1"/>
    <col min="8966" max="8966" width="14.4272727272727" style="290" customWidth="1"/>
    <col min="8967" max="8967" width="15.5727272727273" style="290" customWidth="1"/>
    <col min="8968" max="8968" width="10.5727272727273" style="290" customWidth="1"/>
    <col min="8969" max="8969" width="14.4272727272727" style="290" customWidth="1"/>
    <col min="8970" max="8970" width="8" style="290" customWidth="1"/>
    <col min="8971" max="8971" width="16" style="290" customWidth="1"/>
    <col min="8972" max="8972" width="8.85454545454546" style="290" customWidth="1"/>
    <col min="8973" max="8973" width="16.8545454545455" style="290" customWidth="1"/>
    <col min="8974" max="8974" width="9.57272727272727" style="290" customWidth="1"/>
    <col min="8975" max="8975" width="16.1363636363636" style="290" customWidth="1"/>
    <col min="8976" max="8976" width="17.8545454545455" style="290" customWidth="1"/>
    <col min="8977" max="8977" width="14.1363636363636" style="290" customWidth="1"/>
    <col min="8978" max="8978" width="9.13636363636364" style="290"/>
    <col min="8979" max="8979" width="15.5727272727273" style="290" customWidth="1"/>
    <col min="8980" max="8980" width="10.1363636363636" style="290" customWidth="1"/>
    <col min="8981" max="8981" width="12.8545454545455" style="290" customWidth="1"/>
    <col min="8982" max="9216" width="9.13636363636364" style="290"/>
    <col min="9217" max="9217" width="4.57272727272727" style="290" customWidth="1"/>
    <col min="9218" max="9218" width="25.8545454545455" style="290" customWidth="1"/>
    <col min="9219" max="9219" width="16.4272727272727" style="290" customWidth="1"/>
    <col min="9220" max="9220" width="9.28181818181818" style="290" customWidth="1"/>
    <col min="9221" max="9221" width="6.28181818181818" style="290" customWidth="1"/>
    <col min="9222" max="9222" width="14.4272727272727" style="290" customWidth="1"/>
    <col min="9223" max="9223" width="15.5727272727273" style="290" customWidth="1"/>
    <col min="9224" max="9224" width="10.5727272727273" style="290" customWidth="1"/>
    <col min="9225" max="9225" width="14.4272727272727" style="290" customWidth="1"/>
    <col min="9226" max="9226" width="8" style="290" customWidth="1"/>
    <col min="9227" max="9227" width="16" style="290" customWidth="1"/>
    <col min="9228" max="9228" width="8.85454545454546" style="290" customWidth="1"/>
    <col min="9229" max="9229" width="16.8545454545455" style="290" customWidth="1"/>
    <col min="9230" max="9230" width="9.57272727272727" style="290" customWidth="1"/>
    <col min="9231" max="9231" width="16.1363636363636" style="290" customWidth="1"/>
    <col min="9232" max="9232" width="17.8545454545455" style="290" customWidth="1"/>
    <col min="9233" max="9233" width="14.1363636363636" style="290" customWidth="1"/>
    <col min="9234" max="9234" width="9.13636363636364" style="290"/>
    <col min="9235" max="9235" width="15.5727272727273" style="290" customWidth="1"/>
    <col min="9236" max="9236" width="10.1363636363636" style="290" customWidth="1"/>
    <col min="9237" max="9237" width="12.8545454545455" style="290" customWidth="1"/>
    <col min="9238" max="9472" width="9.13636363636364" style="290"/>
    <col min="9473" max="9473" width="4.57272727272727" style="290" customWidth="1"/>
    <col min="9474" max="9474" width="25.8545454545455" style="290" customWidth="1"/>
    <col min="9475" max="9475" width="16.4272727272727" style="290" customWidth="1"/>
    <col min="9476" max="9476" width="9.28181818181818" style="290" customWidth="1"/>
    <col min="9477" max="9477" width="6.28181818181818" style="290" customWidth="1"/>
    <col min="9478" max="9478" width="14.4272727272727" style="290" customWidth="1"/>
    <col min="9479" max="9479" width="15.5727272727273" style="290" customWidth="1"/>
    <col min="9480" max="9480" width="10.5727272727273" style="290" customWidth="1"/>
    <col min="9481" max="9481" width="14.4272727272727" style="290" customWidth="1"/>
    <col min="9482" max="9482" width="8" style="290" customWidth="1"/>
    <col min="9483" max="9483" width="16" style="290" customWidth="1"/>
    <col min="9484" max="9484" width="8.85454545454546" style="290" customWidth="1"/>
    <col min="9485" max="9485" width="16.8545454545455" style="290" customWidth="1"/>
    <col min="9486" max="9486" width="9.57272727272727" style="290" customWidth="1"/>
    <col min="9487" max="9487" width="16.1363636363636" style="290" customWidth="1"/>
    <col min="9488" max="9488" width="17.8545454545455" style="290" customWidth="1"/>
    <col min="9489" max="9489" width="14.1363636363636" style="290" customWidth="1"/>
    <col min="9490" max="9490" width="9.13636363636364" style="290"/>
    <col min="9491" max="9491" width="15.5727272727273" style="290" customWidth="1"/>
    <col min="9492" max="9492" width="10.1363636363636" style="290" customWidth="1"/>
    <col min="9493" max="9493" width="12.8545454545455" style="290" customWidth="1"/>
    <col min="9494" max="9728" width="9.13636363636364" style="290"/>
    <col min="9729" max="9729" width="4.57272727272727" style="290" customWidth="1"/>
    <col min="9730" max="9730" width="25.8545454545455" style="290" customWidth="1"/>
    <col min="9731" max="9731" width="16.4272727272727" style="290" customWidth="1"/>
    <col min="9732" max="9732" width="9.28181818181818" style="290" customWidth="1"/>
    <col min="9733" max="9733" width="6.28181818181818" style="290" customWidth="1"/>
    <col min="9734" max="9734" width="14.4272727272727" style="290" customWidth="1"/>
    <col min="9735" max="9735" width="15.5727272727273" style="290" customWidth="1"/>
    <col min="9736" max="9736" width="10.5727272727273" style="290" customWidth="1"/>
    <col min="9737" max="9737" width="14.4272727272727" style="290" customWidth="1"/>
    <col min="9738" max="9738" width="8" style="290" customWidth="1"/>
    <col min="9739" max="9739" width="16" style="290" customWidth="1"/>
    <col min="9740" max="9740" width="8.85454545454546" style="290" customWidth="1"/>
    <col min="9741" max="9741" width="16.8545454545455" style="290" customWidth="1"/>
    <col min="9742" max="9742" width="9.57272727272727" style="290" customWidth="1"/>
    <col min="9743" max="9743" width="16.1363636363636" style="290" customWidth="1"/>
    <col min="9744" max="9744" width="17.8545454545455" style="290" customWidth="1"/>
    <col min="9745" max="9745" width="14.1363636363636" style="290" customWidth="1"/>
    <col min="9746" max="9746" width="9.13636363636364" style="290"/>
    <col min="9747" max="9747" width="15.5727272727273" style="290" customWidth="1"/>
    <col min="9748" max="9748" width="10.1363636363636" style="290" customWidth="1"/>
    <col min="9749" max="9749" width="12.8545454545455" style="290" customWidth="1"/>
    <col min="9750" max="9984" width="9.13636363636364" style="290"/>
    <col min="9985" max="9985" width="4.57272727272727" style="290" customWidth="1"/>
    <col min="9986" max="9986" width="25.8545454545455" style="290" customWidth="1"/>
    <col min="9987" max="9987" width="16.4272727272727" style="290" customWidth="1"/>
    <col min="9988" max="9988" width="9.28181818181818" style="290" customWidth="1"/>
    <col min="9989" max="9989" width="6.28181818181818" style="290" customWidth="1"/>
    <col min="9990" max="9990" width="14.4272727272727" style="290" customWidth="1"/>
    <col min="9991" max="9991" width="15.5727272727273" style="290" customWidth="1"/>
    <col min="9992" max="9992" width="10.5727272727273" style="290" customWidth="1"/>
    <col min="9993" max="9993" width="14.4272727272727" style="290" customWidth="1"/>
    <col min="9994" max="9994" width="8" style="290" customWidth="1"/>
    <col min="9995" max="9995" width="16" style="290" customWidth="1"/>
    <col min="9996" max="9996" width="8.85454545454546" style="290" customWidth="1"/>
    <col min="9997" max="9997" width="16.8545454545455" style="290" customWidth="1"/>
    <col min="9998" max="9998" width="9.57272727272727" style="290" customWidth="1"/>
    <col min="9999" max="9999" width="16.1363636363636" style="290" customWidth="1"/>
    <col min="10000" max="10000" width="17.8545454545455" style="290" customWidth="1"/>
    <col min="10001" max="10001" width="14.1363636363636" style="290" customWidth="1"/>
    <col min="10002" max="10002" width="9.13636363636364" style="290"/>
    <col min="10003" max="10003" width="15.5727272727273" style="290" customWidth="1"/>
    <col min="10004" max="10004" width="10.1363636363636" style="290" customWidth="1"/>
    <col min="10005" max="10005" width="12.8545454545455" style="290" customWidth="1"/>
    <col min="10006" max="10240" width="9.13636363636364" style="290"/>
    <col min="10241" max="10241" width="4.57272727272727" style="290" customWidth="1"/>
    <col min="10242" max="10242" width="25.8545454545455" style="290" customWidth="1"/>
    <col min="10243" max="10243" width="16.4272727272727" style="290" customWidth="1"/>
    <col min="10244" max="10244" width="9.28181818181818" style="290" customWidth="1"/>
    <col min="10245" max="10245" width="6.28181818181818" style="290" customWidth="1"/>
    <col min="10246" max="10246" width="14.4272727272727" style="290" customWidth="1"/>
    <col min="10247" max="10247" width="15.5727272727273" style="290" customWidth="1"/>
    <col min="10248" max="10248" width="10.5727272727273" style="290" customWidth="1"/>
    <col min="10249" max="10249" width="14.4272727272727" style="290" customWidth="1"/>
    <col min="10250" max="10250" width="8" style="290" customWidth="1"/>
    <col min="10251" max="10251" width="16" style="290" customWidth="1"/>
    <col min="10252" max="10252" width="8.85454545454546" style="290" customWidth="1"/>
    <col min="10253" max="10253" width="16.8545454545455" style="290" customWidth="1"/>
    <col min="10254" max="10254" width="9.57272727272727" style="290" customWidth="1"/>
    <col min="10255" max="10255" width="16.1363636363636" style="290" customWidth="1"/>
    <col min="10256" max="10256" width="17.8545454545455" style="290" customWidth="1"/>
    <col min="10257" max="10257" width="14.1363636363636" style="290" customWidth="1"/>
    <col min="10258" max="10258" width="9.13636363636364" style="290"/>
    <col min="10259" max="10259" width="15.5727272727273" style="290" customWidth="1"/>
    <col min="10260" max="10260" width="10.1363636363636" style="290" customWidth="1"/>
    <col min="10261" max="10261" width="12.8545454545455" style="290" customWidth="1"/>
    <col min="10262" max="10496" width="9.13636363636364" style="290"/>
    <col min="10497" max="10497" width="4.57272727272727" style="290" customWidth="1"/>
    <col min="10498" max="10498" width="25.8545454545455" style="290" customWidth="1"/>
    <col min="10499" max="10499" width="16.4272727272727" style="290" customWidth="1"/>
    <col min="10500" max="10500" width="9.28181818181818" style="290" customWidth="1"/>
    <col min="10501" max="10501" width="6.28181818181818" style="290" customWidth="1"/>
    <col min="10502" max="10502" width="14.4272727272727" style="290" customWidth="1"/>
    <col min="10503" max="10503" width="15.5727272727273" style="290" customWidth="1"/>
    <col min="10504" max="10504" width="10.5727272727273" style="290" customWidth="1"/>
    <col min="10505" max="10505" width="14.4272727272727" style="290" customWidth="1"/>
    <col min="10506" max="10506" width="8" style="290" customWidth="1"/>
    <col min="10507" max="10507" width="16" style="290" customWidth="1"/>
    <col min="10508" max="10508" width="8.85454545454546" style="290" customWidth="1"/>
    <col min="10509" max="10509" width="16.8545454545455" style="290" customWidth="1"/>
    <col min="10510" max="10510" width="9.57272727272727" style="290" customWidth="1"/>
    <col min="10511" max="10511" width="16.1363636363636" style="290" customWidth="1"/>
    <col min="10512" max="10512" width="17.8545454545455" style="290" customWidth="1"/>
    <col min="10513" max="10513" width="14.1363636363636" style="290" customWidth="1"/>
    <col min="10514" max="10514" width="9.13636363636364" style="290"/>
    <col min="10515" max="10515" width="15.5727272727273" style="290" customWidth="1"/>
    <col min="10516" max="10516" width="10.1363636363636" style="290" customWidth="1"/>
    <col min="10517" max="10517" width="12.8545454545455" style="290" customWidth="1"/>
    <col min="10518" max="10752" width="9.13636363636364" style="290"/>
    <col min="10753" max="10753" width="4.57272727272727" style="290" customWidth="1"/>
    <col min="10754" max="10754" width="25.8545454545455" style="290" customWidth="1"/>
    <col min="10755" max="10755" width="16.4272727272727" style="290" customWidth="1"/>
    <col min="10756" max="10756" width="9.28181818181818" style="290" customWidth="1"/>
    <col min="10757" max="10757" width="6.28181818181818" style="290" customWidth="1"/>
    <col min="10758" max="10758" width="14.4272727272727" style="290" customWidth="1"/>
    <col min="10759" max="10759" width="15.5727272727273" style="290" customWidth="1"/>
    <col min="10760" max="10760" width="10.5727272727273" style="290" customWidth="1"/>
    <col min="10761" max="10761" width="14.4272727272727" style="290" customWidth="1"/>
    <col min="10762" max="10762" width="8" style="290" customWidth="1"/>
    <col min="10763" max="10763" width="16" style="290" customWidth="1"/>
    <col min="10764" max="10764" width="8.85454545454546" style="290" customWidth="1"/>
    <col min="10765" max="10765" width="16.8545454545455" style="290" customWidth="1"/>
    <col min="10766" max="10766" width="9.57272727272727" style="290" customWidth="1"/>
    <col min="10767" max="10767" width="16.1363636363636" style="290" customWidth="1"/>
    <col min="10768" max="10768" width="17.8545454545455" style="290" customWidth="1"/>
    <col min="10769" max="10769" width="14.1363636363636" style="290" customWidth="1"/>
    <col min="10770" max="10770" width="9.13636363636364" style="290"/>
    <col min="10771" max="10771" width="15.5727272727273" style="290" customWidth="1"/>
    <col min="10772" max="10772" width="10.1363636363636" style="290" customWidth="1"/>
    <col min="10773" max="10773" width="12.8545454545455" style="290" customWidth="1"/>
    <col min="10774" max="11008" width="9.13636363636364" style="290"/>
    <col min="11009" max="11009" width="4.57272727272727" style="290" customWidth="1"/>
    <col min="11010" max="11010" width="25.8545454545455" style="290" customWidth="1"/>
    <col min="11011" max="11011" width="16.4272727272727" style="290" customWidth="1"/>
    <col min="11012" max="11012" width="9.28181818181818" style="290" customWidth="1"/>
    <col min="11013" max="11013" width="6.28181818181818" style="290" customWidth="1"/>
    <col min="11014" max="11014" width="14.4272727272727" style="290" customWidth="1"/>
    <col min="11015" max="11015" width="15.5727272727273" style="290" customWidth="1"/>
    <col min="11016" max="11016" width="10.5727272727273" style="290" customWidth="1"/>
    <col min="11017" max="11017" width="14.4272727272727" style="290" customWidth="1"/>
    <col min="11018" max="11018" width="8" style="290" customWidth="1"/>
    <col min="11019" max="11019" width="16" style="290" customWidth="1"/>
    <col min="11020" max="11020" width="8.85454545454546" style="290" customWidth="1"/>
    <col min="11021" max="11021" width="16.8545454545455" style="290" customWidth="1"/>
    <col min="11022" max="11022" width="9.57272727272727" style="290" customWidth="1"/>
    <col min="11023" max="11023" width="16.1363636363636" style="290" customWidth="1"/>
    <col min="11024" max="11024" width="17.8545454545455" style="290" customWidth="1"/>
    <col min="11025" max="11025" width="14.1363636363636" style="290" customWidth="1"/>
    <col min="11026" max="11026" width="9.13636363636364" style="290"/>
    <col min="11027" max="11027" width="15.5727272727273" style="290" customWidth="1"/>
    <col min="11028" max="11028" width="10.1363636363636" style="290" customWidth="1"/>
    <col min="11029" max="11029" width="12.8545454545455" style="290" customWidth="1"/>
    <col min="11030" max="11264" width="9.13636363636364" style="290"/>
    <col min="11265" max="11265" width="4.57272727272727" style="290" customWidth="1"/>
    <col min="11266" max="11266" width="25.8545454545455" style="290" customWidth="1"/>
    <col min="11267" max="11267" width="16.4272727272727" style="290" customWidth="1"/>
    <col min="11268" max="11268" width="9.28181818181818" style="290" customWidth="1"/>
    <col min="11269" max="11269" width="6.28181818181818" style="290" customWidth="1"/>
    <col min="11270" max="11270" width="14.4272727272727" style="290" customWidth="1"/>
    <col min="11271" max="11271" width="15.5727272727273" style="290" customWidth="1"/>
    <col min="11272" max="11272" width="10.5727272727273" style="290" customWidth="1"/>
    <col min="11273" max="11273" width="14.4272727272727" style="290" customWidth="1"/>
    <col min="11274" max="11274" width="8" style="290" customWidth="1"/>
    <col min="11275" max="11275" width="16" style="290" customWidth="1"/>
    <col min="11276" max="11276" width="8.85454545454546" style="290" customWidth="1"/>
    <col min="11277" max="11277" width="16.8545454545455" style="290" customWidth="1"/>
    <col min="11278" max="11278" width="9.57272727272727" style="290" customWidth="1"/>
    <col min="11279" max="11279" width="16.1363636363636" style="290" customWidth="1"/>
    <col min="11280" max="11280" width="17.8545454545455" style="290" customWidth="1"/>
    <col min="11281" max="11281" width="14.1363636363636" style="290" customWidth="1"/>
    <col min="11282" max="11282" width="9.13636363636364" style="290"/>
    <col min="11283" max="11283" width="15.5727272727273" style="290" customWidth="1"/>
    <col min="11284" max="11284" width="10.1363636363636" style="290" customWidth="1"/>
    <col min="11285" max="11285" width="12.8545454545455" style="290" customWidth="1"/>
    <col min="11286" max="11520" width="9.13636363636364" style="290"/>
    <col min="11521" max="11521" width="4.57272727272727" style="290" customWidth="1"/>
    <col min="11522" max="11522" width="25.8545454545455" style="290" customWidth="1"/>
    <col min="11523" max="11523" width="16.4272727272727" style="290" customWidth="1"/>
    <col min="11524" max="11524" width="9.28181818181818" style="290" customWidth="1"/>
    <col min="11525" max="11525" width="6.28181818181818" style="290" customWidth="1"/>
    <col min="11526" max="11526" width="14.4272727272727" style="290" customWidth="1"/>
    <col min="11527" max="11527" width="15.5727272727273" style="290" customWidth="1"/>
    <col min="11528" max="11528" width="10.5727272727273" style="290" customWidth="1"/>
    <col min="11529" max="11529" width="14.4272727272727" style="290" customWidth="1"/>
    <col min="11530" max="11530" width="8" style="290" customWidth="1"/>
    <col min="11531" max="11531" width="16" style="290" customWidth="1"/>
    <col min="11532" max="11532" width="8.85454545454546" style="290" customWidth="1"/>
    <col min="11533" max="11533" width="16.8545454545455" style="290" customWidth="1"/>
    <col min="11534" max="11534" width="9.57272727272727" style="290" customWidth="1"/>
    <col min="11535" max="11535" width="16.1363636363636" style="290" customWidth="1"/>
    <col min="11536" max="11536" width="17.8545454545455" style="290" customWidth="1"/>
    <col min="11537" max="11537" width="14.1363636363636" style="290" customWidth="1"/>
    <col min="11538" max="11538" width="9.13636363636364" style="290"/>
    <col min="11539" max="11539" width="15.5727272727273" style="290" customWidth="1"/>
    <col min="11540" max="11540" width="10.1363636363636" style="290" customWidth="1"/>
    <col min="11541" max="11541" width="12.8545454545455" style="290" customWidth="1"/>
    <col min="11542" max="11776" width="9.13636363636364" style="290"/>
    <col min="11777" max="11777" width="4.57272727272727" style="290" customWidth="1"/>
    <col min="11778" max="11778" width="25.8545454545455" style="290" customWidth="1"/>
    <col min="11779" max="11779" width="16.4272727272727" style="290" customWidth="1"/>
    <col min="11780" max="11780" width="9.28181818181818" style="290" customWidth="1"/>
    <col min="11781" max="11781" width="6.28181818181818" style="290" customWidth="1"/>
    <col min="11782" max="11782" width="14.4272727272727" style="290" customWidth="1"/>
    <col min="11783" max="11783" width="15.5727272727273" style="290" customWidth="1"/>
    <col min="11784" max="11784" width="10.5727272727273" style="290" customWidth="1"/>
    <col min="11785" max="11785" width="14.4272727272727" style="290" customWidth="1"/>
    <col min="11786" max="11786" width="8" style="290" customWidth="1"/>
    <col min="11787" max="11787" width="16" style="290" customWidth="1"/>
    <col min="11788" max="11788" width="8.85454545454546" style="290" customWidth="1"/>
    <col min="11789" max="11789" width="16.8545454545455" style="290" customWidth="1"/>
    <col min="11790" max="11790" width="9.57272727272727" style="290" customWidth="1"/>
    <col min="11791" max="11791" width="16.1363636363636" style="290" customWidth="1"/>
    <col min="11792" max="11792" width="17.8545454545455" style="290" customWidth="1"/>
    <col min="11793" max="11793" width="14.1363636363636" style="290" customWidth="1"/>
    <col min="11794" max="11794" width="9.13636363636364" style="290"/>
    <col min="11795" max="11795" width="15.5727272727273" style="290" customWidth="1"/>
    <col min="11796" max="11796" width="10.1363636363636" style="290" customWidth="1"/>
    <col min="11797" max="11797" width="12.8545454545455" style="290" customWidth="1"/>
    <col min="11798" max="12032" width="9.13636363636364" style="290"/>
    <col min="12033" max="12033" width="4.57272727272727" style="290" customWidth="1"/>
    <col min="12034" max="12034" width="25.8545454545455" style="290" customWidth="1"/>
    <col min="12035" max="12035" width="16.4272727272727" style="290" customWidth="1"/>
    <col min="12036" max="12036" width="9.28181818181818" style="290" customWidth="1"/>
    <col min="12037" max="12037" width="6.28181818181818" style="290" customWidth="1"/>
    <col min="12038" max="12038" width="14.4272727272727" style="290" customWidth="1"/>
    <col min="12039" max="12039" width="15.5727272727273" style="290" customWidth="1"/>
    <col min="12040" max="12040" width="10.5727272727273" style="290" customWidth="1"/>
    <col min="12041" max="12041" width="14.4272727272727" style="290" customWidth="1"/>
    <col min="12042" max="12042" width="8" style="290" customWidth="1"/>
    <col min="12043" max="12043" width="16" style="290" customWidth="1"/>
    <col min="12044" max="12044" width="8.85454545454546" style="290" customWidth="1"/>
    <col min="12045" max="12045" width="16.8545454545455" style="290" customWidth="1"/>
    <col min="12046" max="12046" width="9.57272727272727" style="290" customWidth="1"/>
    <col min="12047" max="12047" width="16.1363636363636" style="290" customWidth="1"/>
    <col min="12048" max="12048" width="17.8545454545455" style="290" customWidth="1"/>
    <col min="12049" max="12049" width="14.1363636363636" style="290" customWidth="1"/>
    <col min="12050" max="12050" width="9.13636363636364" style="290"/>
    <col min="12051" max="12051" width="15.5727272727273" style="290" customWidth="1"/>
    <col min="12052" max="12052" width="10.1363636363636" style="290" customWidth="1"/>
    <col min="12053" max="12053" width="12.8545454545455" style="290" customWidth="1"/>
    <col min="12054" max="12288" width="9.13636363636364" style="290"/>
    <col min="12289" max="12289" width="4.57272727272727" style="290" customWidth="1"/>
    <col min="12290" max="12290" width="25.8545454545455" style="290" customWidth="1"/>
    <col min="12291" max="12291" width="16.4272727272727" style="290" customWidth="1"/>
    <col min="12292" max="12292" width="9.28181818181818" style="290" customWidth="1"/>
    <col min="12293" max="12293" width="6.28181818181818" style="290" customWidth="1"/>
    <col min="12294" max="12294" width="14.4272727272727" style="290" customWidth="1"/>
    <col min="12295" max="12295" width="15.5727272727273" style="290" customWidth="1"/>
    <col min="12296" max="12296" width="10.5727272727273" style="290" customWidth="1"/>
    <col min="12297" max="12297" width="14.4272727272727" style="290" customWidth="1"/>
    <col min="12298" max="12298" width="8" style="290" customWidth="1"/>
    <col min="12299" max="12299" width="16" style="290" customWidth="1"/>
    <col min="12300" max="12300" width="8.85454545454546" style="290" customWidth="1"/>
    <col min="12301" max="12301" width="16.8545454545455" style="290" customWidth="1"/>
    <col min="12302" max="12302" width="9.57272727272727" style="290" customWidth="1"/>
    <col min="12303" max="12303" width="16.1363636363636" style="290" customWidth="1"/>
    <col min="12304" max="12304" width="17.8545454545455" style="290" customWidth="1"/>
    <col min="12305" max="12305" width="14.1363636363636" style="290" customWidth="1"/>
    <col min="12306" max="12306" width="9.13636363636364" style="290"/>
    <col min="12307" max="12307" width="15.5727272727273" style="290" customWidth="1"/>
    <col min="12308" max="12308" width="10.1363636363636" style="290" customWidth="1"/>
    <col min="12309" max="12309" width="12.8545454545455" style="290" customWidth="1"/>
    <col min="12310" max="12544" width="9.13636363636364" style="290"/>
    <col min="12545" max="12545" width="4.57272727272727" style="290" customWidth="1"/>
    <col min="12546" max="12546" width="25.8545454545455" style="290" customWidth="1"/>
    <col min="12547" max="12547" width="16.4272727272727" style="290" customWidth="1"/>
    <col min="12548" max="12548" width="9.28181818181818" style="290" customWidth="1"/>
    <col min="12549" max="12549" width="6.28181818181818" style="290" customWidth="1"/>
    <col min="12550" max="12550" width="14.4272727272727" style="290" customWidth="1"/>
    <col min="12551" max="12551" width="15.5727272727273" style="290" customWidth="1"/>
    <col min="12552" max="12552" width="10.5727272727273" style="290" customWidth="1"/>
    <col min="12553" max="12553" width="14.4272727272727" style="290" customWidth="1"/>
    <col min="12554" max="12554" width="8" style="290" customWidth="1"/>
    <col min="12555" max="12555" width="16" style="290" customWidth="1"/>
    <col min="12556" max="12556" width="8.85454545454546" style="290" customWidth="1"/>
    <col min="12557" max="12557" width="16.8545454545455" style="290" customWidth="1"/>
    <col min="12558" max="12558" width="9.57272727272727" style="290" customWidth="1"/>
    <col min="12559" max="12559" width="16.1363636363636" style="290" customWidth="1"/>
    <col min="12560" max="12560" width="17.8545454545455" style="290" customWidth="1"/>
    <col min="12561" max="12561" width="14.1363636363636" style="290" customWidth="1"/>
    <col min="12562" max="12562" width="9.13636363636364" style="290"/>
    <col min="12563" max="12563" width="15.5727272727273" style="290" customWidth="1"/>
    <col min="12564" max="12564" width="10.1363636363636" style="290" customWidth="1"/>
    <col min="12565" max="12565" width="12.8545454545455" style="290" customWidth="1"/>
    <col min="12566" max="12800" width="9.13636363636364" style="290"/>
    <col min="12801" max="12801" width="4.57272727272727" style="290" customWidth="1"/>
    <col min="12802" max="12802" width="25.8545454545455" style="290" customWidth="1"/>
    <col min="12803" max="12803" width="16.4272727272727" style="290" customWidth="1"/>
    <col min="12804" max="12804" width="9.28181818181818" style="290" customWidth="1"/>
    <col min="12805" max="12805" width="6.28181818181818" style="290" customWidth="1"/>
    <col min="12806" max="12806" width="14.4272727272727" style="290" customWidth="1"/>
    <col min="12807" max="12807" width="15.5727272727273" style="290" customWidth="1"/>
    <col min="12808" max="12808" width="10.5727272727273" style="290" customWidth="1"/>
    <col min="12809" max="12809" width="14.4272727272727" style="290" customWidth="1"/>
    <col min="12810" max="12810" width="8" style="290" customWidth="1"/>
    <col min="12811" max="12811" width="16" style="290" customWidth="1"/>
    <col min="12812" max="12812" width="8.85454545454546" style="290" customWidth="1"/>
    <col min="12813" max="12813" width="16.8545454545455" style="290" customWidth="1"/>
    <col min="12814" max="12814" width="9.57272727272727" style="290" customWidth="1"/>
    <col min="12815" max="12815" width="16.1363636363636" style="290" customWidth="1"/>
    <col min="12816" max="12816" width="17.8545454545455" style="290" customWidth="1"/>
    <col min="12817" max="12817" width="14.1363636363636" style="290" customWidth="1"/>
    <col min="12818" max="12818" width="9.13636363636364" style="290"/>
    <col min="12819" max="12819" width="15.5727272727273" style="290" customWidth="1"/>
    <col min="12820" max="12820" width="10.1363636363636" style="290" customWidth="1"/>
    <col min="12821" max="12821" width="12.8545454545455" style="290" customWidth="1"/>
    <col min="12822" max="13056" width="9.13636363636364" style="290"/>
    <col min="13057" max="13057" width="4.57272727272727" style="290" customWidth="1"/>
    <col min="13058" max="13058" width="25.8545454545455" style="290" customWidth="1"/>
    <col min="13059" max="13059" width="16.4272727272727" style="290" customWidth="1"/>
    <col min="13060" max="13060" width="9.28181818181818" style="290" customWidth="1"/>
    <col min="13061" max="13061" width="6.28181818181818" style="290" customWidth="1"/>
    <col min="13062" max="13062" width="14.4272727272727" style="290" customWidth="1"/>
    <col min="13063" max="13063" width="15.5727272727273" style="290" customWidth="1"/>
    <col min="13064" max="13064" width="10.5727272727273" style="290" customWidth="1"/>
    <col min="13065" max="13065" width="14.4272727272727" style="290" customWidth="1"/>
    <col min="13066" max="13066" width="8" style="290" customWidth="1"/>
    <col min="13067" max="13067" width="16" style="290" customWidth="1"/>
    <col min="13068" max="13068" width="8.85454545454546" style="290" customWidth="1"/>
    <col min="13069" max="13069" width="16.8545454545455" style="290" customWidth="1"/>
    <col min="13070" max="13070" width="9.57272727272727" style="290" customWidth="1"/>
    <col min="13071" max="13071" width="16.1363636363636" style="290" customWidth="1"/>
    <col min="13072" max="13072" width="17.8545454545455" style="290" customWidth="1"/>
    <col min="13073" max="13073" width="14.1363636363636" style="290" customWidth="1"/>
    <col min="13074" max="13074" width="9.13636363636364" style="290"/>
    <col min="13075" max="13075" width="15.5727272727273" style="290" customWidth="1"/>
    <col min="13076" max="13076" width="10.1363636363636" style="290" customWidth="1"/>
    <col min="13077" max="13077" width="12.8545454545455" style="290" customWidth="1"/>
    <col min="13078" max="13312" width="9.13636363636364" style="290"/>
    <col min="13313" max="13313" width="4.57272727272727" style="290" customWidth="1"/>
    <col min="13314" max="13314" width="25.8545454545455" style="290" customWidth="1"/>
    <col min="13315" max="13315" width="16.4272727272727" style="290" customWidth="1"/>
    <col min="13316" max="13316" width="9.28181818181818" style="290" customWidth="1"/>
    <col min="13317" max="13317" width="6.28181818181818" style="290" customWidth="1"/>
    <col min="13318" max="13318" width="14.4272727272727" style="290" customWidth="1"/>
    <col min="13319" max="13319" width="15.5727272727273" style="290" customWidth="1"/>
    <col min="13320" max="13320" width="10.5727272727273" style="290" customWidth="1"/>
    <col min="13321" max="13321" width="14.4272727272727" style="290" customWidth="1"/>
    <col min="13322" max="13322" width="8" style="290" customWidth="1"/>
    <col min="13323" max="13323" width="16" style="290" customWidth="1"/>
    <col min="13324" max="13324" width="8.85454545454546" style="290" customWidth="1"/>
    <col min="13325" max="13325" width="16.8545454545455" style="290" customWidth="1"/>
    <col min="13326" max="13326" width="9.57272727272727" style="290" customWidth="1"/>
    <col min="13327" max="13327" width="16.1363636363636" style="290" customWidth="1"/>
    <col min="13328" max="13328" width="17.8545454545455" style="290" customWidth="1"/>
    <col min="13329" max="13329" width="14.1363636363636" style="290" customWidth="1"/>
    <col min="13330" max="13330" width="9.13636363636364" style="290"/>
    <col min="13331" max="13331" width="15.5727272727273" style="290" customWidth="1"/>
    <col min="13332" max="13332" width="10.1363636363636" style="290" customWidth="1"/>
    <col min="13333" max="13333" width="12.8545454545455" style="290" customWidth="1"/>
    <col min="13334" max="13568" width="9.13636363636364" style="290"/>
    <col min="13569" max="13569" width="4.57272727272727" style="290" customWidth="1"/>
    <col min="13570" max="13570" width="25.8545454545455" style="290" customWidth="1"/>
    <col min="13571" max="13571" width="16.4272727272727" style="290" customWidth="1"/>
    <col min="13572" max="13572" width="9.28181818181818" style="290" customWidth="1"/>
    <col min="13573" max="13573" width="6.28181818181818" style="290" customWidth="1"/>
    <col min="13574" max="13574" width="14.4272727272727" style="290" customWidth="1"/>
    <col min="13575" max="13575" width="15.5727272727273" style="290" customWidth="1"/>
    <col min="13576" max="13576" width="10.5727272727273" style="290" customWidth="1"/>
    <col min="13577" max="13577" width="14.4272727272727" style="290" customWidth="1"/>
    <col min="13578" max="13578" width="8" style="290" customWidth="1"/>
    <col min="13579" max="13579" width="16" style="290" customWidth="1"/>
    <col min="13580" max="13580" width="8.85454545454546" style="290" customWidth="1"/>
    <col min="13581" max="13581" width="16.8545454545455" style="290" customWidth="1"/>
    <col min="13582" max="13582" width="9.57272727272727" style="290" customWidth="1"/>
    <col min="13583" max="13583" width="16.1363636363636" style="290" customWidth="1"/>
    <col min="13584" max="13584" width="17.8545454545455" style="290" customWidth="1"/>
    <col min="13585" max="13585" width="14.1363636363636" style="290" customWidth="1"/>
    <col min="13586" max="13586" width="9.13636363636364" style="290"/>
    <col min="13587" max="13587" width="15.5727272727273" style="290" customWidth="1"/>
    <col min="13588" max="13588" width="10.1363636363636" style="290" customWidth="1"/>
    <col min="13589" max="13589" width="12.8545454545455" style="290" customWidth="1"/>
    <col min="13590" max="13824" width="9.13636363636364" style="290"/>
    <col min="13825" max="13825" width="4.57272727272727" style="290" customWidth="1"/>
    <col min="13826" max="13826" width="25.8545454545455" style="290" customWidth="1"/>
    <col min="13827" max="13827" width="16.4272727272727" style="290" customWidth="1"/>
    <col min="13828" max="13828" width="9.28181818181818" style="290" customWidth="1"/>
    <col min="13829" max="13829" width="6.28181818181818" style="290" customWidth="1"/>
    <col min="13830" max="13830" width="14.4272727272727" style="290" customWidth="1"/>
    <col min="13831" max="13831" width="15.5727272727273" style="290" customWidth="1"/>
    <col min="13832" max="13832" width="10.5727272727273" style="290" customWidth="1"/>
    <col min="13833" max="13833" width="14.4272727272727" style="290" customWidth="1"/>
    <col min="13834" max="13834" width="8" style="290" customWidth="1"/>
    <col min="13835" max="13835" width="16" style="290" customWidth="1"/>
    <col min="13836" max="13836" width="8.85454545454546" style="290" customWidth="1"/>
    <col min="13837" max="13837" width="16.8545454545455" style="290" customWidth="1"/>
    <col min="13838" max="13838" width="9.57272727272727" style="290" customWidth="1"/>
    <col min="13839" max="13839" width="16.1363636363636" style="290" customWidth="1"/>
    <col min="13840" max="13840" width="17.8545454545455" style="290" customWidth="1"/>
    <col min="13841" max="13841" width="14.1363636363636" style="290" customWidth="1"/>
    <col min="13842" max="13842" width="9.13636363636364" style="290"/>
    <col min="13843" max="13843" width="15.5727272727273" style="290" customWidth="1"/>
    <col min="13844" max="13844" width="10.1363636363636" style="290" customWidth="1"/>
    <col min="13845" max="13845" width="12.8545454545455" style="290" customWidth="1"/>
    <col min="13846" max="14080" width="9.13636363636364" style="290"/>
    <col min="14081" max="14081" width="4.57272727272727" style="290" customWidth="1"/>
    <col min="14082" max="14082" width="25.8545454545455" style="290" customWidth="1"/>
    <col min="14083" max="14083" width="16.4272727272727" style="290" customWidth="1"/>
    <col min="14084" max="14084" width="9.28181818181818" style="290" customWidth="1"/>
    <col min="14085" max="14085" width="6.28181818181818" style="290" customWidth="1"/>
    <col min="14086" max="14086" width="14.4272727272727" style="290" customWidth="1"/>
    <col min="14087" max="14087" width="15.5727272727273" style="290" customWidth="1"/>
    <col min="14088" max="14088" width="10.5727272727273" style="290" customWidth="1"/>
    <col min="14089" max="14089" width="14.4272727272727" style="290" customWidth="1"/>
    <col min="14090" max="14090" width="8" style="290" customWidth="1"/>
    <col min="14091" max="14091" width="16" style="290" customWidth="1"/>
    <col min="14092" max="14092" width="8.85454545454546" style="290" customWidth="1"/>
    <col min="14093" max="14093" width="16.8545454545455" style="290" customWidth="1"/>
    <col min="14094" max="14094" width="9.57272727272727" style="290" customWidth="1"/>
    <col min="14095" max="14095" width="16.1363636363636" style="290" customWidth="1"/>
    <col min="14096" max="14096" width="17.8545454545455" style="290" customWidth="1"/>
    <col min="14097" max="14097" width="14.1363636363636" style="290" customWidth="1"/>
    <col min="14098" max="14098" width="9.13636363636364" style="290"/>
    <col min="14099" max="14099" width="15.5727272727273" style="290" customWidth="1"/>
    <col min="14100" max="14100" width="10.1363636363636" style="290" customWidth="1"/>
    <col min="14101" max="14101" width="12.8545454545455" style="290" customWidth="1"/>
    <col min="14102" max="14336" width="9.13636363636364" style="290"/>
    <col min="14337" max="14337" width="4.57272727272727" style="290" customWidth="1"/>
    <col min="14338" max="14338" width="25.8545454545455" style="290" customWidth="1"/>
    <col min="14339" max="14339" width="16.4272727272727" style="290" customWidth="1"/>
    <col min="14340" max="14340" width="9.28181818181818" style="290" customWidth="1"/>
    <col min="14341" max="14341" width="6.28181818181818" style="290" customWidth="1"/>
    <col min="14342" max="14342" width="14.4272727272727" style="290" customWidth="1"/>
    <col min="14343" max="14343" width="15.5727272727273" style="290" customWidth="1"/>
    <col min="14344" max="14344" width="10.5727272727273" style="290" customWidth="1"/>
    <col min="14345" max="14345" width="14.4272727272727" style="290" customWidth="1"/>
    <col min="14346" max="14346" width="8" style="290" customWidth="1"/>
    <col min="14347" max="14347" width="16" style="290" customWidth="1"/>
    <col min="14348" max="14348" width="8.85454545454546" style="290" customWidth="1"/>
    <col min="14349" max="14349" width="16.8545454545455" style="290" customWidth="1"/>
    <col min="14350" max="14350" width="9.57272727272727" style="290" customWidth="1"/>
    <col min="14351" max="14351" width="16.1363636363636" style="290" customWidth="1"/>
    <col min="14352" max="14352" width="17.8545454545455" style="290" customWidth="1"/>
    <col min="14353" max="14353" width="14.1363636363636" style="290" customWidth="1"/>
    <col min="14354" max="14354" width="9.13636363636364" style="290"/>
    <col min="14355" max="14355" width="15.5727272727273" style="290" customWidth="1"/>
    <col min="14356" max="14356" width="10.1363636363636" style="290" customWidth="1"/>
    <col min="14357" max="14357" width="12.8545454545455" style="290" customWidth="1"/>
    <col min="14358" max="14592" width="9.13636363636364" style="290"/>
    <col min="14593" max="14593" width="4.57272727272727" style="290" customWidth="1"/>
    <col min="14594" max="14594" width="25.8545454545455" style="290" customWidth="1"/>
    <col min="14595" max="14595" width="16.4272727272727" style="290" customWidth="1"/>
    <col min="14596" max="14596" width="9.28181818181818" style="290" customWidth="1"/>
    <col min="14597" max="14597" width="6.28181818181818" style="290" customWidth="1"/>
    <col min="14598" max="14598" width="14.4272727272727" style="290" customWidth="1"/>
    <col min="14599" max="14599" width="15.5727272727273" style="290" customWidth="1"/>
    <col min="14600" max="14600" width="10.5727272727273" style="290" customWidth="1"/>
    <col min="14601" max="14601" width="14.4272727272727" style="290" customWidth="1"/>
    <col min="14602" max="14602" width="8" style="290" customWidth="1"/>
    <col min="14603" max="14603" width="16" style="290" customWidth="1"/>
    <col min="14604" max="14604" width="8.85454545454546" style="290" customWidth="1"/>
    <col min="14605" max="14605" width="16.8545454545455" style="290" customWidth="1"/>
    <col min="14606" max="14606" width="9.57272727272727" style="290" customWidth="1"/>
    <col min="14607" max="14607" width="16.1363636363636" style="290" customWidth="1"/>
    <col min="14608" max="14608" width="17.8545454545455" style="290" customWidth="1"/>
    <col min="14609" max="14609" width="14.1363636363636" style="290" customWidth="1"/>
    <col min="14610" max="14610" width="9.13636363636364" style="290"/>
    <col min="14611" max="14611" width="15.5727272727273" style="290" customWidth="1"/>
    <col min="14612" max="14612" width="10.1363636363636" style="290" customWidth="1"/>
    <col min="14613" max="14613" width="12.8545454545455" style="290" customWidth="1"/>
    <col min="14614" max="14848" width="9.13636363636364" style="290"/>
    <col min="14849" max="14849" width="4.57272727272727" style="290" customWidth="1"/>
    <col min="14850" max="14850" width="25.8545454545455" style="290" customWidth="1"/>
    <col min="14851" max="14851" width="16.4272727272727" style="290" customWidth="1"/>
    <col min="14852" max="14852" width="9.28181818181818" style="290" customWidth="1"/>
    <col min="14853" max="14853" width="6.28181818181818" style="290" customWidth="1"/>
    <col min="14854" max="14854" width="14.4272727272727" style="290" customWidth="1"/>
    <col min="14855" max="14855" width="15.5727272727273" style="290" customWidth="1"/>
    <col min="14856" max="14856" width="10.5727272727273" style="290" customWidth="1"/>
    <col min="14857" max="14857" width="14.4272727272727" style="290" customWidth="1"/>
    <col min="14858" max="14858" width="8" style="290" customWidth="1"/>
    <col min="14859" max="14859" width="16" style="290" customWidth="1"/>
    <col min="14860" max="14860" width="8.85454545454546" style="290" customWidth="1"/>
    <col min="14861" max="14861" width="16.8545454545455" style="290" customWidth="1"/>
    <col min="14862" max="14862" width="9.57272727272727" style="290" customWidth="1"/>
    <col min="14863" max="14863" width="16.1363636363636" style="290" customWidth="1"/>
    <col min="14864" max="14864" width="17.8545454545455" style="290" customWidth="1"/>
    <col min="14865" max="14865" width="14.1363636363636" style="290" customWidth="1"/>
    <col min="14866" max="14866" width="9.13636363636364" style="290"/>
    <col min="14867" max="14867" width="15.5727272727273" style="290" customWidth="1"/>
    <col min="14868" max="14868" width="10.1363636363636" style="290" customWidth="1"/>
    <col min="14869" max="14869" width="12.8545454545455" style="290" customWidth="1"/>
    <col min="14870" max="15104" width="9.13636363636364" style="290"/>
    <col min="15105" max="15105" width="4.57272727272727" style="290" customWidth="1"/>
    <col min="15106" max="15106" width="25.8545454545455" style="290" customWidth="1"/>
    <col min="15107" max="15107" width="16.4272727272727" style="290" customWidth="1"/>
    <col min="15108" max="15108" width="9.28181818181818" style="290" customWidth="1"/>
    <col min="15109" max="15109" width="6.28181818181818" style="290" customWidth="1"/>
    <col min="15110" max="15110" width="14.4272727272727" style="290" customWidth="1"/>
    <col min="15111" max="15111" width="15.5727272727273" style="290" customWidth="1"/>
    <col min="15112" max="15112" width="10.5727272727273" style="290" customWidth="1"/>
    <col min="15113" max="15113" width="14.4272727272727" style="290" customWidth="1"/>
    <col min="15114" max="15114" width="8" style="290" customWidth="1"/>
    <col min="15115" max="15115" width="16" style="290" customWidth="1"/>
    <col min="15116" max="15116" width="8.85454545454546" style="290" customWidth="1"/>
    <col min="15117" max="15117" width="16.8545454545455" style="290" customWidth="1"/>
    <col min="15118" max="15118" width="9.57272727272727" style="290" customWidth="1"/>
    <col min="15119" max="15119" width="16.1363636363636" style="290" customWidth="1"/>
    <col min="15120" max="15120" width="17.8545454545455" style="290" customWidth="1"/>
    <col min="15121" max="15121" width="14.1363636363636" style="290" customWidth="1"/>
    <col min="15122" max="15122" width="9.13636363636364" style="290"/>
    <col min="15123" max="15123" width="15.5727272727273" style="290" customWidth="1"/>
    <col min="15124" max="15124" width="10.1363636363636" style="290" customWidth="1"/>
    <col min="15125" max="15125" width="12.8545454545455" style="290" customWidth="1"/>
    <col min="15126" max="15360" width="9.13636363636364" style="290"/>
    <col min="15361" max="15361" width="4.57272727272727" style="290" customWidth="1"/>
    <col min="15362" max="15362" width="25.8545454545455" style="290" customWidth="1"/>
    <col min="15363" max="15363" width="16.4272727272727" style="290" customWidth="1"/>
    <col min="15364" max="15364" width="9.28181818181818" style="290" customWidth="1"/>
    <col min="15365" max="15365" width="6.28181818181818" style="290" customWidth="1"/>
    <col min="15366" max="15366" width="14.4272727272727" style="290" customWidth="1"/>
    <col min="15367" max="15367" width="15.5727272727273" style="290" customWidth="1"/>
    <col min="15368" max="15368" width="10.5727272727273" style="290" customWidth="1"/>
    <col min="15369" max="15369" width="14.4272727272727" style="290" customWidth="1"/>
    <col min="15370" max="15370" width="8" style="290" customWidth="1"/>
    <col min="15371" max="15371" width="16" style="290" customWidth="1"/>
    <col min="15372" max="15372" width="8.85454545454546" style="290" customWidth="1"/>
    <col min="15373" max="15373" width="16.8545454545455" style="290" customWidth="1"/>
    <col min="15374" max="15374" width="9.57272727272727" style="290" customWidth="1"/>
    <col min="15375" max="15375" width="16.1363636363636" style="290" customWidth="1"/>
    <col min="15376" max="15376" width="17.8545454545455" style="290" customWidth="1"/>
    <col min="15377" max="15377" width="14.1363636363636" style="290" customWidth="1"/>
    <col min="15378" max="15378" width="9.13636363636364" style="290"/>
    <col min="15379" max="15379" width="15.5727272727273" style="290" customWidth="1"/>
    <col min="15380" max="15380" width="10.1363636363636" style="290" customWidth="1"/>
    <col min="15381" max="15381" width="12.8545454545455" style="290" customWidth="1"/>
    <col min="15382" max="15616" width="9.13636363636364" style="290"/>
    <col min="15617" max="15617" width="4.57272727272727" style="290" customWidth="1"/>
    <col min="15618" max="15618" width="25.8545454545455" style="290" customWidth="1"/>
    <col min="15619" max="15619" width="16.4272727272727" style="290" customWidth="1"/>
    <col min="15620" max="15620" width="9.28181818181818" style="290" customWidth="1"/>
    <col min="15621" max="15621" width="6.28181818181818" style="290" customWidth="1"/>
    <col min="15622" max="15622" width="14.4272727272727" style="290" customWidth="1"/>
    <col min="15623" max="15623" width="15.5727272727273" style="290" customWidth="1"/>
    <col min="15624" max="15624" width="10.5727272727273" style="290" customWidth="1"/>
    <col min="15625" max="15625" width="14.4272727272727" style="290" customWidth="1"/>
    <col min="15626" max="15626" width="8" style="290" customWidth="1"/>
    <col min="15627" max="15627" width="16" style="290" customWidth="1"/>
    <col min="15628" max="15628" width="8.85454545454546" style="290" customWidth="1"/>
    <col min="15629" max="15629" width="16.8545454545455" style="290" customWidth="1"/>
    <col min="15630" max="15630" width="9.57272727272727" style="290" customWidth="1"/>
    <col min="15631" max="15631" width="16.1363636363636" style="290" customWidth="1"/>
    <col min="15632" max="15632" width="17.8545454545455" style="290" customWidth="1"/>
    <col min="15633" max="15633" width="14.1363636363636" style="290" customWidth="1"/>
    <col min="15634" max="15634" width="9.13636363636364" style="290"/>
    <col min="15635" max="15635" width="15.5727272727273" style="290" customWidth="1"/>
    <col min="15636" max="15636" width="10.1363636363636" style="290" customWidth="1"/>
    <col min="15637" max="15637" width="12.8545454545455" style="290" customWidth="1"/>
    <col min="15638" max="15872" width="9.13636363636364" style="290"/>
    <col min="15873" max="15873" width="4.57272727272727" style="290" customWidth="1"/>
    <col min="15874" max="15874" width="25.8545454545455" style="290" customWidth="1"/>
    <col min="15875" max="15875" width="16.4272727272727" style="290" customWidth="1"/>
    <col min="15876" max="15876" width="9.28181818181818" style="290" customWidth="1"/>
    <col min="15877" max="15877" width="6.28181818181818" style="290" customWidth="1"/>
    <col min="15878" max="15878" width="14.4272727272727" style="290" customWidth="1"/>
    <col min="15879" max="15879" width="15.5727272727273" style="290" customWidth="1"/>
    <col min="15880" max="15880" width="10.5727272727273" style="290" customWidth="1"/>
    <col min="15881" max="15881" width="14.4272727272727" style="290" customWidth="1"/>
    <col min="15882" max="15882" width="8" style="290" customWidth="1"/>
    <col min="15883" max="15883" width="16" style="290" customWidth="1"/>
    <col min="15884" max="15884" width="8.85454545454546" style="290" customWidth="1"/>
    <col min="15885" max="15885" width="16.8545454545455" style="290" customWidth="1"/>
    <col min="15886" max="15886" width="9.57272727272727" style="290" customWidth="1"/>
    <col min="15887" max="15887" width="16.1363636363636" style="290" customWidth="1"/>
    <col min="15888" max="15888" width="17.8545454545455" style="290" customWidth="1"/>
    <col min="15889" max="15889" width="14.1363636363636" style="290" customWidth="1"/>
    <col min="15890" max="15890" width="9.13636363636364" style="290"/>
    <col min="15891" max="15891" width="15.5727272727273" style="290" customWidth="1"/>
    <col min="15892" max="15892" width="10.1363636363636" style="290" customWidth="1"/>
    <col min="15893" max="15893" width="12.8545454545455" style="290" customWidth="1"/>
    <col min="15894" max="16128" width="9.13636363636364" style="290"/>
    <col min="16129" max="16129" width="4.57272727272727" style="290" customWidth="1"/>
    <col min="16130" max="16130" width="25.8545454545455" style="290" customWidth="1"/>
    <col min="16131" max="16131" width="16.4272727272727" style="290" customWidth="1"/>
    <col min="16132" max="16132" width="9.28181818181818" style="290" customWidth="1"/>
    <col min="16133" max="16133" width="6.28181818181818" style="290" customWidth="1"/>
    <col min="16134" max="16134" width="14.4272727272727" style="290" customWidth="1"/>
    <col min="16135" max="16135" width="15.5727272727273" style="290" customWidth="1"/>
    <col min="16136" max="16136" width="10.5727272727273" style="290" customWidth="1"/>
    <col min="16137" max="16137" width="14.4272727272727" style="290" customWidth="1"/>
    <col min="16138" max="16138" width="8" style="290" customWidth="1"/>
    <col min="16139" max="16139" width="16" style="290" customWidth="1"/>
    <col min="16140" max="16140" width="8.85454545454546" style="290" customWidth="1"/>
    <col min="16141" max="16141" width="16.8545454545455" style="290" customWidth="1"/>
    <col min="16142" max="16142" width="9.57272727272727" style="290" customWidth="1"/>
    <col min="16143" max="16143" width="16.1363636363636" style="290" customWidth="1"/>
    <col min="16144" max="16144" width="17.8545454545455" style="290" customWidth="1"/>
    <col min="16145" max="16145" width="14.1363636363636" style="290" customWidth="1"/>
    <col min="16146" max="16146" width="9.13636363636364" style="290"/>
    <col min="16147" max="16147" width="15.5727272727273" style="290" customWidth="1"/>
    <col min="16148" max="16148" width="10.1363636363636" style="290" customWidth="1"/>
    <col min="16149" max="16149" width="12.8545454545455" style="290" customWidth="1"/>
    <col min="16150" max="16384" width="9.13636363636364" style="290"/>
  </cols>
  <sheetData>
    <row r="1" s="284" customFormat="1" ht="18.75" customHeight="1" spans="1:16">
      <c r="A1" s="291" t="str">
        <f>'[43]Data Pokok'!A2</f>
        <v>BADAN USAHA MILIK DESA BATUPUTE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</row>
    <row r="2" s="284" customFormat="1" ht="18.75" customHeight="1" spans="1:16">
      <c r="A2" s="292" t="str">
        <f>'[43]Data Pokok'!C74</f>
        <v>DAFTAR INVENTARIS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</row>
    <row r="3" s="284" customFormat="1" ht="18.75" customHeight="1" spans="1:16">
      <c r="A3" s="291" t="s">
        <v>863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="284" customFormat="1" ht="18.75" customHeight="1" spans="1:13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="285" customFormat="1" ht="18.5" spans="1:16">
      <c r="A5" s="289" t="str">
        <f>'[43]Data Pokok'!A10</f>
        <v>Desa / Kecamatan</v>
      </c>
      <c r="B5" s="288"/>
      <c r="C5" s="293" t="str">
        <f>":   "&amp;'[43]Data Pokok'!D10</f>
        <v>:   Batupute</v>
      </c>
      <c r="D5" s="288"/>
      <c r="E5" s="288"/>
      <c r="F5" s="288"/>
      <c r="G5" s="288"/>
      <c r="H5" s="289"/>
      <c r="I5" s="376"/>
      <c r="J5" s="376"/>
      <c r="K5" s="288"/>
      <c r="L5" s="288"/>
      <c r="M5" s="288"/>
      <c r="N5" s="288"/>
      <c r="O5" s="288"/>
      <c r="P5" s="288"/>
    </row>
    <row r="6" s="285" customFormat="1" ht="18.5" spans="1:16">
      <c r="A6" s="289" t="str">
        <f>'[43]Data Pokok'!A11</f>
        <v>Kabupaten</v>
      </c>
      <c r="B6" s="288"/>
      <c r="C6" s="293" t="str">
        <f>":   "&amp;'[43]Data Pokok'!D11</f>
        <v>:   BARRU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</row>
    <row r="7" s="285" customFormat="1" ht="18.5" spans="1:16">
      <c r="A7" s="289" t="str">
        <f>'[43]Data Pokok'!A12</f>
        <v>Provinsi</v>
      </c>
      <c r="B7" s="288"/>
      <c r="C7" s="293" t="str">
        <f>":   "&amp;'[43]Data Pokok'!D12</f>
        <v>:   SULAWESI SELATAN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</row>
    <row r="8" s="285" customFormat="1" ht="19.25" spans="1:16">
      <c r="A8" s="289"/>
      <c r="B8" s="288"/>
      <c r="C8" s="29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</row>
    <row r="9" s="286" customFormat="1" ht="39" customHeight="1" spans="1:21">
      <c r="A9" s="294" t="s">
        <v>852</v>
      </c>
      <c r="B9" s="295" t="s">
        <v>864</v>
      </c>
      <c r="C9" s="295" t="s">
        <v>865</v>
      </c>
      <c r="D9" s="295" t="s">
        <v>866</v>
      </c>
      <c r="E9" s="295" t="s">
        <v>867</v>
      </c>
      <c r="F9" s="295" t="s">
        <v>868</v>
      </c>
      <c r="G9" s="295" t="s">
        <v>869</v>
      </c>
      <c r="H9" s="295" t="s">
        <v>870</v>
      </c>
      <c r="I9" s="295" t="s">
        <v>871</v>
      </c>
      <c r="J9" s="377" t="s">
        <v>872</v>
      </c>
      <c r="K9" s="378"/>
      <c r="L9" s="377" t="s">
        <v>873</v>
      </c>
      <c r="M9" s="378"/>
      <c r="N9" s="377" t="s">
        <v>49</v>
      </c>
      <c r="O9" s="378"/>
      <c r="P9" s="379" t="s">
        <v>53</v>
      </c>
      <c r="R9" s="422" t="s">
        <v>874</v>
      </c>
      <c r="S9" s="423"/>
      <c r="T9" s="422" t="s">
        <v>875</v>
      </c>
      <c r="U9" s="423"/>
    </row>
    <row r="10" s="286" customFormat="1" ht="37" spans="1:21">
      <c r="A10" s="296"/>
      <c r="B10" s="297"/>
      <c r="C10" s="297"/>
      <c r="D10" s="297"/>
      <c r="E10" s="297"/>
      <c r="F10" s="297"/>
      <c r="G10" s="297"/>
      <c r="H10" s="297"/>
      <c r="I10" s="297"/>
      <c r="J10" s="380" t="s">
        <v>876</v>
      </c>
      <c r="K10" s="380" t="s">
        <v>877</v>
      </c>
      <c r="L10" s="381" t="s">
        <v>876</v>
      </c>
      <c r="M10" s="380" t="s">
        <v>877</v>
      </c>
      <c r="N10" s="380" t="s">
        <v>878</v>
      </c>
      <c r="O10" s="380" t="s">
        <v>879</v>
      </c>
      <c r="P10" s="382"/>
      <c r="R10" s="424" t="s">
        <v>876</v>
      </c>
      <c r="S10" s="424" t="s">
        <v>877</v>
      </c>
      <c r="T10" s="424" t="s">
        <v>876</v>
      </c>
      <c r="U10" s="424" t="s">
        <v>877</v>
      </c>
    </row>
    <row r="11" s="287" customFormat="1" ht="37.75" spans="1:16">
      <c r="A11" s="298">
        <v>1</v>
      </c>
      <c r="B11" s="299">
        <v>2</v>
      </c>
      <c r="C11" s="300">
        <v>3</v>
      </c>
      <c r="D11" s="301">
        <v>4</v>
      </c>
      <c r="E11" s="300">
        <v>5</v>
      </c>
      <c r="F11" s="300">
        <v>6</v>
      </c>
      <c r="G11" s="300" t="s">
        <v>880</v>
      </c>
      <c r="H11" s="300">
        <v>8</v>
      </c>
      <c r="I11" s="300" t="s">
        <v>881</v>
      </c>
      <c r="J11" s="383">
        <v>10</v>
      </c>
      <c r="K11" s="383" t="s">
        <v>882</v>
      </c>
      <c r="L11" s="383">
        <v>12</v>
      </c>
      <c r="M11" s="383" t="s">
        <v>883</v>
      </c>
      <c r="N11" s="383" t="s">
        <v>884</v>
      </c>
      <c r="O11" s="383" t="s">
        <v>885</v>
      </c>
      <c r="P11" s="384" t="s">
        <v>886</v>
      </c>
    </row>
    <row r="12" s="285" customFormat="1" ht="15.5" spans="1:16">
      <c r="A12" s="302"/>
      <c r="B12" s="303"/>
      <c r="C12" s="304"/>
      <c r="D12" s="305"/>
      <c r="E12" s="304"/>
      <c r="F12" s="304"/>
      <c r="G12" s="304"/>
      <c r="H12" s="304"/>
      <c r="I12" s="304"/>
      <c r="J12" s="385"/>
      <c r="K12" s="385"/>
      <c r="L12" s="385"/>
      <c r="M12" s="385"/>
      <c r="N12" s="385"/>
      <c r="O12" s="385"/>
      <c r="P12" s="386"/>
    </row>
    <row r="13" s="288" customFormat="1" ht="18.5" spans="1:21">
      <c r="A13" s="306">
        <v>1</v>
      </c>
      <c r="B13" s="307" t="s">
        <v>887</v>
      </c>
      <c r="C13" s="308">
        <v>41579</v>
      </c>
      <c r="D13" s="309" t="s">
        <v>888</v>
      </c>
      <c r="E13" s="310">
        <v>2</v>
      </c>
      <c r="F13" s="311">
        <v>1563500</v>
      </c>
      <c r="G13" s="311">
        <f t="shared" ref="G13:G27" si="0">+E13*F13</f>
        <v>3127000</v>
      </c>
      <c r="H13" s="312">
        <v>60</v>
      </c>
      <c r="I13" s="387">
        <f t="shared" ref="I13:I52" si="1">G13/H13</f>
        <v>52116.6666666667</v>
      </c>
      <c r="J13" s="388">
        <v>60</v>
      </c>
      <c r="K13" s="388">
        <f>J13*I13</f>
        <v>3127000</v>
      </c>
      <c r="L13" s="388">
        <v>0</v>
      </c>
      <c r="M13" s="388">
        <f t="shared" ref="M13:M52" si="2">+I13*L13</f>
        <v>0</v>
      </c>
      <c r="N13" s="388">
        <f>J13+L13</f>
        <v>60</v>
      </c>
      <c r="O13" s="388">
        <f>+K13+M13</f>
        <v>3127000</v>
      </c>
      <c r="P13" s="389">
        <f>+G13-O13</f>
        <v>0</v>
      </c>
      <c r="R13" s="425">
        <v>0</v>
      </c>
      <c r="S13" s="426">
        <f t="shared" ref="S13:S19" si="3">R13*I13</f>
        <v>0</v>
      </c>
      <c r="T13" s="425">
        <v>0</v>
      </c>
      <c r="U13" s="318">
        <f t="shared" ref="U13:U19" si="4">T13*I13</f>
        <v>0</v>
      </c>
    </row>
    <row r="14" s="288" customFormat="1" ht="18.5" spans="1:21">
      <c r="A14" s="306">
        <v>2</v>
      </c>
      <c r="B14" s="307" t="s">
        <v>889</v>
      </c>
      <c r="C14" s="308">
        <v>41583</v>
      </c>
      <c r="D14" s="309" t="s">
        <v>888</v>
      </c>
      <c r="E14" s="310">
        <v>1</v>
      </c>
      <c r="F14" s="311">
        <v>500000</v>
      </c>
      <c r="G14" s="311">
        <f t="shared" si="0"/>
        <v>500000</v>
      </c>
      <c r="H14" s="312">
        <v>60</v>
      </c>
      <c r="I14" s="387">
        <f t="shared" si="1"/>
        <v>8333.33333333333</v>
      </c>
      <c r="J14" s="388">
        <v>60</v>
      </c>
      <c r="K14" s="388">
        <f t="shared" ref="K14:K45" si="5">J14*I14</f>
        <v>500000</v>
      </c>
      <c r="L14" s="388">
        <v>0</v>
      </c>
      <c r="M14" s="388">
        <f t="shared" si="2"/>
        <v>0</v>
      </c>
      <c r="N14" s="388">
        <f>J14+L14</f>
        <v>60</v>
      </c>
      <c r="O14" s="388">
        <f t="shared" ref="O14:O52" si="6">+K14+M14</f>
        <v>500000</v>
      </c>
      <c r="P14" s="389">
        <f t="shared" ref="P14:P52" si="7">+G14-O14</f>
        <v>0</v>
      </c>
      <c r="R14" s="425">
        <v>0</v>
      </c>
      <c r="S14" s="426">
        <f t="shared" si="3"/>
        <v>0</v>
      </c>
      <c r="T14" s="425">
        <v>0</v>
      </c>
      <c r="U14" s="318">
        <f t="shared" si="4"/>
        <v>0</v>
      </c>
    </row>
    <row r="15" s="288" customFormat="1" ht="18.5" spans="1:21">
      <c r="A15" s="306">
        <v>3</v>
      </c>
      <c r="B15" s="307" t="s">
        <v>890</v>
      </c>
      <c r="C15" s="308">
        <v>42955</v>
      </c>
      <c r="D15" s="309" t="s">
        <v>888</v>
      </c>
      <c r="E15" s="310">
        <v>1</v>
      </c>
      <c r="F15" s="311">
        <v>950000</v>
      </c>
      <c r="G15" s="311">
        <f t="shared" si="0"/>
        <v>950000</v>
      </c>
      <c r="H15" s="312">
        <v>60</v>
      </c>
      <c r="I15" s="387">
        <f t="shared" si="1"/>
        <v>15833.3333333333</v>
      </c>
      <c r="J15" s="388">
        <v>60</v>
      </c>
      <c r="K15" s="388">
        <f t="shared" si="5"/>
        <v>950000</v>
      </c>
      <c r="L15" s="388">
        <v>0</v>
      </c>
      <c r="M15" s="388">
        <f t="shared" si="2"/>
        <v>0</v>
      </c>
      <c r="N15" s="388">
        <f t="shared" ref="N15:N52" si="8">J15+L15</f>
        <v>60</v>
      </c>
      <c r="O15" s="388">
        <f t="shared" si="6"/>
        <v>950000</v>
      </c>
      <c r="P15" s="389">
        <f t="shared" si="7"/>
        <v>0</v>
      </c>
      <c r="R15" s="425">
        <v>0</v>
      </c>
      <c r="S15" s="426">
        <f t="shared" si="3"/>
        <v>0</v>
      </c>
      <c r="T15" s="425">
        <v>0</v>
      </c>
      <c r="U15" s="318">
        <f t="shared" si="4"/>
        <v>0</v>
      </c>
    </row>
    <row r="16" s="288" customFormat="1" ht="18.5" spans="1:21">
      <c r="A16" s="306">
        <v>4</v>
      </c>
      <c r="B16" s="307" t="s">
        <v>891</v>
      </c>
      <c r="C16" s="308">
        <v>42988</v>
      </c>
      <c r="D16" s="309" t="s">
        <v>888</v>
      </c>
      <c r="E16" s="310">
        <v>1</v>
      </c>
      <c r="F16" s="311">
        <v>250000</v>
      </c>
      <c r="G16" s="311">
        <f t="shared" si="0"/>
        <v>250000</v>
      </c>
      <c r="H16" s="312">
        <v>60</v>
      </c>
      <c r="I16" s="387">
        <f t="shared" si="1"/>
        <v>4166.66666666667</v>
      </c>
      <c r="J16" s="388">
        <v>60</v>
      </c>
      <c r="K16" s="388">
        <f t="shared" si="5"/>
        <v>250000</v>
      </c>
      <c r="L16" s="388">
        <v>0</v>
      </c>
      <c r="M16" s="388">
        <f t="shared" si="2"/>
        <v>0</v>
      </c>
      <c r="N16" s="388">
        <f t="shared" si="8"/>
        <v>60</v>
      </c>
      <c r="O16" s="388">
        <f t="shared" si="6"/>
        <v>250000</v>
      </c>
      <c r="P16" s="389">
        <f t="shared" si="7"/>
        <v>0</v>
      </c>
      <c r="R16" s="425">
        <v>0</v>
      </c>
      <c r="S16" s="426">
        <f t="shared" si="3"/>
        <v>0</v>
      </c>
      <c r="T16" s="425">
        <v>0</v>
      </c>
      <c r="U16" s="318">
        <f t="shared" si="4"/>
        <v>0</v>
      </c>
    </row>
    <row r="17" s="288" customFormat="1" ht="18.5" spans="1:21">
      <c r="A17" s="306">
        <v>5</v>
      </c>
      <c r="B17" s="307" t="s">
        <v>890</v>
      </c>
      <c r="C17" s="308">
        <v>43348</v>
      </c>
      <c r="D17" s="309" t="s">
        <v>888</v>
      </c>
      <c r="E17" s="310">
        <v>1</v>
      </c>
      <c r="F17" s="311">
        <v>1000000</v>
      </c>
      <c r="G17" s="311">
        <f t="shared" si="0"/>
        <v>1000000</v>
      </c>
      <c r="H17" s="312">
        <v>60</v>
      </c>
      <c r="I17" s="387">
        <f t="shared" si="1"/>
        <v>16666.6666666667</v>
      </c>
      <c r="J17" s="388">
        <v>60</v>
      </c>
      <c r="K17" s="388">
        <f t="shared" si="5"/>
        <v>1000000</v>
      </c>
      <c r="L17" s="388">
        <v>0</v>
      </c>
      <c r="M17" s="388">
        <f t="shared" si="2"/>
        <v>0</v>
      </c>
      <c r="N17" s="388">
        <f t="shared" si="8"/>
        <v>60</v>
      </c>
      <c r="O17" s="388">
        <f t="shared" si="6"/>
        <v>1000000</v>
      </c>
      <c r="P17" s="389">
        <f t="shared" si="7"/>
        <v>0</v>
      </c>
      <c r="R17" s="425">
        <v>0</v>
      </c>
      <c r="S17" s="426">
        <f t="shared" si="3"/>
        <v>0</v>
      </c>
      <c r="T17" s="425">
        <v>0</v>
      </c>
      <c r="U17" s="318">
        <f t="shared" si="4"/>
        <v>0</v>
      </c>
    </row>
    <row r="18" s="288" customFormat="1" ht="18.5" spans="1:21">
      <c r="A18" s="306">
        <v>6</v>
      </c>
      <c r="B18" s="307" t="s">
        <v>892</v>
      </c>
      <c r="C18" s="308">
        <v>43381</v>
      </c>
      <c r="D18" s="309" t="s">
        <v>888</v>
      </c>
      <c r="E18" s="310">
        <v>1</v>
      </c>
      <c r="F18" s="311">
        <v>8000000</v>
      </c>
      <c r="G18" s="311">
        <f t="shared" si="0"/>
        <v>8000000</v>
      </c>
      <c r="H18" s="312">
        <v>60</v>
      </c>
      <c r="I18" s="387">
        <f t="shared" si="1"/>
        <v>133333.333333333</v>
      </c>
      <c r="J18" s="388">
        <v>60</v>
      </c>
      <c r="K18" s="388">
        <f t="shared" si="5"/>
        <v>8000000</v>
      </c>
      <c r="L18" s="388">
        <v>0</v>
      </c>
      <c r="M18" s="388">
        <f t="shared" si="2"/>
        <v>0</v>
      </c>
      <c r="N18" s="388">
        <f t="shared" si="8"/>
        <v>60</v>
      </c>
      <c r="O18" s="388">
        <f t="shared" si="6"/>
        <v>8000000</v>
      </c>
      <c r="P18" s="389">
        <f t="shared" si="7"/>
        <v>0</v>
      </c>
      <c r="R18" s="425">
        <v>0</v>
      </c>
      <c r="S18" s="426">
        <f t="shared" si="3"/>
        <v>0</v>
      </c>
      <c r="T18" s="425">
        <v>0</v>
      </c>
      <c r="U18" s="318">
        <f t="shared" si="4"/>
        <v>0</v>
      </c>
    </row>
    <row r="19" s="288" customFormat="1" ht="18.5" spans="1:21">
      <c r="A19" s="306">
        <v>7</v>
      </c>
      <c r="B19" s="307" t="s">
        <v>893</v>
      </c>
      <c r="C19" s="1100" t="s">
        <v>894</v>
      </c>
      <c r="D19" s="309" t="s">
        <v>888</v>
      </c>
      <c r="E19" s="310">
        <v>1</v>
      </c>
      <c r="F19" s="311">
        <v>800000</v>
      </c>
      <c r="G19" s="311">
        <f t="shared" si="0"/>
        <v>800000</v>
      </c>
      <c r="H19" s="312">
        <v>60</v>
      </c>
      <c r="I19" s="387">
        <f t="shared" si="1"/>
        <v>13333.3333333333</v>
      </c>
      <c r="J19" s="388">
        <v>60</v>
      </c>
      <c r="K19" s="388">
        <f t="shared" si="5"/>
        <v>800000</v>
      </c>
      <c r="L19" s="388">
        <v>0</v>
      </c>
      <c r="M19" s="388">
        <f t="shared" si="2"/>
        <v>0</v>
      </c>
      <c r="N19" s="388">
        <f t="shared" si="8"/>
        <v>60</v>
      </c>
      <c r="O19" s="388">
        <f t="shared" si="6"/>
        <v>800000</v>
      </c>
      <c r="P19" s="389">
        <f t="shared" si="7"/>
        <v>0</v>
      </c>
      <c r="R19" s="425">
        <v>0</v>
      </c>
      <c r="S19" s="426">
        <f t="shared" si="3"/>
        <v>0</v>
      </c>
      <c r="T19" s="425">
        <v>0</v>
      </c>
      <c r="U19" s="318">
        <f t="shared" si="4"/>
        <v>0</v>
      </c>
    </row>
    <row r="20" s="288" customFormat="1" ht="18.5" spans="1:21">
      <c r="A20" s="306">
        <v>8</v>
      </c>
      <c r="B20" s="307" t="s">
        <v>756</v>
      </c>
      <c r="C20" s="313">
        <v>43657</v>
      </c>
      <c r="D20" s="309" t="s">
        <v>888</v>
      </c>
      <c r="E20" s="310">
        <v>1</v>
      </c>
      <c r="F20" s="311">
        <v>1400000</v>
      </c>
      <c r="G20" s="311">
        <f t="shared" si="0"/>
        <v>1400000</v>
      </c>
      <c r="H20" s="312">
        <v>12</v>
      </c>
      <c r="I20" s="387">
        <f t="shared" si="1"/>
        <v>116666.666666667</v>
      </c>
      <c r="J20" s="388">
        <v>12</v>
      </c>
      <c r="K20" s="388">
        <f t="shared" si="5"/>
        <v>1400000</v>
      </c>
      <c r="L20" s="388">
        <v>0</v>
      </c>
      <c r="M20" s="388">
        <f t="shared" si="2"/>
        <v>0</v>
      </c>
      <c r="N20" s="388">
        <f t="shared" si="8"/>
        <v>12</v>
      </c>
      <c r="O20" s="388">
        <f t="shared" si="6"/>
        <v>1400000</v>
      </c>
      <c r="P20" s="389">
        <f t="shared" si="7"/>
        <v>0</v>
      </c>
      <c r="R20" s="425"/>
      <c r="S20" s="426"/>
      <c r="T20" s="425"/>
      <c r="U20" s="318"/>
    </row>
    <row r="21" s="288" customFormat="1" ht="18.5" hidden="1" spans="1:21">
      <c r="A21" s="306">
        <v>9</v>
      </c>
      <c r="B21" s="314"/>
      <c r="C21" s="315"/>
      <c r="D21" s="309" t="s">
        <v>888</v>
      </c>
      <c r="E21" s="316"/>
      <c r="F21" s="317"/>
      <c r="G21" s="318">
        <f t="shared" si="0"/>
        <v>0</v>
      </c>
      <c r="H21" s="319"/>
      <c r="I21" s="387" t="e">
        <f t="shared" si="1"/>
        <v>#DIV/0!</v>
      </c>
      <c r="J21" s="390"/>
      <c r="K21" s="388" t="e">
        <f t="shared" si="5"/>
        <v>#DIV/0!</v>
      </c>
      <c r="L21" s="391"/>
      <c r="M21" s="388" t="e">
        <f t="shared" si="2"/>
        <v>#DIV/0!</v>
      </c>
      <c r="N21" s="388">
        <f t="shared" ref="N21:N27" si="9">J21+L21</f>
        <v>0</v>
      </c>
      <c r="O21" s="388" t="e">
        <f t="shared" si="6"/>
        <v>#DIV/0!</v>
      </c>
      <c r="P21" s="389" t="e">
        <f t="shared" si="7"/>
        <v>#DIV/0!</v>
      </c>
      <c r="R21" s="427">
        <v>0</v>
      </c>
      <c r="S21" s="426" t="e">
        <f>R21*I21</f>
        <v>#DIV/0!</v>
      </c>
      <c r="T21" s="427">
        <v>0</v>
      </c>
      <c r="U21" s="318" t="e">
        <f t="shared" ref="U21:U27" si="10">T21*I21</f>
        <v>#DIV/0!</v>
      </c>
    </row>
    <row r="22" s="288" customFormat="1" ht="18.5" hidden="1" spans="1:21">
      <c r="A22" s="306">
        <v>10</v>
      </c>
      <c r="B22" s="320"/>
      <c r="C22" s="321"/>
      <c r="D22" s="309" t="s">
        <v>888</v>
      </c>
      <c r="E22" s="322"/>
      <c r="F22" s="323"/>
      <c r="G22" s="323">
        <f t="shared" si="0"/>
        <v>0</v>
      </c>
      <c r="H22" s="324"/>
      <c r="I22" s="387" t="e">
        <f t="shared" si="1"/>
        <v>#DIV/0!</v>
      </c>
      <c r="J22" s="323"/>
      <c r="K22" s="388" t="e">
        <f t="shared" si="5"/>
        <v>#DIV/0!</v>
      </c>
      <c r="L22" s="323"/>
      <c r="M22" s="388" t="e">
        <f t="shared" si="2"/>
        <v>#DIV/0!</v>
      </c>
      <c r="N22" s="388">
        <f t="shared" si="9"/>
        <v>0</v>
      </c>
      <c r="O22" s="388" t="e">
        <f t="shared" si="6"/>
        <v>#DIV/0!</v>
      </c>
      <c r="P22" s="389" t="e">
        <f t="shared" si="7"/>
        <v>#DIV/0!</v>
      </c>
      <c r="R22" s="323">
        <v>0</v>
      </c>
      <c r="S22" s="426">
        <v>0</v>
      </c>
      <c r="T22" s="323">
        <v>8</v>
      </c>
      <c r="U22" s="318" t="e">
        <f t="shared" si="10"/>
        <v>#DIV/0!</v>
      </c>
    </row>
    <row r="23" s="288" customFormat="1" ht="18.5" hidden="1" spans="1:21">
      <c r="A23" s="306">
        <v>11</v>
      </c>
      <c r="B23" s="325"/>
      <c r="C23" s="321"/>
      <c r="D23" s="309" t="s">
        <v>888</v>
      </c>
      <c r="E23" s="322"/>
      <c r="F23" s="323"/>
      <c r="G23" s="323">
        <f t="shared" si="0"/>
        <v>0</v>
      </c>
      <c r="H23" s="324"/>
      <c r="I23" s="387" t="e">
        <f t="shared" si="1"/>
        <v>#DIV/0!</v>
      </c>
      <c r="J23" s="323"/>
      <c r="K23" s="388" t="e">
        <f t="shared" si="5"/>
        <v>#DIV/0!</v>
      </c>
      <c r="L23" s="392"/>
      <c r="M23" s="388" t="e">
        <f t="shared" si="2"/>
        <v>#DIV/0!</v>
      </c>
      <c r="N23" s="388">
        <f t="shared" si="9"/>
        <v>0</v>
      </c>
      <c r="O23" s="388" t="e">
        <f t="shared" si="6"/>
        <v>#DIV/0!</v>
      </c>
      <c r="P23" s="389" t="e">
        <f t="shared" si="7"/>
        <v>#DIV/0!</v>
      </c>
      <c r="R23" s="318">
        <v>0</v>
      </c>
      <c r="S23" s="318">
        <v>0</v>
      </c>
      <c r="T23" s="428">
        <v>5</v>
      </c>
      <c r="U23" s="318" t="e">
        <f t="shared" si="10"/>
        <v>#DIV/0!</v>
      </c>
    </row>
    <row r="24" s="288" customFormat="1" ht="19.25" hidden="1" spans="1:21">
      <c r="A24" s="306">
        <v>12</v>
      </c>
      <c r="B24" s="320"/>
      <c r="C24" s="321"/>
      <c r="D24" s="309" t="s">
        <v>888</v>
      </c>
      <c r="E24" s="322"/>
      <c r="F24" s="318"/>
      <c r="G24" s="323">
        <f t="shared" si="0"/>
        <v>0</v>
      </c>
      <c r="H24" s="324"/>
      <c r="I24" s="387" t="e">
        <f t="shared" si="1"/>
        <v>#DIV/0!</v>
      </c>
      <c r="J24" s="323"/>
      <c r="K24" s="388" t="e">
        <f t="shared" si="5"/>
        <v>#DIV/0!</v>
      </c>
      <c r="L24" s="323"/>
      <c r="M24" s="388" t="e">
        <f t="shared" si="2"/>
        <v>#DIV/0!</v>
      </c>
      <c r="N24" s="388">
        <f t="shared" si="9"/>
        <v>0</v>
      </c>
      <c r="O24" s="388" t="e">
        <f t="shared" si="6"/>
        <v>#DIV/0!</v>
      </c>
      <c r="P24" s="389" t="e">
        <f t="shared" si="7"/>
        <v>#DIV/0!</v>
      </c>
      <c r="R24" s="318">
        <v>0</v>
      </c>
      <c r="S24" s="318">
        <v>0</v>
      </c>
      <c r="T24" s="429">
        <v>8</v>
      </c>
      <c r="U24" s="318" t="e">
        <f t="shared" si="10"/>
        <v>#DIV/0!</v>
      </c>
    </row>
    <row r="25" s="288" customFormat="1" ht="19.25" hidden="1" spans="1:21">
      <c r="A25" s="306">
        <v>13</v>
      </c>
      <c r="B25" s="320"/>
      <c r="C25" s="321"/>
      <c r="D25" s="309" t="s">
        <v>888</v>
      </c>
      <c r="E25" s="322"/>
      <c r="F25" s="318"/>
      <c r="G25" s="323">
        <f t="shared" si="0"/>
        <v>0</v>
      </c>
      <c r="H25" s="324"/>
      <c r="I25" s="387" t="e">
        <f t="shared" si="1"/>
        <v>#DIV/0!</v>
      </c>
      <c r="J25" s="323"/>
      <c r="K25" s="388" t="e">
        <f t="shared" si="5"/>
        <v>#DIV/0!</v>
      </c>
      <c r="L25" s="323"/>
      <c r="M25" s="388" t="e">
        <f t="shared" si="2"/>
        <v>#DIV/0!</v>
      </c>
      <c r="N25" s="388">
        <f t="shared" si="9"/>
        <v>0</v>
      </c>
      <c r="O25" s="388" t="e">
        <f t="shared" si="6"/>
        <v>#DIV/0!</v>
      </c>
      <c r="P25" s="389" t="e">
        <f t="shared" si="7"/>
        <v>#DIV/0!</v>
      </c>
      <c r="R25" s="318"/>
      <c r="S25" s="318"/>
      <c r="T25" s="429">
        <v>8</v>
      </c>
      <c r="U25" s="318" t="e">
        <f t="shared" si="10"/>
        <v>#DIV/0!</v>
      </c>
    </row>
    <row r="26" s="288" customFormat="1" ht="19.25" spans="1:21">
      <c r="A26" s="306">
        <v>14</v>
      </c>
      <c r="B26" s="320" t="s">
        <v>895</v>
      </c>
      <c r="C26" s="326">
        <v>45051</v>
      </c>
      <c r="D26" s="309" t="s">
        <v>888</v>
      </c>
      <c r="E26" s="322">
        <v>1</v>
      </c>
      <c r="F26" s="318">
        <v>19780000</v>
      </c>
      <c r="G26" s="323">
        <f>F26*E26</f>
        <v>19780000</v>
      </c>
      <c r="H26" s="324">
        <v>60</v>
      </c>
      <c r="I26" s="387">
        <f t="shared" si="1"/>
        <v>329666.666666667</v>
      </c>
      <c r="J26" s="323">
        <v>19</v>
      </c>
      <c r="K26" s="388">
        <f t="shared" si="5"/>
        <v>6263666.66666667</v>
      </c>
      <c r="L26" s="323">
        <v>9</v>
      </c>
      <c r="M26" s="388">
        <f t="shared" si="2"/>
        <v>2967000</v>
      </c>
      <c r="N26" s="388">
        <f t="shared" si="9"/>
        <v>28</v>
      </c>
      <c r="O26" s="388">
        <f t="shared" si="6"/>
        <v>9230666.66666667</v>
      </c>
      <c r="P26" s="389">
        <f t="shared" si="7"/>
        <v>10549333.3333333</v>
      </c>
      <c r="R26" s="318"/>
      <c r="S26" s="318"/>
      <c r="T26" s="429"/>
      <c r="U26" s="318"/>
    </row>
    <row r="27" s="288" customFormat="1" ht="19.25" spans="1:21">
      <c r="A27" s="306">
        <v>15</v>
      </c>
      <c r="B27" s="327" t="s">
        <v>896</v>
      </c>
      <c r="C27" s="328">
        <v>45113</v>
      </c>
      <c r="D27" s="329" t="s">
        <v>888</v>
      </c>
      <c r="E27" s="330">
        <v>1</v>
      </c>
      <c r="F27" s="331">
        <v>2400000</v>
      </c>
      <c r="G27" s="331">
        <f t="shared" si="0"/>
        <v>2400000</v>
      </c>
      <c r="H27" s="332">
        <v>60</v>
      </c>
      <c r="I27" s="393">
        <f t="shared" si="1"/>
        <v>40000</v>
      </c>
      <c r="J27" s="331">
        <v>18</v>
      </c>
      <c r="K27" s="394">
        <f t="shared" si="5"/>
        <v>720000</v>
      </c>
      <c r="L27" s="331">
        <v>6</v>
      </c>
      <c r="M27" s="395">
        <f t="shared" si="2"/>
        <v>240000</v>
      </c>
      <c r="N27" s="394">
        <f t="shared" si="9"/>
        <v>24</v>
      </c>
      <c r="O27" s="394">
        <f t="shared" si="6"/>
        <v>960000</v>
      </c>
      <c r="P27" s="396">
        <f t="shared" si="7"/>
        <v>1440000</v>
      </c>
      <c r="R27" s="318"/>
      <c r="S27" s="318"/>
      <c r="T27" s="429">
        <v>7</v>
      </c>
      <c r="U27" s="318">
        <f t="shared" si="10"/>
        <v>280000</v>
      </c>
    </row>
    <row r="28" s="288" customFormat="1" ht="19.25" spans="1:21">
      <c r="A28" s="306">
        <v>16</v>
      </c>
      <c r="B28" s="333" t="s">
        <v>897</v>
      </c>
      <c r="C28" s="334">
        <v>45176</v>
      </c>
      <c r="D28" s="329" t="s">
        <v>888</v>
      </c>
      <c r="E28" s="335">
        <v>2</v>
      </c>
      <c r="F28" s="336">
        <v>850000</v>
      </c>
      <c r="G28" s="336">
        <f t="shared" ref="G28:G53" si="11">F28*E28</f>
        <v>1700000</v>
      </c>
      <c r="H28" s="337">
        <v>60</v>
      </c>
      <c r="I28" s="393">
        <f t="shared" si="1"/>
        <v>28333.3333333333</v>
      </c>
      <c r="J28" s="336">
        <v>17</v>
      </c>
      <c r="K28" s="394">
        <f t="shared" si="5"/>
        <v>481666.666666667</v>
      </c>
      <c r="L28" s="336">
        <v>7</v>
      </c>
      <c r="M28" s="395">
        <f t="shared" si="2"/>
        <v>198333.333333333</v>
      </c>
      <c r="N28" s="394">
        <f t="shared" si="8"/>
        <v>24</v>
      </c>
      <c r="O28" s="394">
        <f t="shared" si="6"/>
        <v>680000</v>
      </c>
      <c r="P28" s="396">
        <f t="shared" si="7"/>
        <v>1020000</v>
      </c>
      <c r="R28" s="430"/>
      <c r="S28" s="430"/>
      <c r="T28" s="429"/>
      <c r="U28" s="430"/>
    </row>
    <row r="29" s="288" customFormat="1" ht="19.25" spans="1:21">
      <c r="A29" s="306">
        <v>17</v>
      </c>
      <c r="B29" s="333" t="s">
        <v>898</v>
      </c>
      <c r="C29" s="334">
        <v>45176</v>
      </c>
      <c r="D29" s="329" t="s">
        <v>888</v>
      </c>
      <c r="E29" s="335">
        <v>1</v>
      </c>
      <c r="F29" s="336">
        <v>1200000</v>
      </c>
      <c r="G29" s="336">
        <f t="shared" si="11"/>
        <v>1200000</v>
      </c>
      <c r="H29" s="337">
        <v>60</v>
      </c>
      <c r="I29" s="393">
        <f t="shared" si="1"/>
        <v>20000</v>
      </c>
      <c r="J29" s="336">
        <v>17</v>
      </c>
      <c r="K29" s="336">
        <f t="shared" si="5"/>
        <v>340000</v>
      </c>
      <c r="L29" s="336">
        <v>7</v>
      </c>
      <c r="M29" s="336">
        <f t="shared" si="2"/>
        <v>140000</v>
      </c>
      <c r="N29" s="397">
        <f t="shared" si="8"/>
        <v>24</v>
      </c>
      <c r="O29" s="394">
        <f t="shared" si="6"/>
        <v>480000</v>
      </c>
      <c r="P29" s="396">
        <f t="shared" si="7"/>
        <v>720000</v>
      </c>
      <c r="R29" s="430"/>
      <c r="S29" s="430"/>
      <c r="T29" s="429"/>
      <c r="U29" s="430"/>
    </row>
    <row r="30" s="288" customFormat="1" ht="19.25" spans="1:21">
      <c r="A30" s="306">
        <v>18</v>
      </c>
      <c r="B30" s="333" t="s">
        <v>898</v>
      </c>
      <c r="C30" s="334">
        <v>45176</v>
      </c>
      <c r="D30" s="329" t="s">
        <v>888</v>
      </c>
      <c r="E30" s="335">
        <v>1</v>
      </c>
      <c r="F30" s="336">
        <v>1100000</v>
      </c>
      <c r="G30" s="336">
        <f t="shared" si="11"/>
        <v>1100000</v>
      </c>
      <c r="H30" s="337">
        <v>60</v>
      </c>
      <c r="I30" s="393">
        <f t="shared" si="1"/>
        <v>18333.3333333333</v>
      </c>
      <c r="J30" s="336">
        <v>17</v>
      </c>
      <c r="K30" s="336">
        <f t="shared" si="5"/>
        <v>311666.666666667</v>
      </c>
      <c r="L30" s="336">
        <v>7</v>
      </c>
      <c r="M30" s="336">
        <f t="shared" si="2"/>
        <v>128333.333333333</v>
      </c>
      <c r="N30" s="397">
        <f t="shared" si="8"/>
        <v>24</v>
      </c>
      <c r="O30" s="394">
        <f t="shared" si="6"/>
        <v>440000</v>
      </c>
      <c r="P30" s="396">
        <f t="shared" si="7"/>
        <v>660000</v>
      </c>
      <c r="R30" s="430"/>
      <c r="S30" s="430"/>
      <c r="T30" s="429"/>
      <c r="U30" s="430"/>
    </row>
    <row r="31" s="288" customFormat="1" ht="19.25" spans="1:21">
      <c r="A31" s="306">
        <v>19</v>
      </c>
      <c r="B31" s="338" t="s">
        <v>899</v>
      </c>
      <c r="C31" s="339">
        <v>45176</v>
      </c>
      <c r="D31" s="309" t="s">
        <v>888</v>
      </c>
      <c r="E31" s="340">
        <v>1</v>
      </c>
      <c r="F31" s="318">
        <v>3850000</v>
      </c>
      <c r="G31" s="318">
        <f t="shared" si="11"/>
        <v>3850000</v>
      </c>
      <c r="H31" s="341">
        <v>60</v>
      </c>
      <c r="I31" s="387">
        <f t="shared" si="1"/>
        <v>64166.6666666667</v>
      </c>
      <c r="J31" s="318">
        <v>17</v>
      </c>
      <c r="K31" s="318">
        <f t="shared" si="5"/>
        <v>1090833.33333333</v>
      </c>
      <c r="L31" s="318">
        <v>9</v>
      </c>
      <c r="M31" s="318">
        <f t="shared" si="2"/>
        <v>577500</v>
      </c>
      <c r="N31" s="398">
        <f t="shared" si="8"/>
        <v>26</v>
      </c>
      <c r="O31" s="318">
        <f t="shared" si="6"/>
        <v>1668333.33333333</v>
      </c>
      <c r="P31" s="389">
        <f t="shared" si="7"/>
        <v>2181666.66666667</v>
      </c>
      <c r="Q31" s="407">
        <f>SUM(M27:M34)</f>
        <v>3386283.33333333</v>
      </c>
      <c r="R31" s="430"/>
      <c r="S31" s="430"/>
      <c r="T31" s="429"/>
      <c r="U31" s="430"/>
    </row>
    <row r="32" s="288" customFormat="1" ht="19.25" spans="1:21">
      <c r="A32" s="306">
        <v>20</v>
      </c>
      <c r="B32" s="338" t="s">
        <v>900</v>
      </c>
      <c r="C32" s="1101" t="s">
        <v>901</v>
      </c>
      <c r="D32" s="309" t="s">
        <v>888</v>
      </c>
      <c r="E32" s="340">
        <v>1</v>
      </c>
      <c r="F32" s="318">
        <v>7300000</v>
      </c>
      <c r="G32" s="318">
        <f t="shared" si="11"/>
        <v>7300000</v>
      </c>
      <c r="H32" s="341">
        <v>60</v>
      </c>
      <c r="I32" s="387">
        <f t="shared" si="1"/>
        <v>121666.666666667</v>
      </c>
      <c r="J32" s="318">
        <v>11</v>
      </c>
      <c r="K32" s="318">
        <f t="shared" si="5"/>
        <v>1338333.33333333</v>
      </c>
      <c r="L32" s="318">
        <v>9</v>
      </c>
      <c r="M32" s="318">
        <f t="shared" si="2"/>
        <v>1095000</v>
      </c>
      <c r="N32" s="398">
        <f t="shared" si="8"/>
        <v>20</v>
      </c>
      <c r="O32" s="318">
        <f t="shared" si="6"/>
        <v>2433333.33333333</v>
      </c>
      <c r="P32" s="389">
        <f t="shared" si="7"/>
        <v>4866666.66666667</v>
      </c>
      <c r="R32" s="430"/>
      <c r="S32" s="430"/>
      <c r="T32" s="429"/>
      <c r="U32" s="430"/>
    </row>
    <row r="33" s="288" customFormat="1" ht="19.25" spans="1:21">
      <c r="A33" s="306">
        <v>21</v>
      </c>
      <c r="B33" s="333" t="s">
        <v>902</v>
      </c>
      <c r="C33" s="1102" t="s">
        <v>596</v>
      </c>
      <c r="D33" s="329" t="s">
        <v>888</v>
      </c>
      <c r="E33" s="335">
        <v>1</v>
      </c>
      <c r="F33" s="336">
        <v>500000</v>
      </c>
      <c r="G33" s="336">
        <f t="shared" si="11"/>
        <v>500000</v>
      </c>
      <c r="H33" s="337">
        <v>60</v>
      </c>
      <c r="I33" s="393">
        <f t="shared" si="1"/>
        <v>8333.33333333333</v>
      </c>
      <c r="J33" s="336">
        <v>10</v>
      </c>
      <c r="K33" s="336">
        <f t="shared" si="5"/>
        <v>83333.3333333333</v>
      </c>
      <c r="L33" s="336">
        <v>2</v>
      </c>
      <c r="M33" s="336">
        <f t="shared" si="2"/>
        <v>16666.6666666667</v>
      </c>
      <c r="N33" s="397">
        <f t="shared" si="8"/>
        <v>12</v>
      </c>
      <c r="O33" s="336">
        <f t="shared" si="6"/>
        <v>100000</v>
      </c>
      <c r="P33" s="399">
        <f t="shared" si="7"/>
        <v>400000</v>
      </c>
      <c r="R33" s="430"/>
      <c r="S33" s="430"/>
      <c r="T33" s="429"/>
      <c r="U33" s="430"/>
    </row>
    <row r="34" s="288" customFormat="1" ht="19.25" spans="1:21">
      <c r="A34" s="306">
        <v>22</v>
      </c>
      <c r="B34" s="338" t="s">
        <v>900</v>
      </c>
      <c r="C34" s="1101" t="s">
        <v>732</v>
      </c>
      <c r="D34" s="309" t="s">
        <v>888</v>
      </c>
      <c r="E34" s="340">
        <v>1</v>
      </c>
      <c r="F34" s="318">
        <v>6603000</v>
      </c>
      <c r="G34" s="318">
        <f t="shared" si="11"/>
        <v>6603000</v>
      </c>
      <c r="H34" s="341">
        <v>60</v>
      </c>
      <c r="I34" s="400">
        <f t="shared" si="1"/>
        <v>110050</v>
      </c>
      <c r="J34" s="318">
        <v>8</v>
      </c>
      <c r="K34" s="318">
        <f t="shared" si="5"/>
        <v>880400</v>
      </c>
      <c r="L34" s="318">
        <v>9</v>
      </c>
      <c r="M34" s="318">
        <f t="shared" si="2"/>
        <v>990450</v>
      </c>
      <c r="N34" s="398">
        <f t="shared" si="8"/>
        <v>17</v>
      </c>
      <c r="O34" s="318">
        <f t="shared" si="6"/>
        <v>1870850</v>
      </c>
      <c r="P34" s="401">
        <f t="shared" si="7"/>
        <v>4732150</v>
      </c>
      <c r="R34" s="430"/>
      <c r="S34" s="430"/>
      <c r="T34" s="429"/>
      <c r="U34" s="430"/>
    </row>
    <row r="35" s="288" customFormat="1" ht="18.5" spans="1:21">
      <c r="A35" s="306">
        <v>23</v>
      </c>
      <c r="B35" s="338" t="s">
        <v>903</v>
      </c>
      <c r="C35" s="1101" t="s">
        <v>904</v>
      </c>
      <c r="D35" s="309" t="s">
        <v>888</v>
      </c>
      <c r="E35" s="340">
        <v>1</v>
      </c>
      <c r="F35" s="318">
        <v>450000</v>
      </c>
      <c r="G35" s="318">
        <f t="shared" si="11"/>
        <v>450000</v>
      </c>
      <c r="H35" s="341">
        <v>60</v>
      </c>
      <c r="I35" s="400">
        <f t="shared" si="1"/>
        <v>7500</v>
      </c>
      <c r="J35" s="318">
        <v>3</v>
      </c>
      <c r="K35" s="318">
        <f t="shared" si="5"/>
        <v>22500</v>
      </c>
      <c r="L35" s="318">
        <v>9</v>
      </c>
      <c r="M35" s="318">
        <f t="shared" si="2"/>
        <v>67500</v>
      </c>
      <c r="N35" s="398">
        <f t="shared" si="8"/>
        <v>12</v>
      </c>
      <c r="O35" s="318">
        <f t="shared" si="6"/>
        <v>90000</v>
      </c>
      <c r="P35" s="401">
        <f t="shared" si="7"/>
        <v>360000</v>
      </c>
      <c r="R35" s="430"/>
      <c r="S35" s="430"/>
      <c r="T35" s="430"/>
      <c r="U35" s="430"/>
    </row>
    <row r="36" s="288" customFormat="1" ht="18.5" spans="1:21">
      <c r="A36" s="306">
        <v>24</v>
      </c>
      <c r="B36" s="338" t="s">
        <v>905</v>
      </c>
      <c r="C36" s="1101" t="s">
        <v>904</v>
      </c>
      <c r="D36" s="309" t="s">
        <v>888</v>
      </c>
      <c r="E36" s="340">
        <v>1</v>
      </c>
      <c r="F36" s="318">
        <v>275000</v>
      </c>
      <c r="G36" s="318">
        <f t="shared" si="11"/>
        <v>275000</v>
      </c>
      <c r="H36" s="341">
        <v>60</v>
      </c>
      <c r="I36" s="400">
        <f t="shared" si="1"/>
        <v>4583.33333333333</v>
      </c>
      <c r="J36" s="318">
        <v>3</v>
      </c>
      <c r="K36" s="318">
        <f t="shared" si="5"/>
        <v>13750</v>
      </c>
      <c r="L36" s="318">
        <v>9</v>
      </c>
      <c r="M36" s="318">
        <f t="shared" si="2"/>
        <v>41250</v>
      </c>
      <c r="N36" s="398">
        <f t="shared" si="8"/>
        <v>12</v>
      </c>
      <c r="O36" s="318">
        <f t="shared" si="6"/>
        <v>55000</v>
      </c>
      <c r="P36" s="401">
        <f t="shared" si="7"/>
        <v>220000</v>
      </c>
      <c r="R36" s="430"/>
      <c r="S36" s="430"/>
      <c r="T36" s="430"/>
      <c r="U36" s="430"/>
    </row>
    <row r="37" s="288" customFormat="1" ht="18.5" spans="1:21">
      <c r="A37" s="306">
        <v>25</v>
      </c>
      <c r="B37" s="338" t="s">
        <v>906</v>
      </c>
      <c r="C37" s="1101" t="s">
        <v>904</v>
      </c>
      <c r="D37" s="309" t="s">
        <v>888</v>
      </c>
      <c r="E37" s="340">
        <v>30</v>
      </c>
      <c r="F37" s="318">
        <v>35000</v>
      </c>
      <c r="G37" s="318">
        <f t="shared" si="11"/>
        <v>1050000</v>
      </c>
      <c r="H37" s="341">
        <v>60</v>
      </c>
      <c r="I37" s="400">
        <f t="shared" si="1"/>
        <v>17500</v>
      </c>
      <c r="J37" s="318">
        <v>3</v>
      </c>
      <c r="K37" s="318">
        <f t="shared" si="5"/>
        <v>52500</v>
      </c>
      <c r="L37" s="318">
        <v>9</v>
      </c>
      <c r="M37" s="318">
        <f t="shared" si="2"/>
        <v>157500</v>
      </c>
      <c r="N37" s="398">
        <f t="shared" si="8"/>
        <v>12</v>
      </c>
      <c r="O37" s="318">
        <f t="shared" si="6"/>
        <v>210000</v>
      </c>
      <c r="P37" s="401">
        <f t="shared" si="7"/>
        <v>840000</v>
      </c>
      <c r="R37" s="430"/>
      <c r="S37" s="430"/>
      <c r="T37" s="430"/>
      <c r="U37" s="430"/>
    </row>
    <row r="38" s="288" customFormat="1" ht="18.5" spans="1:21">
      <c r="A38" s="306">
        <v>26</v>
      </c>
      <c r="B38" s="338" t="s">
        <v>907</v>
      </c>
      <c r="C38" s="1101" t="s">
        <v>908</v>
      </c>
      <c r="D38" s="309" t="s">
        <v>888</v>
      </c>
      <c r="E38" s="340">
        <v>1</v>
      </c>
      <c r="F38" s="318">
        <v>400000</v>
      </c>
      <c r="G38" s="318">
        <f t="shared" si="11"/>
        <v>400000</v>
      </c>
      <c r="H38" s="341">
        <v>12</v>
      </c>
      <c r="I38" s="400">
        <f t="shared" si="1"/>
        <v>33333.3333333333</v>
      </c>
      <c r="J38" s="318">
        <v>2</v>
      </c>
      <c r="K38" s="318">
        <f t="shared" si="5"/>
        <v>66666.6666666667</v>
      </c>
      <c r="L38" s="318">
        <v>9</v>
      </c>
      <c r="M38" s="318">
        <f t="shared" si="2"/>
        <v>300000</v>
      </c>
      <c r="N38" s="398">
        <f t="shared" si="8"/>
        <v>11</v>
      </c>
      <c r="O38" s="318">
        <f t="shared" si="6"/>
        <v>366666.666666667</v>
      </c>
      <c r="P38" s="401">
        <f t="shared" si="7"/>
        <v>33333.3333333333</v>
      </c>
      <c r="R38" s="430"/>
      <c r="S38" s="430"/>
      <c r="T38" s="430"/>
      <c r="U38" s="430"/>
    </row>
    <row r="39" s="288" customFormat="1" ht="18.5" spans="1:21">
      <c r="A39" s="306">
        <v>27</v>
      </c>
      <c r="B39" s="338" t="s">
        <v>909</v>
      </c>
      <c r="C39" s="1101" t="s">
        <v>910</v>
      </c>
      <c r="D39" s="309" t="s">
        <v>888</v>
      </c>
      <c r="E39" s="340">
        <v>1</v>
      </c>
      <c r="F39" s="318">
        <v>2000000</v>
      </c>
      <c r="G39" s="318">
        <f t="shared" si="11"/>
        <v>2000000</v>
      </c>
      <c r="H39" s="341">
        <v>24</v>
      </c>
      <c r="I39" s="400">
        <f t="shared" si="1"/>
        <v>83333.3333333333</v>
      </c>
      <c r="J39" s="318">
        <v>2</v>
      </c>
      <c r="K39" s="318">
        <f t="shared" si="5"/>
        <v>166666.666666667</v>
      </c>
      <c r="L39" s="318">
        <v>9</v>
      </c>
      <c r="M39" s="318">
        <f t="shared" si="2"/>
        <v>750000</v>
      </c>
      <c r="N39" s="398">
        <f t="shared" si="8"/>
        <v>11</v>
      </c>
      <c r="O39" s="318">
        <f t="shared" si="6"/>
        <v>916666.666666667</v>
      </c>
      <c r="P39" s="401">
        <f t="shared" si="7"/>
        <v>1083333.33333333</v>
      </c>
      <c r="R39" s="430"/>
      <c r="S39" s="430"/>
      <c r="T39" s="430"/>
      <c r="U39" s="430"/>
    </row>
    <row r="40" s="288" customFormat="1" ht="18.5" spans="1:21">
      <c r="A40" s="306">
        <v>28</v>
      </c>
      <c r="B40" s="338" t="s">
        <v>911</v>
      </c>
      <c r="C40" s="1101" t="s">
        <v>912</v>
      </c>
      <c r="D40" s="309" t="s">
        <v>888</v>
      </c>
      <c r="E40" s="340">
        <v>1</v>
      </c>
      <c r="F40" s="318">
        <v>3250000</v>
      </c>
      <c r="G40" s="318">
        <f t="shared" si="11"/>
        <v>3250000</v>
      </c>
      <c r="H40" s="341">
        <v>24</v>
      </c>
      <c r="I40" s="400">
        <f t="shared" si="1"/>
        <v>135416.666666667</v>
      </c>
      <c r="J40" s="318">
        <v>2</v>
      </c>
      <c r="K40" s="318">
        <f t="shared" si="5"/>
        <v>270833.333333333</v>
      </c>
      <c r="L40" s="318">
        <v>9</v>
      </c>
      <c r="M40" s="318">
        <f t="shared" si="2"/>
        <v>1218750</v>
      </c>
      <c r="N40" s="398">
        <f t="shared" si="8"/>
        <v>11</v>
      </c>
      <c r="O40" s="318">
        <f t="shared" si="6"/>
        <v>1489583.33333333</v>
      </c>
      <c r="P40" s="401">
        <f t="shared" si="7"/>
        <v>1760416.66666667</v>
      </c>
      <c r="R40" s="430"/>
      <c r="S40" s="430"/>
      <c r="T40" s="430"/>
      <c r="U40" s="430"/>
    </row>
    <row r="41" s="289" customFormat="1" ht="18.5" spans="1:21">
      <c r="A41" s="306">
        <v>30</v>
      </c>
      <c r="B41" s="342" t="s">
        <v>913</v>
      </c>
      <c r="C41" s="1103" t="s">
        <v>914</v>
      </c>
      <c r="D41" s="309" t="s">
        <v>888</v>
      </c>
      <c r="E41" s="344">
        <v>1</v>
      </c>
      <c r="F41" s="311">
        <v>1200000</v>
      </c>
      <c r="G41" s="318">
        <f t="shared" si="11"/>
        <v>1200000</v>
      </c>
      <c r="H41" s="311">
        <v>24</v>
      </c>
      <c r="I41" s="400">
        <f t="shared" si="1"/>
        <v>50000</v>
      </c>
      <c r="J41" s="311">
        <v>0</v>
      </c>
      <c r="K41" s="318">
        <f t="shared" si="5"/>
        <v>0</v>
      </c>
      <c r="L41" s="311">
        <v>5</v>
      </c>
      <c r="M41" s="318">
        <f t="shared" si="2"/>
        <v>250000</v>
      </c>
      <c r="N41" s="398">
        <f t="shared" si="8"/>
        <v>5</v>
      </c>
      <c r="O41" s="318">
        <f t="shared" si="6"/>
        <v>250000</v>
      </c>
      <c r="P41" s="401">
        <f t="shared" si="7"/>
        <v>950000</v>
      </c>
      <c r="R41" s="431"/>
      <c r="S41" s="431"/>
      <c r="T41" s="431"/>
      <c r="U41" s="431"/>
    </row>
    <row r="42" s="289" customFormat="1" ht="18.5" spans="1:21">
      <c r="A42" s="306">
        <v>31</v>
      </c>
      <c r="B42" s="342" t="s">
        <v>915</v>
      </c>
      <c r="C42" s="1103" t="str">
        <f>C41</f>
        <v>14-05-2025</v>
      </c>
      <c r="D42" s="309" t="s">
        <v>888</v>
      </c>
      <c r="E42" s="344">
        <v>1</v>
      </c>
      <c r="F42" s="311">
        <v>100000</v>
      </c>
      <c r="G42" s="318">
        <f t="shared" si="11"/>
        <v>100000</v>
      </c>
      <c r="H42" s="311">
        <v>12</v>
      </c>
      <c r="I42" s="400">
        <f t="shared" si="1"/>
        <v>8333.33333333333</v>
      </c>
      <c r="J42" s="311">
        <v>0</v>
      </c>
      <c r="K42" s="318">
        <f t="shared" si="5"/>
        <v>0</v>
      </c>
      <c r="L42" s="311">
        <v>5</v>
      </c>
      <c r="M42" s="318">
        <f t="shared" si="2"/>
        <v>41666.6666666667</v>
      </c>
      <c r="N42" s="398">
        <f t="shared" si="8"/>
        <v>5</v>
      </c>
      <c r="O42" s="318">
        <f t="shared" si="6"/>
        <v>41666.6666666667</v>
      </c>
      <c r="P42" s="401">
        <f t="shared" si="7"/>
        <v>58333.3333333333</v>
      </c>
      <c r="R42" s="431"/>
      <c r="S42" s="431"/>
      <c r="T42" s="431"/>
      <c r="U42" s="431"/>
    </row>
    <row r="43" s="289" customFormat="1" ht="18.5" spans="1:21">
      <c r="A43" s="306">
        <v>32</v>
      </c>
      <c r="B43" s="342" t="s">
        <v>916</v>
      </c>
      <c r="C43" s="1103" t="str">
        <f>C42</f>
        <v>14-05-2025</v>
      </c>
      <c r="D43" s="309" t="s">
        <v>888</v>
      </c>
      <c r="E43" s="344">
        <v>1</v>
      </c>
      <c r="F43" s="311">
        <v>185000</v>
      </c>
      <c r="G43" s="318">
        <f t="shared" si="11"/>
        <v>185000</v>
      </c>
      <c r="H43" s="311">
        <v>12</v>
      </c>
      <c r="I43" s="400">
        <f t="shared" si="1"/>
        <v>15416.6666666667</v>
      </c>
      <c r="J43" s="311">
        <v>0</v>
      </c>
      <c r="K43" s="318">
        <f t="shared" si="5"/>
        <v>0</v>
      </c>
      <c r="L43" s="311">
        <v>5</v>
      </c>
      <c r="M43" s="318">
        <f t="shared" si="2"/>
        <v>77083.3333333333</v>
      </c>
      <c r="N43" s="398">
        <f t="shared" si="8"/>
        <v>5</v>
      </c>
      <c r="O43" s="318">
        <f t="shared" si="6"/>
        <v>77083.3333333333</v>
      </c>
      <c r="P43" s="401">
        <f t="shared" si="7"/>
        <v>107916.666666667</v>
      </c>
      <c r="R43" s="431"/>
      <c r="S43" s="431"/>
      <c r="T43" s="431"/>
      <c r="U43" s="431"/>
    </row>
    <row r="44" s="289" customFormat="1" ht="18.5" spans="1:21">
      <c r="A44" s="345">
        <v>33</v>
      </c>
      <c r="B44" s="342" t="s">
        <v>917</v>
      </c>
      <c r="C44" s="1103" t="s">
        <v>918</v>
      </c>
      <c r="D44" s="309" t="s">
        <v>888</v>
      </c>
      <c r="E44" s="344">
        <v>1</v>
      </c>
      <c r="F44" s="311">
        <v>500000</v>
      </c>
      <c r="G44" s="318">
        <f t="shared" si="11"/>
        <v>500000</v>
      </c>
      <c r="H44" s="311">
        <v>12</v>
      </c>
      <c r="I44" s="400">
        <f t="shared" si="1"/>
        <v>41666.6666666667</v>
      </c>
      <c r="J44" s="311">
        <v>0</v>
      </c>
      <c r="K44" s="318">
        <f t="shared" si="5"/>
        <v>0</v>
      </c>
      <c r="L44" s="311">
        <v>5</v>
      </c>
      <c r="M44" s="318">
        <f t="shared" si="2"/>
        <v>208333.333333333</v>
      </c>
      <c r="N44" s="398">
        <f t="shared" si="8"/>
        <v>5</v>
      </c>
      <c r="O44" s="318">
        <f t="shared" si="6"/>
        <v>208333.333333333</v>
      </c>
      <c r="P44" s="401">
        <f t="shared" si="7"/>
        <v>291666.666666667</v>
      </c>
      <c r="R44" s="431"/>
      <c r="S44" s="431"/>
      <c r="T44" s="431"/>
      <c r="U44" s="431"/>
    </row>
    <row r="45" s="289" customFormat="1" ht="18.5" spans="1:21">
      <c r="A45" s="346">
        <v>34</v>
      </c>
      <c r="B45" s="342" t="s">
        <v>919</v>
      </c>
      <c r="C45" s="1103" t="s">
        <v>920</v>
      </c>
      <c r="D45" s="309" t="s">
        <v>888</v>
      </c>
      <c r="E45" s="344">
        <v>2</v>
      </c>
      <c r="F45" s="311">
        <v>116500</v>
      </c>
      <c r="G45" s="318">
        <f t="shared" si="11"/>
        <v>233000</v>
      </c>
      <c r="H45" s="311">
        <v>12</v>
      </c>
      <c r="I45" s="400">
        <f t="shared" si="1"/>
        <v>19416.6666666667</v>
      </c>
      <c r="J45" s="311">
        <v>0</v>
      </c>
      <c r="K45" s="318">
        <f t="shared" si="5"/>
        <v>0</v>
      </c>
      <c r="L45" s="311">
        <v>4</v>
      </c>
      <c r="M45" s="318">
        <f t="shared" si="2"/>
        <v>77666.6666666667</v>
      </c>
      <c r="N45" s="398">
        <f t="shared" si="8"/>
        <v>4</v>
      </c>
      <c r="O45" s="318">
        <f t="shared" si="6"/>
        <v>77666.6666666667</v>
      </c>
      <c r="P45" s="401">
        <f t="shared" si="7"/>
        <v>155333.333333333</v>
      </c>
      <c r="R45" s="431"/>
      <c r="S45" s="431"/>
      <c r="T45" s="431"/>
      <c r="U45" s="431"/>
    </row>
    <row r="46" s="289" customFormat="1" ht="18.5" spans="1:21">
      <c r="A46" s="347">
        <v>35</v>
      </c>
      <c r="B46" s="342" t="s">
        <v>921</v>
      </c>
      <c r="C46" s="342" t="s">
        <v>922</v>
      </c>
      <c r="D46" s="348"/>
      <c r="E46" s="349">
        <v>8</v>
      </c>
      <c r="F46" s="350">
        <v>35000</v>
      </c>
      <c r="G46" s="351">
        <f t="shared" si="11"/>
        <v>280000</v>
      </c>
      <c r="H46" s="350">
        <v>12</v>
      </c>
      <c r="I46" s="400">
        <f t="shared" si="1"/>
        <v>23333.3333333333</v>
      </c>
      <c r="J46" s="356">
        <v>0</v>
      </c>
      <c r="K46" s="356">
        <v>0</v>
      </c>
      <c r="L46" s="311">
        <v>3</v>
      </c>
      <c r="M46" s="318">
        <f t="shared" si="2"/>
        <v>70000</v>
      </c>
      <c r="N46" s="398">
        <f t="shared" si="8"/>
        <v>3</v>
      </c>
      <c r="O46" s="318">
        <f t="shared" si="6"/>
        <v>70000</v>
      </c>
      <c r="P46" s="401">
        <f t="shared" si="7"/>
        <v>210000</v>
      </c>
      <c r="R46" s="431"/>
      <c r="S46" s="431"/>
      <c r="T46" s="431"/>
      <c r="U46" s="431"/>
    </row>
    <row r="47" s="289" customFormat="1" ht="18.5" spans="1:21">
      <c r="A47" s="347">
        <v>36</v>
      </c>
      <c r="B47" s="342" t="s">
        <v>923</v>
      </c>
      <c r="C47" s="1104" t="s">
        <v>786</v>
      </c>
      <c r="D47" s="309" t="s">
        <v>888</v>
      </c>
      <c r="E47" s="349">
        <v>15</v>
      </c>
      <c r="F47" s="350">
        <v>250000</v>
      </c>
      <c r="G47" s="351">
        <f t="shared" si="11"/>
        <v>3750000</v>
      </c>
      <c r="H47" s="350">
        <v>60</v>
      </c>
      <c r="I47" s="400">
        <f t="shared" si="1"/>
        <v>62500</v>
      </c>
      <c r="J47" s="356">
        <v>0</v>
      </c>
      <c r="K47" s="356">
        <v>0</v>
      </c>
      <c r="L47" s="311">
        <v>3</v>
      </c>
      <c r="M47" s="318">
        <f t="shared" si="2"/>
        <v>187500</v>
      </c>
      <c r="N47" s="398">
        <f t="shared" si="8"/>
        <v>3</v>
      </c>
      <c r="O47" s="318">
        <f t="shared" si="6"/>
        <v>187500</v>
      </c>
      <c r="P47" s="401">
        <f t="shared" si="7"/>
        <v>3562500</v>
      </c>
      <c r="R47" s="431"/>
      <c r="S47" s="431"/>
      <c r="T47" s="431"/>
      <c r="U47" s="431"/>
    </row>
    <row r="48" s="289" customFormat="1" ht="18.5" spans="1:21">
      <c r="A48" s="347">
        <v>37</v>
      </c>
      <c r="B48" s="342" t="s">
        <v>906</v>
      </c>
      <c r="C48" s="1104" t="s">
        <v>786</v>
      </c>
      <c r="D48" s="309" t="s">
        <v>888</v>
      </c>
      <c r="E48" s="349">
        <v>30</v>
      </c>
      <c r="F48" s="350">
        <v>35000</v>
      </c>
      <c r="G48" s="351">
        <f t="shared" si="11"/>
        <v>1050000</v>
      </c>
      <c r="H48" s="350">
        <v>12</v>
      </c>
      <c r="I48" s="400">
        <f t="shared" si="1"/>
        <v>87500</v>
      </c>
      <c r="J48" s="356">
        <v>0</v>
      </c>
      <c r="K48" s="356">
        <v>0</v>
      </c>
      <c r="L48" s="311">
        <v>3</v>
      </c>
      <c r="M48" s="318">
        <f t="shared" si="2"/>
        <v>262500</v>
      </c>
      <c r="N48" s="398">
        <f t="shared" si="8"/>
        <v>3</v>
      </c>
      <c r="O48" s="318">
        <f t="shared" si="6"/>
        <v>262500</v>
      </c>
      <c r="P48" s="401">
        <f t="shared" si="7"/>
        <v>787500</v>
      </c>
      <c r="R48" s="431"/>
      <c r="S48" s="431"/>
      <c r="T48" s="431"/>
      <c r="U48" s="431"/>
    </row>
    <row r="49" s="289" customFormat="1" ht="18.5" spans="1:21">
      <c r="A49" s="347">
        <v>38</v>
      </c>
      <c r="B49" s="342" t="s">
        <v>924</v>
      </c>
      <c r="C49" s="1103" t="s">
        <v>925</v>
      </c>
      <c r="D49" s="309" t="s">
        <v>888</v>
      </c>
      <c r="E49" s="344">
        <v>1</v>
      </c>
      <c r="F49" s="311">
        <v>1950000</v>
      </c>
      <c r="G49" s="351">
        <f t="shared" si="11"/>
        <v>1950000</v>
      </c>
      <c r="H49" s="311">
        <v>60</v>
      </c>
      <c r="I49" s="400">
        <f t="shared" si="1"/>
        <v>32500</v>
      </c>
      <c r="J49" s="311">
        <v>0</v>
      </c>
      <c r="K49" s="311">
        <v>0</v>
      </c>
      <c r="L49" s="311">
        <v>2</v>
      </c>
      <c r="M49" s="318">
        <f t="shared" si="2"/>
        <v>65000</v>
      </c>
      <c r="N49" s="398">
        <f t="shared" si="8"/>
        <v>2</v>
      </c>
      <c r="O49" s="318">
        <f t="shared" si="6"/>
        <v>65000</v>
      </c>
      <c r="P49" s="401">
        <f t="shared" si="7"/>
        <v>1885000</v>
      </c>
      <c r="R49" s="431"/>
      <c r="S49" s="431"/>
      <c r="T49" s="431"/>
      <c r="U49" s="431"/>
    </row>
    <row r="50" s="289" customFormat="1" ht="18.5" spans="1:21">
      <c r="A50" s="347">
        <v>39</v>
      </c>
      <c r="B50" s="342" t="s">
        <v>926</v>
      </c>
      <c r="C50" s="1103" t="s">
        <v>927</v>
      </c>
      <c r="D50" s="309" t="s">
        <v>888</v>
      </c>
      <c r="E50" s="344">
        <v>1</v>
      </c>
      <c r="F50" s="311">
        <v>12500000</v>
      </c>
      <c r="G50" s="351">
        <f t="shared" si="11"/>
        <v>12500000</v>
      </c>
      <c r="H50" s="311">
        <v>120</v>
      </c>
      <c r="I50" s="400">
        <f t="shared" si="1"/>
        <v>104166.666666667</v>
      </c>
      <c r="J50" s="356">
        <v>0</v>
      </c>
      <c r="K50" s="356">
        <v>0</v>
      </c>
      <c r="L50" s="356">
        <v>2</v>
      </c>
      <c r="M50" s="318">
        <f t="shared" si="2"/>
        <v>208333.333333333</v>
      </c>
      <c r="N50" s="398">
        <f t="shared" si="8"/>
        <v>2</v>
      </c>
      <c r="O50" s="318">
        <f t="shared" si="6"/>
        <v>208333.333333333</v>
      </c>
      <c r="P50" s="401">
        <f t="shared" si="7"/>
        <v>12291666.6666667</v>
      </c>
      <c r="R50" s="431"/>
      <c r="S50" s="431"/>
      <c r="T50" s="431"/>
      <c r="U50" s="431"/>
    </row>
    <row r="51" s="289" customFormat="1" ht="18.5" spans="1:21">
      <c r="A51" s="347">
        <v>40</v>
      </c>
      <c r="B51" s="342" t="s">
        <v>846</v>
      </c>
      <c r="C51" s="1103" t="s">
        <v>927</v>
      </c>
      <c r="D51" s="309" t="s">
        <v>888</v>
      </c>
      <c r="E51" s="344">
        <v>1</v>
      </c>
      <c r="F51" s="311">
        <v>35000000</v>
      </c>
      <c r="G51" s="351">
        <f t="shared" si="11"/>
        <v>35000000</v>
      </c>
      <c r="H51" s="311">
        <v>120</v>
      </c>
      <c r="I51" s="400">
        <f t="shared" si="1"/>
        <v>291666.666666667</v>
      </c>
      <c r="J51" s="356">
        <v>0</v>
      </c>
      <c r="K51" s="356">
        <v>0</v>
      </c>
      <c r="L51" s="356">
        <v>2</v>
      </c>
      <c r="M51" s="318">
        <f t="shared" si="2"/>
        <v>583333.333333333</v>
      </c>
      <c r="N51" s="398">
        <f t="shared" si="8"/>
        <v>2</v>
      </c>
      <c r="O51" s="318">
        <f t="shared" si="6"/>
        <v>583333.333333333</v>
      </c>
      <c r="P51" s="401">
        <f t="shared" si="7"/>
        <v>34416666.6666667</v>
      </c>
      <c r="R51" s="431"/>
      <c r="S51" s="431"/>
      <c r="T51" s="431"/>
      <c r="U51" s="431"/>
    </row>
    <row r="52" s="289" customFormat="1" ht="18.5" spans="1:21">
      <c r="A52" s="347">
        <v>41</v>
      </c>
      <c r="B52" s="342" t="s">
        <v>928</v>
      </c>
      <c r="C52" s="1103" t="s">
        <v>927</v>
      </c>
      <c r="D52" s="309" t="s">
        <v>888</v>
      </c>
      <c r="E52" s="344">
        <v>7</v>
      </c>
      <c r="F52" s="311">
        <v>15000000</v>
      </c>
      <c r="G52" s="351">
        <f t="shared" si="11"/>
        <v>105000000</v>
      </c>
      <c r="H52" s="311">
        <v>420</v>
      </c>
      <c r="I52" s="400">
        <f t="shared" si="1"/>
        <v>250000</v>
      </c>
      <c r="J52" s="356">
        <v>0</v>
      </c>
      <c r="K52" s="356">
        <v>0</v>
      </c>
      <c r="L52" s="356">
        <v>2</v>
      </c>
      <c r="M52" s="318">
        <f t="shared" si="2"/>
        <v>500000</v>
      </c>
      <c r="N52" s="398">
        <f t="shared" si="8"/>
        <v>2</v>
      </c>
      <c r="O52" s="318">
        <f t="shared" si="6"/>
        <v>500000</v>
      </c>
      <c r="P52" s="401">
        <f t="shared" si="7"/>
        <v>104500000</v>
      </c>
      <c r="R52" s="431"/>
      <c r="S52" s="431"/>
      <c r="T52" s="431"/>
      <c r="U52" s="431"/>
    </row>
    <row r="53" s="289" customFormat="1" ht="18.5" spans="1:21">
      <c r="A53" s="347">
        <v>48</v>
      </c>
      <c r="B53" s="352"/>
      <c r="C53" s="353"/>
      <c r="D53" s="354"/>
      <c r="E53" s="355">
        <v>1</v>
      </c>
      <c r="F53" s="356">
        <v>1600000</v>
      </c>
      <c r="G53" s="351">
        <f t="shared" si="11"/>
        <v>1600000</v>
      </c>
      <c r="H53" s="356">
        <v>60</v>
      </c>
      <c r="I53" s="356"/>
      <c r="J53" s="356"/>
      <c r="K53" s="356"/>
      <c r="L53" s="356"/>
      <c r="M53" s="356"/>
      <c r="N53" s="402"/>
      <c r="O53" s="356"/>
      <c r="P53" s="403"/>
      <c r="R53" s="431"/>
      <c r="S53" s="431"/>
      <c r="T53" s="431"/>
      <c r="U53" s="431"/>
    </row>
    <row r="54" s="289" customFormat="1" ht="19.25" spans="1:21">
      <c r="A54" s="352" t="s">
        <v>109</v>
      </c>
      <c r="B54" s="352"/>
      <c r="C54" s="353"/>
      <c r="D54" s="354"/>
      <c r="E54" s="355"/>
      <c r="F54" s="356"/>
      <c r="G54" s="356">
        <f>SUM(G13:G53)</f>
        <v>231233000</v>
      </c>
      <c r="H54" s="356">
        <f>SUM(H13:H53)</f>
        <v>2148</v>
      </c>
      <c r="I54" s="356">
        <f>SUM(G54/H54)</f>
        <v>107650.372439479</v>
      </c>
      <c r="J54" s="356">
        <f>SUM(J13:J52)</f>
        <v>581</v>
      </c>
      <c r="K54" s="356">
        <f>SUM(J54*I54)</f>
        <v>62544866.3873371</v>
      </c>
      <c r="L54" s="356">
        <f>SUM(L13:L52)</f>
        <v>160</v>
      </c>
      <c r="M54" s="356">
        <f>SUM(I54*L54)</f>
        <v>17224059.5903166</v>
      </c>
      <c r="N54" s="402">
        <f>J54+L54</f>
        <v>741</v>
      </c>
      <c r="O54" s="356">
        <f>SUM(K54+M54)</f>
        <v>79768925.9776536</v>
      </c>
      <c r="P54" s="403">
        <f>SUM(G54-O54)</f>
        <v>151464074.022346</v>
      </c>
      <c r="R54" s="432"/>
      <c r="S54" s="432"/>
      <c r="T54" s="432"/>
      <c r="U54" s="432"/>
    </row>
    <row r="55" ht="19.25" spans="1:21">
      <c r="A55" s="288"/>
      <c r="B55" s="288"/>
      <c r="C55" s="357"/>
      <c r="D55" s="358"/>
      <c r="E55" s="288"/>
      <c r="F55" s="357"/>
      <c r="G55" s="359">
        <v>101736632.700966</v>
      </c>
      <c r="H55" s="288"/>
      <c r="I55" s="288"/>
      <c r="J55" s="404">
        <f>G54-O54</f>
        <v>151464074.022346</v>
      </c>
      <c r="K55" s="404"/>
      <c r="L55" s="405">
        <f>J55-P54</f>
        <v>0</v>
      </c>
      <c r="M55" s="405"/>
      <c r="N55" s="406"/>
      <c r="O55" s="407">
        <v>44295877</v>
      </c>
      <c r="P55" s="358">
        <f>SUM(NERACA!E23)</f>
        <v>271100837.666667</v>
      </c>
      <c r="R55" s="433">
        <f>SUM(R13:R23)</f>
        <v>0</v>
      </c>
      <c r="S55" s="433" t="e">
        <f>SUM(S13:S23)</f>
        <v>#DIV/0!</v>
      </c>
      <c r="T55" s="433">
        <f>SUM(T13:T27)</f>
        <v>36</v>
      </c>
      <c r="U55" s="433" t="e">
        <f>SUM(U13:U27)</f>
        <v>#DIV/0!</v>
      </c>
    </row>
    <row r="56" ht="15" customHeight="1" spans="3:16">
      <c r="C56" s="360"/>
      <c r="F56" s="361"/>
      <c r="G56" s="360"/>
      <c r="J56" s="408"/>
      <c r="K56" s="408"/>
      <c r="L56" s="409"/>
      <c r="M56" s="410"/>
      <c r="N56" s="410"/>
      <c r="O56" s="361"/>
      <c r="P56" s="361"/>
    </row>
    <row r="57" ht="15" customHeight="1" spans="2:19">
      <c r="B57" s="362"/>
      <c r="C57" s="360"/>
      <c r="D57" s="363"/>
      <c r="G57" s="360"/>
      <c r="J57" s="408"/>
      <c r="K57" s="408"/>
      <c r="L57" s="409"/>
      <c r="M57" s="409"/>
      <c r="N57" s="408"/>
      <c r="O57" s="411">
        <f>+O55-M54</f>
        <v>27071817.4096834</v>
      </c>
      <c r="Q57" s="361"/>
      <c r="S57" s="361" t="e">
        <f>S55+U55</f>
        <v>#DIV/0!</v>
      </c>
    </row>
    <row r="58" ht="15" customHeight="1" spans="1:20">
      <c r="A58" s="364"/>
      <c r="B58" s="365"/>
      <c r="C58" s="360"/>
      <c r="D58" s="364"/>
      <c r="E58" s="364"/>
      <c r="F58" s="366"/>
      <c r="G58" s="360"/>
      <c r="H58" s="364"/>
      <c r="I58" s="364"/>
      <c r="J58" s="412"/>
      <c r="K58" s="371"/>
      <c r="L58" s="371"/>
      <c r="M58" s="371"/>
      <c r="N58" s="371"/>
      <c r="O58" s="361">
        <f>O56*12</f>
        <v>0</v>
      </c>
      <c r="Q58" s="361"/>
      <c r="S58" s="434" t="e">
        <f>M54-S57</f>
        <v>#DIV/0!</v>
      </c>
      <c r="T58" s="435" t="s">
        <v>929</v>
      </c>
    </row>
    <row r="59" ht="15" customHeight="1" spans="2:19">
      <c r="B59" s="367"/>
      <c r="C59" s="360"/>
      <c r="D59" s="364"/>
      <c r="E59" s="364"/>
      <c r="F59" s="368"/>
      <c r="G59" s="360"/>
      <c r="H59" s="369"/>
      <c r="I59" s="413"/>
      <c r="J59" s="413"/>
      <c r="K59" s="414"/>
      <c r="L59" s="414"/>
      <c r="M59" s="414"/>
      <c r="N59" s="369"/>
      <c r="Q59" s="436"/>
      <c r="S59" s="290" t="s">
        <v>930</v>
      </c>
    </row>
    <row r="60" ht="15" customHeight="1" spans="1:17">
      <c r="A60" s="364"/>
      <c r="B60" s="370"/>
      <c r="C60" s="360"/>
      <c r="D60" s="364"/>
      <c r="E60" s="364"/>
      <c r="F60" s="371"/>
      <c r="G60" s="360"/>
      <c r="H60" s="364"/>
      <c r="I60" s="415"/>
      <c r="J60" s="364"/>
      <c r="K60" s="414"/>
      <c r="L60" s="416"/>
      <c r="M60" s="416"/>
      <c r="N60" s="369"/>
      <c r="Q60" s="361"/>
    </row>
    <row r="61" ht="15" customHeight="1" spans="1:13">
      <c r="A61" s="364"/>
      <c r="B61" s="360"/>
      <c r="C61" s="360"/>
      <c r="D61" s="364"/>
      <c r="E61" s="364"/>
      <c r="F61" s="364"/>
      <c r="G61" s="360"/>
      <c r="H61" s="364"/>
      <c r="I61" s="415"/>
      <c r="J61" s="364"/>
      <c r="K61" s="416"/>
      <c r="L61" s="416"/>
      <c r="M61" s="416"/>
    </row>
    <row r="62" ht="15" customHeight="1" spans="1:13">
      <c r="A62" s="364"/>
      <c r="B62" s="365"/>
      <c r="C62" s="360"/>
      <c r="D62" s="364"/>
      <c r="E62" s="364"/>
      <c r="F62" s="364"/>
      <c r="G62" s="360"/>
      <c r="H62" s="364"/>
      <c r="I62" s="415"/>
      <c r="J62" s="364"/>
      <c r="K62" s="416"/>
      <c r="L62" s="416"/>
      <c r="M62" s="416"/>
    </row>
    <row r="63" ht="15" customHeight="1" spans="1:13">
      <c r="A63" s="364"/>
      <c r="B63" s="365"/>
      <c r="C63" s="360"/>
      <c r="D63" s="372"/>
      <c r="E63" s="373"/>
      <c r="F63" s="364"/>
      <c r="G63" s="374"/>
      <c r="H63" s="372"/>
      <c r="I63" s="417"/>
      <c r="J63" s="418"/>
      <c r="K63" s="419"/>
      <c r="L63" s="419"/>
      <c r="M63" s="419"/>
    </row>
    <row r="64" ht="15" customHeight="1" spans="1:13">
      <c r="A64" s="364"/>
      <c r="B64" s="370"/>
      <c r="C64" s="375"/>
      <c r="D64" s="372"/>
      <c r="E64" s="371"/>
      <c r="G64" s="371"/>
      <c r="I64" s="420"/>
      <c r="J64" s="371"/>
      <c r="K64" s="421"/>
      <c r="L64" s="421"/>
      <c r="M64" s="421"/>
    </row>
    <row r="65" ht="15" customHeight="1" spans="11:11">
      <c r="K65" s="441"/>
    </row>
    <row r="66" ht="15" customHeight="1"/>
    <row r="67" ht="19.25" spans="1:21">
      <c r="A67" s="437">
        <v>17</v>
      </c>
      <c r="B67" s="438" t="s">
        <v>926</v>
      </c>
      <c r="C67" s="1105" t="s">
        <v>931</v>
      </c>
      <c r="D67" s="354" t="s">
        <v>888</v>
      </c>
      <c r="E67" s="340">
        <v>1</v>
      </c>
      <c r="F67" s="318">
        <v>12500000</v>
      </c>
      <c r="G67" s="318">
        <f>F67*E67</f>
        <v>12500000</v>
      </c>
      <c r="H67" s="341">
        <v>60</v>
      </c>
      <c r="I67" s="442">
        <f>G67/H67</f>
        <v>208333.333333333</v>
      </c>
      <c r="J67" s="318">
        <v>0</v>
      </c>
      <c r="K67" s="318">
        <f>J67*I67</f>
        <v>0</v>
      </c>
      <c r="L67" s="318">
        <v>7</v>
      </c>
      <c r="M67" s="318">
        <f>+I67*L67</f>
        <v>1458333.33333333</v>
      </c>
      <c r="N67" s="398">
        <f>J67+L67</f>
        <v>7</v>
      </c>
      <c r="O67" s="318">
        <f>+K67+M67</f>
        <v>1458333.33333333</v>
      </c>
      <c r="P67" s="403">
        <f>+G67-O67</f>
        <v>11041666.6666667</v>
      </c>
      <c r="R67" s="444"/>
      <c r="S67" s="444"/>
      <c r="T67" s="445"/>
      <c r="U67" s="444"/>
    </row>
    <row r="68" ht="18.5" spans="1:21">
      <c r="A68" s="437">
        <v>19</v>
      </c>
      <c r="B68" s="438" t="s">
        <v>932</v>
      </c>
      <c r="C68" s="1105" t="s">
        <v>933</v>
      </c>
      <c r="D68" s="354" t="s">
        <v>934</v>
      </c>
      <c r="E68" s="340">
        <v>1</v>
      </c>
      <c r="F68" s="318">
        <v>35000000</v>
      </c>
      <c r="G68" s="318">
        <f>F68*E68</f>
        <v>35000000</v>
      </c>
      <c r="H68" s="341">
        <v>60</v>
      </c>
      <c r="I68" s="442">
        <f>G68/H68</f>
        <v>583333.333333333</v>
      </c>
      <c r="J68" s="318">
        <v>0</v>
      </c>
      <c r="K68" s="318">
        <f>J68*I68</f>
        <v>0</v>
      </c>
      <c r="L68" s="318">
        <v>1</v>
      </c>
      <c r="M68" s="318">
        <f>+I68*L68</f>
        <v>583333.333333333</v>
      </c>
      <c r="N68" s="398">
        <f>J68+L68</f>
        <v>1</v>
      </c>
      <c r="O68" s="318">
        <f>+K68+M68</f>
        <v>583333.333333333</v>
      </c>
      <c r="P68" s="403">
        <f>+G68-O68</f>
        <v>34416666.6666667</v>
      </c>
      <c r="R68" s="444"/>
      <c r="S68" s="444"/>
      <c r="T68" s="444"/>
      <c r="U68" s="444"/>
    </row>
    <row r="69" ht="21.75" customHeight="1" spans="7:7">
      <c r="G69" s="440">
        <f>SUM(G67:G68)</f>
        <v>47500000</v>
      </c>
    </row>
    <row r="72" spans="16:16">
      <c r="P72" s="443"/>
    </row>
    <row r="73" spans="16:16">
      <c r="P73" s="443"/>
    </row>
    <row r="74" spans="16:16">
      <c r="P74" s="443"/>
    </row>
  </sheetData>
  <mergeCells count="25">
    <mergeCell ref="A1:P1"/>
    <mergeCell ref="A2:P2"/>
    <mergeCell ref="A3:P3"/>
    <mergeCell ref="J9:K9"/>
    <mergeCell ref="L9:M9"/>
    <mergeCell ref="N9:O9"/>
    <mergeCell ref="R9:S9"/>
    <mergeCell ref="T9:U9"/>
    <mergeCell ref="A54:B54"/>
    <mergeCell ref="M56:N56"/>
    <mergeCell ref="J58:N58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P10"/>
    <mergeCell ref="P72:P74"/>
  </mergeCells>
  <pageMargins left="0.25" right="0.25" top="0.75" bottom="0.75" header="0.3" footer="0.3"/>
  <pageSetup paperSize="5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PT. KARYA MATAHARI MANDIRI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Irma Alisa</cp:lastModifiedBy>
  <dcterms:created xsi:type="dcterms:W3CDTF">2018-04-05T12:13:00Z</dcterms:created>
  <cp:lastPrinted>2024-12-25T14:39:00Z</cp:lastPrinted>
  <dcterms:modified xsi:type="dcterms:W3CDTF">2026-03-16T06:28:15Z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1033-12.2.0.23196</vt:lpwstr>
  </property>
</Properties>
</file>