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BUMDesa\2026\"/>
    </mc:Choice>
  </mc:AlternateContent>
  <xr:revisionPtr revIDLastSave="0" documentId="13_ncr:1_{88F16751-FA89-4DC1-A9A9-923B63A80713}" xr6:coauthVersionLast="47" xr6:coauthVersionMax="47" xr10:uidLastSave="{00000000-0000-0000-0000-000000000000}"/>
  <bookViews>
    <workbookView xWindow="60" yWindow="0" windowWidth="9165" windowHeight="10605" tabRatio="723" activeTab="1" xr2:uid="{00000000-000D-0000-FFFF-FFFF00000000}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X" localSheetId="22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 localSheetId="22">#REF!</definedName>
    <definedName name="____________LLL01">#REF!</definedName>
    <definedName name="____________LLL02" localSheetId="22">#REF!</definedName>
    <definedName name="____________LLL02">#REF!</definedName>
    <definedName name="____________LLL03" localSheetId="22">#REF!</definedName>
    <definedName name="____________LLL03">#REF!</definedName>
    <definedName name="____________LLL04" localSheetId="22">#REF!</definedName>
    <definedName name="____________LLL04">#REF!</definedName>
    <definedName name="____________LLL05" localSheetId="22">#REF!</definedName>
    <definedName name="____________LLL05">#REF!</definedName>
    <definedName name="____________LLL06" localSheetId="22">#REF!</definedName>
    <definedName name="____________LLL06">#REF!</definedName>
    <definedName name="____________LLL07" localSheetId="22">#REF!</definedName>
    <definedName name="____________LLL07">#REF!</definedName>
    <definedName name="____________LLL08" localSheetId="22">#REF!</definedName>
    <definedName name="____________LLL08">#REF!</definedName>
    <definedName name="____________LLL09" localSheetId="22">#REF!</definedName>
    <definedName name="____________LLL09">#REF!</definedName>
    <definedName name="____________LLL10" localSheetId="22">#REF!</definedName>
    <definedName name="____________LLL10">#REF!</definedName>
    <definedName name="____________LLL11" localSheetId="22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 localSheetId="22">#REF!</definedName>
    <definedName name="____________MMM01">#REF!</definedName>
    <definedName name="____________MMM02" localSheetId="22">#REF!</definedName>
    <definedName name="____________MMM02">#REF!</definedName>
    <definedName name="____________MMM03" localSheetId="22">#REF!</definedName>
    <definedName name="____________MMM03">#REF!</definedName>
    <definedName name="____________MMM04" localSheetId="22">#REF!</definedName>
    <definedName name="____________MMM04">#REF!</definedName>
    <definedName name="____________MMM05" localSheetId="22">#REF!</definedName>
    <definedName name="____________MMM05">#REF!</definedName>
    <definedName name="____________MMM06" localSheetId="22">#REF!</definedName>
    <definedName name="____________MMM06">#REF!</definedName>
    <definedName name="____________MMM07" localSheetId="22">#REF!</definedName>
    <definedName name="____________MMM07">#REF!</definedName>
    <definedName name="____________MMM08" localSheetId="22">#REF!</definedName>
    <definedName name="____________MMM08">#REF!</definedName>
    <definedName name="____________MMM09" localSheetId="22">#REF!</definedName>
    <definedName name="____________MMM09">#REF!</definedName>
    <definedName name="____________MMM10" localSheetId="22">#REF!</definedName>
    <definedName name="____________MMM10">#REF!</definedName>
    <definedName name="____________MMM11" localSheetId="22">#REF!</definedName>
    <definedName name="____________MMM11">#REF!</definedName>
    <definedName name="____________MMM12" localSheetId="22">#REF!</definedName>
    <definedName name="____________MMM12">#REF!</definedName>
    <definedName name="____________MMM13" localSheetId="22">#REF!</definedName>
    <definedName name="____________MMM13">#REF!</definedName>
    <definedName name="____________MMM14" localSheetId="22">#REF!</definedName>
    <definedName name="____________MMM14">#REF!</definedName>
    <definedName name="____________MMM15" localSheetId="22">#REF!</definedName>
    <definedName name="____________MMM15">#REF!</definedName>
    <definedName name="____________MMM16" localSheetId="22">#REF!</definedName>
    <definedName name="____________MMM16">#REF!</definedName>
    <definedName name="____________MMM17" localSheetId="22">#REF!</definedName>
    <definedName name="____________MMM17">#REF!</definedName>
    <definedName name="____________MMM18" localSheetId="22">#REF!</definedName>
    <definedName name="____________MMM18">#REF!</definedName>
    <definedName name="____________MMM19" localSheetId="22">#REF!</definedName>
    <definedName name="____________MMM19">#REF!</definedName>
    <definedName name="____________MMM20" localSheetId="22">#REF!</definedName>
    <definedName name="____________MMM20">#REF!</definedName>
    <definedName name="____________MMM21" localSheetId="22">#REF!</definedName>
    <definedName name="____________MMM21">#REF!</definedName>
    <definedName name="____________MMM22" localSheetId="22">#REF!</definedName>
    <definedName name="____________MMM22">#REF!</definedName>
    <definedName name="____________MMM23" localSheetId="22">#REF!</definedName>
    <definedName name="____________MMM23">#REF!</definedName>
    <definedName name="____________MMM24" localSheetId="22">#REF!</definedName>
    <definedName name="____________MMM24">#REF!</definedName>
    <definedName name="____________MMM25" localSheetId="22">#REF!</definedName>
    <definedName name="____________MMM25">#REF!</definedName>
    <definedName name="____________MMM26" localSheetId="22">#REF!</definedName>
    <definedName name="____________MMM26">#REF!</definedName>
    <definedName name="____________MMM27" localSheetId="22">#REF!</definedName>
    <definedName name="____________MMM27">#REF!</definedName>
    <definedName name="____________MMM28" localSheetId="22">#REF!</definedName>
    <definedName name="____________MMM28">#REF!</definedName>
    <definedName name="____________MMM29" localSheetId="22">#REF!</definedName>
    <definedName name="____________MMM29">#REF!</definedName>
    <definedName name="____________MMM30" localSheetId="22">#REF!</definedName>
    <definedName name="____________MMM30">#REF!</definedName>
    <definedName name="____________MMM31" localSheetId="22">#REF!</definedName>
    <definedName name="____________MMM31">#REF!</definedName>
    <definedName name="____________MMM32" localSheetId="22">#REF!</definedName>
    <definedName name="____________MMM32">#REF!</definedName>
    <definedName name="____________MMM33" localSheetId="22">#REF!</definedName>
    <definedName name="____________MMM33">#REF!</definedName>
    <definedName name="____________MMM34" localSheetId="22">#REF!</definedName>
    <definedName name="____________MMM34">#REF!</definedName>
    <definedName name="____________MMM35" localSheetId="22">#REF!</definedName>
    <definedName name="____________MMM35">#REF!</definedName>
    <definedName name="____________MMM36" localSheetId="22">#REF!</definedName>
    <definedName name="____________MMM36">#REF!</definedName>
    <definedName name="____________MMM37" localSheetId="22">#REF!</definedName>
    <definedName name="____________MMM37">#REF!</definedName>
    <definedName name="____________MMM38" localSheetId="22">#REF!</definedName>
    <definedName name="____________MMM38">#REF!</definedName>
    <definedName name="____________MMM39" localSheetId="22">#REF!</definedName>
    <definedName name="____________MMM39">#REF!</definedName>
    <definedName name="____________MMM40" localSheetId="22">#REF!</definedName>
    <definedName name="____________MMM40">#REF!</definedName>
    <definedName name="____________MMM41" localSheetId="22">#REF!</definedName>
    <definedName name="____________MMM41">#REF!</definedName>
    <definedName name="____________MMM411" localSheetId="22">#REF!</definedName>
    <definedName name="____________MMM411">#REF!</definedName>
    <definedName name="____________MMM42" localSheetId="22">#REF!</definedName>
    <definedName name="____________MMM42">#REF!</definedName>
    <definedName name="____________MMM43" localSheetId="22">#REF!</definedName>
    <definedName name="____________MMM43">#REF!</definedName>
    <definedName name="____________MMM44" localSheetId="22">#REF!</definedName>
    <definedName name="____________MMM44">#REF!</definedName>
    <definedName name="____________MMM45" localSheetId="22">#REF!</definedName>
    <definedName name="____________MMM45">#REF!</definedName>
    <definedName name="____________MMM46" localSheetId="22">#REF!</definedName>
    <definedName name="____________MMM46">#REF!</definedName>
    <definedName name="____________MMM47" localSheetId="22">#REF!</definedName>
    <definedName name="____________MMM47">#REF!</definedName>
    <definedName name="____________MMM48" localSheetId="22">#REF!</definedName>
    <definedName name="____________MMM48">#REF!</definedName>
    <definedName name="____________MMM49" localSheetId="22">#REF!</definedName>
    <definedName name="____________MMM49">#REF!</definedName>
    <definedName name="____________MMM50" localSheetId="22">#REF!</definedName>
    <definedName name="____________MMM50">#REF!</definedName>
    <definedName name="____________MMM51" localSheetId="22">#REF!</definedName>
    <definedName name="____________MMM51">#REF!</definedName>
    <definedName name="____________MMM52" localSheetId="22">#REF!</definedName>
    <definedName name="____________MMM52">#REF!</definedName>
    <definedName name="____________MMM53" localSheetId="22">#REF!</definedName>
    <definedName name="____________MMM53">#REF!</definedName>
    <definedName name="____________MMM54" localSheetId="22">#REF!</definedName>
    <definedName name="____________MMM54">#REF!</definedName>
    <definedName name="___________LLL01" localSheetId="22">#REF!</definedName>
    <definedName name="___________LLL01">#REF!</definedName>
    <definedName name="___________LLL02" localSheetId="22">#REF!</definedName>
    <definedName name="___________LLL02">#REF!</definedName>
    <definedName name="___________LLL03" localSheetId="22">#REF!</definedName>
    <definedName name="___________LLL03">#REF!</definedName>
    <definedName name="___________LLL04" localSheetId="22">#REF!</definedName>
    <definedName name="___________LLL04">#REF!</definedName>
    <definedName name="___________LLL05" localSheetId="22">#REF!</definedName>
    <definedName name="___________LLL05">#REF!</definedName>
    <definedName name="___________LLL06" localSheetId="22">#REF!</definedName>
    <definedName name="___________LLL06">#REF!</definedName>
    <definedName name="___________LLL07" localSheetId="22">#REF!</definedName>
    <definedName name="___________LLL07">#REF!</definedName>
    <definedName name="___________LLL08" localSheetId="22">#REF!</definedName>
    <definedName name="___________LLL08">#REF!</definedName>
    <definedName name="___________LLL09" localSheetId="22">#REF!</definedName>
    <definedName name="___________LLL09">#REF!</definedName>
    <definedName name="___________LLL10" localSheetId="22">#REF!</definedName>
    <definedName name="___________LLL10">#REF!</definedName>
    <definedName name="___________LLL11" localSheetId="22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 localSheetId="22">#REF!</definedName>
    <definedName name="___________MMM01">#REF!</definedName>
    <definedName name="___________MMM02" localSheetId="22">#REF!</definedName>
    <definedName name="___________MMM02">#REF!</definedName>
    <definedName name="___________MMM03" localSheetId="22">#REF!</definedName>
    <definedName name="___________MMM03">#REF!</definedName>
    <definedName name="___________MMM04" localSheetId="22">#REF!</definedName>
    <definedName name="___________MMM04">#REF!</definedName>
    <definedName name="___________MMM05" localSheetId="22">#REF!</definedName>
    <definedName name="___________MMM05">#REF!</definedName>
    <definedName name="___________MMM06" localSheetId="22">#REF!</definedName>
    <definedName name="___________MMM06">#REF!</definedName>
    <definedName name="___________MMM07" localSheetId="22">#REF!</definedName>
    <definedName name="___________MMM07">#REF!</definedName>
    <definedName name="___________MMM08" localSheetId="22">#REF!</definedName>
    <definedName name="___________MMM08">#REF!</definedName>
    <definedName name="___________MMM09" localSheetId="22">#REF!</definedName>
    <definedName name="___________MMM09">#REF!</definedName>
    <definedName name="___________MMM10" localSheetId="22">#REF!</definedName>
    <definedName name="___________MMM10">#REF!</definedName>
    <definedName name="___________MMM11" localSheetId="22">#REF!</definedName>
    <definedName name="___________MMM11">#REF!</definedName>
    <definedName name="___________MMM12" localSheetId="22">#REF!</definedName>
    <definedName name="___________MMM12">#REF!</definedName>
    <definedName name="___________MMM13" localSheetId="22">#REF!</definedName>
    <definedName name="___________MMM13">#REF!</definedName>
    <definedName name="___________MMM14" localSheetId="22">#REF!</definedName>
    <definedName name="___________MMM14">#REF!</definedName>
    <definedName name="___________MMM15" localSheetId="22">#REF!</definedName>
    <definedName name="___________MMM15">#REF!</definedName>
    <definedName name="___________MMM16" localSheetId="22">#REF!</definedName>
    <definedName name="___________MMM16">#REF!</definedName>
    <definedName name="___________MMM17" localSheetId="22">#REF!</definedName>
    <definedName name="___________MMM17">#REF!</definedName>
    <definedName name="___________MMM18" localSheetId="22">#REF!</definedName>
    <definedName name="___________MMM18">#REF!</definedName>
    <definedName name="___________MMM19" localSheetId="22">#REF!</definedName>
    <definedName name="___________MMM19">#REF!</definedName>
    <definedName name="___________MMM20" localSheetId="22">#REF!</definedName>
    <definedName name="___________MMM20">#REF!</definedName>
    <definedName name="___________MMM21" localSheetId="22">#REF!</definedName>
    <definedName name="___________MMM21">#REF!</definedName>
    <definedName name="___________MMM22" localSheetId="22">#REF!</definedName>
    <definedName name="___________MMM22">#REF!</definedName>
    <definedName name="___________MMM23" localSheetId="22">#REF!</definedName>
    <definedName name="___________MMM23">#REF!</definedName>
    <definedName name="___________MMM24" localSheetId="22">#REF!</definedName>
    <definedName name="___________MMM24">#REF!</definedName>
    <definedName name="___________MMM25" localSheetId="22">#REF!</definedName>
    <definedName name="___________MMM25">#REF!</definedName>
    <definedName name="___________MMM26" localSheetId="22">#REF!</definedName>
    <definedName name="___________MMM26">#REF!</definedName>
    <definedName name="___________MMM27" localSheetId="22">#REF!</definedName>
    <definedName name="___________MMM27">#REF!</definedName>
    <definedName name="___________MMM28" localSheetId="22">#REF!</definedName>
    <definedName name="___________MMM28">#REF!</definedName>
    <definedName name="___________MMM29" localSheetId="22">#REF!</definedName>
    <definedName name="___________MMM29">#REF!</definedName>
    <definedName name="___________MMM30" localSheetId="22">#REF!</definedName>
    <definedName name="___________MMM30">#REF!</definedName>
    <definedName name="___________MMM31" localSheetId="22">#REF!</definedName>
    <definedName name="___________MMM31">#REF!</definedName>
    <definedName name="___________MMM32" localSheetId="22">#REF!</definedName>
    <definedName name="___________MMM32">#REF!</definedName>
    <definedName name="___________MMM33" localSheetId="22">#REF!</definedName>
    <definedName name="___________MMM33">#REF!</definedName>
    <definedName name="___________MMM34" localSheetId="22">#REF!</definedName>
    <definedName name="___________MMM34">#REF!</definedName>
    <definedName name="___________MMM35" localSheetId="22">#REF!</definedName>
    <definedName name="___________MMM35">#REF!</definedName>
    <definedName name="___________MMM36" localSheetId="22">#REF!</definedName>
    <definedName name="___________MMM36">#REF!</definedName>
    <definedName name="___________MMM37" localSheetId="22">#REF!</definedName>
    <definedName name="___________MMM37">#REF!</definedName>
    <definedName name="___________MMM38" localSheetId="22">#REF!</definedName>
    <definedName name="___________MMM38">#REF!</definedName>
    <definedName name="___________MMM39" localSheetId="22">#REF!</definedName>
    <definedName name="___________MMM39">#REF!</definedName>
    <definedName name="___________MMM40" localSheetId="22">#REF!</definedName>
    <definedName name="___________MMM40">#REF!</definedName>
    <definedName name="___________MMM41" localSheetId="22">#REF!</definedName>
    <definedName name="___________MMM41">#REF!</definedName>
    <definedName name="___________MMM411" localSheetId="22">#REF!</definedName>
    <definedName name="___________MMM411">#REF!</definedName>
    <definedName name="___________MMM42" localSheetId="22">#REF!</definedName>
    <definedName name="___________MMM42">#REF!</definedName>
    <definedName name="___________MMM43" localSheetId="22">#REF!</definedName>
    <definedName name="___________MMM43">#REF!</definedName>
    <definedName name="___________MMM44" localSheetId="22">#REF!</definedName>
    <definedName name="___________MMM44">#REF!</definedName>
    <definedName name="___________MMM45" localSheetId="22">#REF!</definedName>
    <definedName name="___________MMM45">#REF!</definedName>
    <definedName name="___________MMM46" localSheetId="22">#REF!</definedName>
    <definedName name="___________MMM46">#REF!</definedName>
    <definedName name="___________MMM47" localSheetId="22">#REF!</definedName>
    <definedName name="___________MMM47">#REF!</definedName>
    <definedName name="___________MMM48" localSheetId="22">#REF!</definedName>
    <definedName name="___________MMM48">#REF!</definedName>
    <definedName name="___________MMM49" localSheetId="22">#REF!</definedName>
    <definedName name="___________MMM49">#REF!</definedName>
    <definedName name="___________MMM50" localSheetId="22">#REF!</definedName>
    <definedName name="___________MMM50">#REF!</definedName>
    <definedName name="___________MMM51" localSheetId="22">#REF!</definedName>
    <definedName name="___________MMM51">#REF!</definedName>
    <definedName name="___________MMM52" localSheetId="22">#REF!</definedName>
    <definedName name="___________MMM52">#REF!</definedName>
    <definedName name="___________MMM53" localSheetId="22">#REF!</definedName>
    <definedName name="___________MMM53">#REF!</definedName>
    <definedName name="___________MMM54" localSheetId="22">#REF!</definedName>
    <definedName name="___________MMM54">#REF!</definedName>
    <definedName name="__________LLL01" localSheetId="22">#REF!</definedName>
    <definedName name="__________LLL01">#REF!</definedName>
    <definedName name="__________LLL02" localSheetId="22">#REF!</definedName>
    <definedName name="__________LLL02">#REF!</definedName>
    <definedName name="__________LLL03" localSheetId="22">#REF!</definedName>
    <definedName name="__________LLL03">#REF!</definedName>
    <definedName name="__________LLL04" localSheetId="22">#REF!</definedName>
    <definedName name="__________LLL04">#REF!</definedName>
    <definedName name="__________LLL05" localSheetId="22">#REF!</definedName>
    <definedName name="__________LLL05">#REF!</definedName>
    <definedName name="__________LLL06" localSheetId="22">#REF!</definedName>
    <definedName name="__________LLL06">#REF!</definedName>
    <definedName name="__________LLL07" localSheetId="22">#REF!</definedName>
    <definedName name="__________LLL07">#REF!</definedName>
    <definedName name="__________LLL08" localSheetId="22">#REF!</definedName>
    <definedName name="__________LLL08">#REF!</definedName>
    <definedName name="__________LLL09" localSheetId="22">#REF!</definedName>
    <definedName name="__________LLL09">#REF!</definedName>
    <definedName name="__________LLL10" localSheetId="22">#REF!</definedName>
    <definedName name="__________LLL10">#REF!</definedName>
    <definedName name="__________LLL11" localSheetId="22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 localSheetId="22">#REF!</definedName>
    <definedName name="__________MMM01">#REF!</definedName>
    <definedName name="__________MMM02" localSheetId="22">#REF!</definedName>
    <definedName name="__________MMM02">#REF!</definedName>
    <definedName name="__________MMM03" localSheetId="22">#REF!</definedName>
    <definedName name="__________MMM03">#REF!</definedName>
    <definedName name="__________MMM04" localSheetId="22">#REF!</definedName>
    <definedName name="__________MMM04">#REF!</definedName>
    <definedName name="__________MMM05" localSheetId="22">#REF!</definedName>
    <definedName name="__________MMM05">#REF!</definedName>
    <definedName name="__________MMM06" localSheetId="22">#REF!</definedName>
    <definedName name="__________MMM06">#REF!</definedName>
    <definedName name="__________MMM07" localSheetId="22">#REF!</definedName>
    <definedName name="__________MMM07">#REF!</definedName>
    <definedName name="__________MMM08" localSheetId="22">#REF!</definedName>
    <definedName name="__________MMM08">#REF!</definedName>
    <definedName name="__________MMM09" localSheetId="22">#REF!</definedName>
    <definedName name="__________MMM09">#REF!</definedName>
    <definedName name="__________MMM10" localSheetId="22">#REF!</definedName>
    <definedName name="__________MMM10">#REF!</definedName>
    <definedName name="__________MMM11" localSheetId="22">#REF!</definedName>
    <definedName name="__________MMM11">#REF!</definedName>
    <definedName name="__________MMM12" localSheetId="22">#REF!</definedName>
    <definedName name="__________MMM12">#REF!</definedName>
    <definedName name="__________MMM13" localSheetId="22">#REF!</definedName>
    <definedName name="__________MMM13">#REF!</definedName>
    <definedName name="__________MMM14" localSheetId="22">#REF!</definedName>
    <definedName name="__________MMM14">#REF!</definedName>
    <definedName name="__________MMM15" localSheetId="22">#REF!</definedName>
    <definedName name="__________MMM15">#REF!</definedName>
    <definedName name="__________MMM16" localSheetId="22">#REF!</definedName>
    <definedName name="__________MMM16">#REF!</definedName>
    <definedName name="__________MMM17" localSheetId="22">#REF!</definedName>
    <definedName name="__________MMM17">#REF!</definedName>
    <definedName name="__________MMM18" localSheetId="22">#REF!</definedName>
    <definedName name="__________MMM18">#REF!</definedName>
    <definedName name="__________MMM19" localSheetId="22">#REF!</definedName>
    <definedName name="__________MMM19">#REF!</definedName>
    <definedName name="__________MMM20" localSheetId="22">#REF!</definedName>
    <definedName name="__________MMM20">#REF!</definedName>
    <definedName name="__________MMM21" localSheetId="22">#REF!</definedName>
    <definedName name="__________MMM21">#REF!</definedName>
    <definedName name="__________MMM22" localSheetId="22">#REF!</definedName>
    <definedName name="__________MMM22">#REF!</definedName>
    <definedName name="__________MMM23" localSheetId="22">#REF!</definedName>
    <definedName name="__________MMM23">#REF!</definedName>
    <definedName name="__________MMM24" localSheetId="22">#REF!</definedName>
    <definedName name="__________MMM24">#REF!</definedName>
    <definedName name="__________MMM25" localSheetId="22">#REF!</definedName>
    <definedName name="__________MMM25">#REF!</definedName>
    <definedName name="__________MMM26" localSheetId="22">#REF!</definedName>
    <definedName name="__________MMM26">#REF!</definedName>
    <definedName name="__________MMM27" localSheetId="22">#REF!</definedName>
    <definedName name="__________MMM27">#REF!</definedName>
    <definedName name="__________MMM28" localSheetId="22">#REF!</definedName>
    <definedName name="__________MMM28">#REF!</definedName>
    <definedName name="__________MMM29" localSheetId="22">#REF!</definedName>
    <definedName name="__________MMM29">#REF!</definedName>
    <definedName name="__________MMM30" localSheetId="22">#REF!</definedName>
    <definedName name="__________MMM30">#REF!</definedName>
    <definedName name="__________MMM31" localSheetId="22">#REF!</definedName>
    <definedName name="__________MMM31">#REF!</definedName>
    <definedName name="__________MMM32" localSheetId="22">#REF!</definedName>
    <definedName name="__________MMM32">#REF!</definedName>
    <definedName name="__________MMM33" localSheetId="22">#REF!</definedName>
    <definedName name="__________MMM33">#REF!</definedName>
    <definedName name="__________MMM34" localSheetId="22">#REF!</definedName>
    <definedName name="__________MMM34">#REF!</definedName>
    <definedName name="__________MMM35" localSheetId="22">#REF!</definedName>
    <definedName name="__________MMM35">#REF!</definedName>
    <definedName name="__________MMM36" localSheetId="22">#REF!</definedName>
    <definedName name="__________MMM36">#REF!</definedName>
    <definedName name="__________MMM37" localSheetId="22">#REF!</definedName>
    <definedName name="__________MMM37">#REF!</definedName>
    <definedName name="__________MMM38" localSheetId="22">#REF!</definedName>
    <definedName name="__________MMM38">#REF!</definedName>
    <definedName name="__________MMM39" localSheetId="22">#REF!</definedName>
    <definedName name="__________MMM39">#REF!</definedName>
    <definedName name="__________MMM40" localSheetId="22">#REF!</definedName>
    <definedName name="__________MMM40">#REF!</definedName>
    <definedName name="__________MMM41" localSheetId="22">#REF!</definedName>
    <definedName name="__________MMM41">#REF!</definedName>
    <definedName name="__________MMM411" localSheetId="22">#REF!</definedName>
    <definedName name="__________MMM411">#REF!</definedName>
    <definedName name="__________MMM42" localSheetId="22">#REF!</definedName>
    <definedName name="__________MMM42">#REF!</definedName>
    <definedName name="__________MMM43" localSheetId="22">#REF!</definedName>
    <definedName name="__________MMM43">#REF!</definedName>
    <definedName name="__________MMM44" localSheetId="22">#REF!</definedName>
    <definedName name="__________MMM44">#REF!</definedName>
    <definedName name="__________MMM45" localSheetId="22">#REF!</definedName>
    <definedName name="__________MMM45">#REF!</definedName>
    <definedName name="__________MMM46" localSheetId="22">#REF!</definedName>
    <definedName name="__________MMM46">#REF!</definedName>
    <definedName name="__________MMM47" localSheetId="22">#REF!</definedName>
    <definedName name="__________MMM47">#REF!</definedName>
    <definedName name="__________MMM48" localSheetId="22">#REF!</definedName>
    <definedName name="__________MMM48">#REF!</definedName>
    <definedName name="__________MMM49" localSheetId="22">#REF!</definedName>
    <definedName name="__________MMM49">#REF!</definedName>
    <definedName name="__________MMM50" localSheetId="22">#REF!</definedName>
    <definedName name="__________MMM50">#REF!</definedName>
    <definedName name="__________MMM51" localSheetId="22">#REF!</definedName>
    <definedName name="__________MMM51">#REF!</definedName>
    <definedName name="__________MMM52" localSheetId="22">#REF!</definedName>
    <definedName name="__________MMM52">#REF!</definedName>
    <definedName name="__________MMM53" localSheetId="22">#REF!</definedName>
    <definedName name="__________MMM53">#REF!</definedName>
    <definedName name="__________MMM54" localSheetId="22">#REF!</definedName>
    <definedName name="__________MMM54">#REF!</definedName>
    <definedName name="_________LLL01" localSheetId="22">#REF!</definedName>
    <definedName name="_________LLL01">#REF!</definedName>
    <definedName name="_________LLL02" localSheetId="22">#REF!</definedName>
    <definedName name="_________LLL02">#REF!</definedName>
    <definedName name="_________LLL03" localSheetId="22">#REF!</definedName>
    <definedName name="_________LLL03">#REF!</definedName>
    <definedName name="_________LLL04" localSheetId="22">#REF!</definedName>
    <definedName name="_________LLL04">#REF!</definedName>
    <definedName name="_________LLL05" localSheetId="22">#REF!</definedName>
    <definedName name="_________LLL05">#REF!</definedName>
    <definedName name="_________LLL06" localSheetId="22">#REF!</definedName>
    <definedName name="_________LLL06">#REF!</definedName>
    <definedName name="_________LLL07" localSheetId="22">#REF!</definedName>
    <definedName name="_________LLL07">#REF!</definedName>
    <definedName name="_________LLL08" localSheetId="22">#REF!</definedName>
    <definedName name="_________LLL08">#REF!</definedName>
    <definedName name="_________LLL09" localSheetId="22">#REF!</definedName>
    <definedName name="_________LLL09">#REF!</definedName>
    <definedName name="_________LLL10" localSheetId="22">#REF!</definedName>
    <definedName name="_________LLL10">#REF!</definedName>
    <definedName name="_________LLL11" localSheetId="22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 localSheetId="22">#REF!</definedName>
    <definedName name="_________MMM01">#REF!</definedName>
    <definedName name="_________MMM02" localSheetId="22">#REF!</definedName>
    <definedName name="_________MMM02">#REF!</definedName>
    <definedName name="_________MMM03" localSheetId="22">#REF!</definedName>
    <definedName name="_________MMM03">#REF!</definedName>
    <definedName name="_________MMM04" localSheetId="22">#REF!</definedName>
    <definedName name="_________MMM04">#REF!</definedName>
    <definedName name="_________MMM05" localSheetId="22">#REF!</definedName>
    <definedName name="_________MMM05">#REF!</definedName>
    <definedName name="_________MMM06" localSheetId="22">#REF!</definedName>
    <definedName name="_________MMM06">#REF!</definedName>
    <definedName name="_________MMM07" localSheetId="22">#REF!</definedName>
    <definedName name="_________MMM07">#REF!</definedName>
    <definedName name="_________MMM08" localSheetId="22">#REF!</definedName>
    <definedName name="_________MMM08">#REF!</definedName>
    <definedName name="_________MMM09" localSheetId="22">#REF!</definedName>
    <definedName name="_________MMM09">#REF!</definedName>
    <definedName name="_________MMM10" localSheetId="22">#REF!</definedName>
    <definedName name="_________MMM10">#REF!</definedName>
    <definedName name="_________MMM11" localSheetId="22">#REF!</definedName>
    <definedName name="_________MMM11">#REF!</definedName>
    <definedName name="_________MMM12" localSheetId="22">#REF!</definedName>
    <definedName name="_________MMM12">#REF!</definedName>
    <definedName name="_________MMM13" localSheetId="22">#REF!</definedName>
    <definedName name="_________MMM13">#REF!</definedName>
    <definedName name="_________MMM14" localSheetId="22">#REF!</definedName>
    <definedName name="_________MMM14">#REF!</definedName>
    <definedName name="_________MMM15" localSheetId="22">#REF!</definedName>
    <definedName name="_________MMM15">#REF!</definedName>
    <definedName name="_________MMM16" localSheetId="22">#REF!</definedName>
    <definedName name="_________MMM16">#REF!</definedName>
    <definedName name="_________MMM17" localSheetId="22">#REF!</definedName>
    <definedName name="_________MMM17">#REF!</definedName>
    <definedName name="_________MMM18" localSheetId="22">#REF!</definedName>
    <definedName name="_________MMM18">#REF!</definedName>
    <definedName name="_________MMM19" localSheetId="22">#REF!</definedName>
    <definedName name="_________MMM19">#REF!</definedName>
    <definedName name="_________MMM20" localSheetId="22">#REF!</definedName>
    <definedName name="_________MMM20">#REF!</definedName>
    <definedName name="_________MMM21" localSheetId="22">#REF!</definedName>
    <definedName name="_________MMM21">#REF!</definedName>
    <definedName name="_________MMM22" localSheetId="22">#REF!</definedName>
    <definedName name="_________MMM22">#REF!</definedName>
    <definedName name="_________MMM23" localSheetId="22">#REF!</definedName>
    <definedName name="_________MMM23">#REF!</definedName>
    <definedName name="_________MMM24" localSheetId="22">#REF!</definedName>
    <definedName name="_________MMM24">#REF!</definedName>
    <definedName name="_________MMM25" localSheetId="22">#REF!</definedName>
    <definedName name="_________MMM25">#REF!</definedName>
    <definedName name="_________MMM26" localSheetId="22">#REF!</definedName>
    <definedName name="_________MMM26">#REF!</definedName>
    <definedName name="_________MMM27" localSheetId="22">#REF!</definedName>
    <definedName name="_________MMM27">#REF!</definedName>
    <definedName name="_________MMM28" localSheetId="22">#REF!</definedName>
    <definedName name="_________MMM28">#REF!</definedName>
    <definedName name="_________MMM29" localSheetId="22">#REF!</definedName>
    <definedName name="_________MMM29">#REF!</definedName>
    <definedName name="_________MMM30" localSheetId="22">#REF!</definedName>
    <definedName name="_________MMM30">#REF!</definedName>
    <definedName name="_________MMM31" localSheetId="22">#REF!</definedName>
    <definedName name="_________MMM31">#REF!</definedName>
    <definedName name="_________MMM32" localSheetId="22">#REF!</definedName>
    <definedName name="_________MMM32">#REF!</definedName>
    <definedName name="_________MMM33" localSheetId="22">#REF!</definedName>
    <definedName name="_________MMM33">#REF!</definedName>
    <definedName name="_________MMM34" localSheetId="22">#REF!</definedName>
    <definedName name="_________MMM34">#REF!</definedName>
    <definedName name="_________MMM35" localSheetId="22">#REF!</definedName>
    <definedName name="_________MMM35">#REF!</definedName>
    <definedName name="_________MMM36" localSheetId="22">#REF!</definedName>
    <definedName name="_________MMM36">#REF!</definedName>
    <definedName name="_________MMM37" localSheetId="22">#REF!</definedName>
    <definedName name="_________MMM37">#REF!</definedName>
    <definedName name="_________MMM38" localSheetId="22">#REF!</definedName>
    <definedName name="_________MMM38">#REF!</definedName>
    <definedName name="_________MMM39" localSheetId="22">#REF!</definedName>
    <definedName name="_________MMM39">#REF!</definedName>
    <definedName name="_________MMM40" localSheetId="22">#REF!</definedName>
    <definedName name="_________MMM40">#REF!</definedName>
    <definedName name="_________MMM41" localSheetId="22">#REF!</definedName>
    <definedName name="_________MMM41">#REF!</definedName>
    <definedName name="_________MMM411" localSheetId="22">#REF!</definedName>
    <definedName name="_________MMM411">#REF!</definedName>
    <definedName name="_________MMM42" localSheetId="22">#REF!</definedName>
    <definedName name="_________MMM42">#REF!</definedName>
    <definedName name="_________MMM43" localSheetId="22">#REF!</definedName>
    <definedName name="_________MMM43">#REF!</definedName>
    <definedName name="_________MMM44" localSheetId="22">#REF!</definedName>
    <definedName name="_________MMM44">#REF!</definedName>
    <definedName name="_________MMM45" localSheetId="22">#REF!</definedName>
    <definedName name="_________MMM45">#REF!</definedName>
    <definedName name="_________MMM46" localSheetId="22">#REF!</definedName>
    <definedName name="_________MMM46">#REF!</definedName>
    <definedName name="_________MMM47" localSheetId="22">#REF!</definedName>
    <definedName name="_________MMM47">#REF!</definedName>
    <definedName name="_________MMM48" localSheetId="22">#REF!</definedName>
    <definedName name="_________MMM48">#REF!</definedName>
    <definedName name="_________MMM49" localSheetId="22">#REF!</definedName>
    <definedName name="_________MMM49">#REF!</definedName>
    <definedName name="_________MMM50" localSheetId="22">#REF!</definedName>
    <definedName name="_________MMM50">#REF!</definedName>
    <definedName name="_________MMM51" localSheetId="22">#REF!</definedName>
    <definedName name="_________MMM51">#REF!</definedName>
    <definedName name="_________MMM52" localSheetId="22">#REF!</definedName>
    <definedName name="_________MMM52">#REF!</definedName>
    <definedName name="_________MMM53" localSheetId="22">#REF!</definedName>
    <definedName name="_________MMM53">#REF!</definedName>
    <definedName name="_________MMM54" localSheetId="22">#REF!</definedName>
    <definedName name="_________MMM54">#REF!</definedName>
    <definedName name="________LLL01" localSheetId="22">#REF!</definedName>
    <definedName name="________LLL01">#REF!</definedName>
    <definedName name="________LLL02" localSheetId="22">#REF!</definedName>
    <definedName name="________LLL02">#REF!</definedName>
    <definedName name="________LLL03" localSheetId="22">#REF!</definedName>
    <definedName name="________LLL03">#REF!</definedName>
    <definedName name="________LLL04" localSheetId="22">#REF!</definedName>
    <definedName name="________LLL04">#REF!</definedName>
    <definedName name="________LLL05" localSheetId="22">#REF!</definedName>
    <definedName name="________LLL05">#REF!</definedName>
    <definedName name="________LLL06" localSheetId="22">#REF!</definedName>
    <definedName name="________LLL06">#REF!</definedName>
    <definedName name="________LLL07" localSheetId="22">#REF!</definedName>
    <definedName name="________LLL07">#REF!</definedName>
    <definedName name="________LLL08" localSheetId="22">#REF!</definedName>
    <definedName name="________LLL08">#REF!</definedName>
    <definedName name="________LLL09" localSheetId="22">#REF!</definedName>
    <definedName name="________LLL09">#REF!</definedName>
    <definedName name="________LLL10" localSheetId="22">#REF!</definedName>
    <definedName name="________LLL10">#REF!</definedName>
    <definedName name="________LLL11" localSheetId="22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 localSheetId="22">#REF!</definedName>
    <definedName name="________MMM01">#REF!</definedName>
    <definedName name="________MMM02" localSheetId="22">#REF!</definedName>
    <definedName name="________MMM02">#REF!</definedName>
    <definedName name="________MMM03" localSheetId="22">#REF!</definedName>
    <definedName name="________MMM03">#REF!</definedName>
    <definedName name="________MMM04" localSheetId="22">#REF!</definedName>
    <definedName name="________MMM04">#REF!</definedName>
    <definedName name="________MMM05" localSheetId="22">#REF!</definedName>
    <definedName name="________MMM05">#REF!</definedName>
    <definedName name="________MMM06" localSheetId="22">#REF!</definedName>
    <definedName name="________MMM06">#REF!</definedName>
    <definedName name="________MMM07" localSheetId="22">#REF!</definedName>
    <definedName name="________MMM07">#REF!</definedName>
    <definedName name="________MMM08" localSheetId="22">#REF!</definedName>
    <definedName name="________MMM08">#REF!</definedName>
    <definedName name="________MMM09" localSheetId="22">#REF!</definedName>
    <definedName name="________MMM09">#REF!</definedName>
    <definedName name="________MMM10" localSheetId="22">#REF!</definedName>
    <definedName name="________MMM10">#REF!</definedName>
    <definedName name="________MMM11" localSheetId="22">#REF!</definedName>
    <definedName name="________MMM11">#REF!</definedName>
    <definedName name="________MMM12" localSheetId="22">#REF!</definedName>
    <definedName name="________MMM12">#REF!</definedName>
    <definedName name="________MMM13" localSheetId="22">#REF!</definedName>
    <definedName name="________MMM13">#REF!</definedName>
    <definedName name="________MMM14" localSheetId="22">#REF!</definedName>
    <definedName name="________MMM14">#REF!</definedName>
    <definedName name="________MMM15" localSheetId="22">#REF!</definedName>
    <definedName name="________MMM15">#REF!</definedName>
    <definedName name="________MMM16" localSheetId="22">#REF!</definedName>
    <definedName name="________MMM16">#REF!</definedName>
    <definedName name="________MMM17" localSheetId="22">#REF!</definedName>
    <definedName name="________MMM17">#REF!</definedName>
    <definedName name="________MMM18" localSheetId="22">#REF!</definedName>
    <definedName name="________MMM18">#REF!</definedName>
    <definedName name="________MMM19" localSheetId="22">#REF!</definedName>
    <definedName name="________MMM19">#REF!</definedName>
    <definedName name="________MMM20" localSheetId="22">#REF!</definedName>
    <definedName name="________MMM20">#REF!</definedName>
    <definedName name="________MMM21" localSheetId="22">#REF!</definedName>
    <definedName name="________MMM21">#REF!</definedName>
    <definedName name="________MMM22" localSheetId="22">#REF!</definedName>
    <definedName name="________MMM22">#REF!</definedName>
    <definedName name="________MMM23" localSheetId="22">#REF!</definedName>
    <definedName name="________MMM23">#REF!</definedName>
    <definedName name="________MMM24" localSheetId="22">#REF!</definedName>
    <definedName name="________MMM24">#REF!</definedName>
    <definedName name="________MMM25" localSheetId="22">#REF!</definedName>
    <definedName name="________MMM25">#REF!</definedName>
    <definedName name="________MMM26" localSheetId="22">#REF!</definedName>
    <definedName name="________MMM26">#REF!</definedName>
    <definedName name="________MMM27" localSheetId="22">#REF!</definedName>
    <definedName name="________MMM27">#REF!</definedName>
    <definedName name="________MMM28" localSheetId="22">#REF!</definedName>
    <definedName name="________MMM28">#REF!</definedName>
    <definedName name="________MMM29" localSheetId="22">#REF!</definedName>
    <definedName name="________MMM29">#REF!</definedName>
    <definedName name="________MMM30" localSheetId="22">#REF!</definedName>
    <definedName name="________MMM30">#REF!</definedName>
    <definedName name="________MMM31" localSheetId="22">#REF!</definedName>
    <definedName name="________MMM31">#REF!</definedName>
    <definedName name="________MMM32" localSheetId="22">#REF!</definedName>
    <definedName name="________MMM32">#REF!</definedName>
    <definedName name="________MMM33" localSheetId="22">#REF!</definedName>
    <definedName name="________MMM33">#REF!</definedName>
    <definedName name="________MMM34" localSheetId="22">#REF!</definedName>
    <definedName name="________MMM34">#REF!</definedName>
    <definedName name="________MMM35" localSheetId="22">#REF!</definedName>
    <definedName name="________MMM35">#REF!</definedName>
    <definedName name="________MMM36" localSheetId="22">#REF!</definedName>
    <definedName name="________MMM36">#REF!</definedName>
    <definedName name="________MMM37" localSheetId="22">#REF!</definedName>
    <definedName name="________MMM37">#REF!</definedName>
    <definedName name="________MMM38" localSheetId="22">#REF!</definedName>
    <definedName name="________MMM38">#REF!</definedName>
    <definedName name="________MMM39" localSheetId="22">#REF!</definedName>
    <definedName name="________MMM39">#REF!</definedName>
    <definedName name="________MMM40" localSheetId="22">#REF!</definedName>
    <definedName name="________MMM40">#REF!</definedName>
    <definedName name="________MMM41" localSheetId="22">#REF!</definedName>
    <definedName name="________MMM41">#REF!</definedName>
    <definedName name="________MMM411" localSheetId="22">#REF!</definedName>
    <definedName name="________MMM411">#REF!</definedName>
    <definedName name="________MMM42" localSheetId="22">#REF!</definedName>
    <definedName name="________MMM42">#REF!</definedName>
    <definedName name="________MMM43" localSheetId="22">#REF!</definedName>
    <definedName name="________MMM43">#REF!</definedName>
    <definedName name="________MMM44" localSheetId="22">#REF!</definedName>
    <definedName name="________MMM44">#REF!</definedName>
    <definedName name="________MMM45" localSheetId="22">#REF!</definedName>
    <definedName name="________MMM45">#REF!</definedName>
    <definedName name="________MMM46" localSheetId="22">#REF!</definedName>
    <definedName name="________MMM46">#REF!</definedName>
    <definedName name="________MMM47" localSheetId="22">#REF!</definedName>
    <definedName name="________MMM47">#REF!</definedName>
    <definedName name="________MMM48" localSheetId="22">#REF!</definedName>
    <definedName name="________MMM48">#REF!</definedName>
    <definedName name="________MMM49" localSheetId="22">#REF!</definedName>
    <definedName name="________MMM49">#REF!</definedName>
    <definedName name="________MMM50" localSheetId="22">#REF!</definedName>
    <definedName name="________MMM50">#REF!</definedName>
    <definedName name="________MMM51" localSheetId="22">#REF!</definedName>
    <definedName name="________MMM51">#REF!</definedName>
    <definedName name="________MMM52" localSheetId="22">#REF!</definedName>
    <definedName name="________MMM52">#REF!</definedName>
    <definedName name="________MMM53" localSheetId="22">#REF!</definedName>
    <definedName name="________MMM53">#REF!</definedName>
    <definedName name="________MMM54" localSheetId="22">#REF!</definedName>
    <definedName name="________MMM54">#REF!</definedName>
    <definedName name="________xlnm.Print_Area">"#ref!"</definedName>
    <definedName name="_______LLL01" localSheetId="22">#REF!</definedName>
    <definedName name="_______LLL01">#REF!</definedName>
    <definedName name="_______LLL02" localSheetId="22">#REF!</definedName>
    <definedName name="_______LLL02">#REF!</definedName>
    <definedName name="_______LLL03" localSheetId="22">#REF!</definedName>
    <definedName name="_______LLL03">#REF!</definedName>
    <definedName name="_______LLL04" localSheetId="22">#REF!</definedName>
    <definedName name="_______LLL04">#REF!</definedName>
    <definedName name="_______LLL05" localSheetId="22">#REF!</definedName>
    <definedName name="_______LLL05">#REF!</definedName>
    <definedName name="_______LLL06" localSheetId="22">#REF!</definedName>
    <definedName name="_______LLL06">#REF!</definedName>
    <definedName name="_______LLL07" localSheetId="22">#REF!</definedName>
    <definedName name="_______LLL07">#REF!</definedName>
    <definedName name="_______LLL08" localSheetId="22">#REF!</definedName>
    <definedName name="_______LLL08">#REF!</definedName>
    <definedName name="_______LLL09" localSheetId="22">#REF!</definedName>
    <definedName name="_______LLL09">#REF!</definedName>
    <definedName name="_______LLL10" localSheetId="22">#REF!</definedName>
    <definedName name="_______LLL10">#REF!</definedName>
    <definedName name="_______LLL11" localSheetId="22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 localSheetId="22">#REF!</definedName>
    <definedName name="_______MMM01">#REF!</definedName>
    <definedName name="_______MMM02" localSheetId="22">#REF!</definedName>
    <definedName name="_______MMM02">#REF!</definedName>
    <definedName name="_______MMM03" localSheetId="22">#REF!</definedName>
    <definedName name="_______MMM03">#REF!</definedName>
    <definedName name="_______MMM04" localSheetId="22">#REF!</definedName>
    <definedName name="_______MMM04">#REF!</definedName>
    <definedName name="_______MMM05" localSheetId="22">#REF!</definedName>
    <definedName name="_______MMM05">#REF!</definedName>
    <definedName name="_______MMM06" localSheetId="22">#REF!</definedName>
    <definedName name="_______MMM06">#REF!</definedName>
    <definedName name="_______MMM07" localSheetId="22">#REF!</definedName>
    <definedName name="_______MMM07">#REF!</definedName>
    <definedName name="_______MMM08" localSheetId="22">#REF!</definedName>
    <definedName name="_______MMM08">#REF!</definedName>
    <definedName name="_______MMM09" localSheetId="22">#REF!</definedName>
    <definedName name="_______MMM09">#REF!</definedName>
    <definedName name="_______MMM10" localSheetId="22">#REF!</definedName>
    <definedName name="_______MMM10">#REF!</definedName>
    <definedName name="_______MMM11" localSheetId="22">#REF!</definedName>
    <definedName name="_______MMM11">#REF!</definedName>
    <definedName name="_______MMM12" localSheetId="22">#REF!</definedName>
    <definedName name="_______MMM12">#REF!</definedName>
    <definedName name="_______MMM13" localSheetId="22">#REF!</definedName>
    <definedName name="_______MMM13">#REF!</definedName>
    <definedName name="_______MMM14" localSheetId="22">#REF!</definedName>
    <definedName name="_______MMM14">#REF!</definedName>
    <definedName name="_______MMM15" localSheetId="22">#REF!</definedName>
    <definedName name="_______MMM15">#REF!</definedName>
    <definedName name="_______MMM16" localSheetId="22">#REF!</definedName>
    <definedName name="_______MMM16">#REF!</definedName>
    <definedName name="_______MMM17" localSheetId="22">#REF!</definedName>
    <definedName name="_______MMM17">#REF!</definedName>
    <definedName name="_______MMM18" localSheetId="22">#REF!</definedName>
    <definedName name="_______MMM18">#REF!</definedName>
    <definedName name="_______MMM19" localSheetId="22">#REF!</definedName>
    <definedName name="_______MMM19">#REF!</definedName>
    <definedName name="_______MMM20" localSheetId="22">#REF!</definedName>
    <definedName name="_______MMM20">#REF!</definedName>
    <definedName name="_______MMM21" localSheetId="22">#REF!</definedName>
    <definedName name="_______MMM21">#REF!</definedName>
    <definedName name="_______MMM22" localSheetId="22">#REF!</definedName>
    <definedName name="_______MMM22">#REF!</definedName>
    <definedName name="_______MMM23" localSheetId="22">#REF!</definedName>
    <definedName name="_______MMM23">#REF!</definedName>
    <definedName name="_______MMM24" localSheetId="22">#REF!</definedName>
    <definedName name="_______MMM24">#REF!</definedName>
    <definedName name="_______MMM25" localSheetId="22">#REF!</definedName>
    <definedName name="_______MMM25">#REF!</definedName>
    <definedName name="_______MMM26" localSheetId="22">#REF!</definedName>
    <definedName name="_______MMM26">#REF!</definedName>
    <definedName name="_______MMM27" localSheetId="22">#REF!</definedName>
    <definedName name="_______MMM27">#REF!</definedName>
    <definedName name="_______MMM28" localSheetId="22">#REF!</definedName>
    <definedName name="_______MMM28">#REF!</definedName>
    <definedName name="_______MMM29" localSheetId="22">#REF!</definedName>
    <definedName name="_______MMM29">#REF!</definedName>
    <definedName name="_______MMM30" localSheetId="22">#REF!</definedName>
    <definedName name="_______MMM30">#REF!</definedName>
    <definedName name="_______MMM31" localSheetId="22">#REF!</definedName>
    <definedName name="_______MMM31">#REF!</definedName>
    <definedName name="_______MMM32" localSheetId="22">#REF!</definedName>
    <definedName name="_______MMM32">#REF!</definedName>
    <definedName name="_______MMM33" localSheetId="22">#REF!</definedName>
    <definedName name="_______MMM33">#REF!</definedName>
    <definedName name="_______MMM34" localSheetId="22">#REF!</definedName>
    <definedName name="_______MMM34">#REF!</definedName>
    <definedName name="_______MMM35" localSheetId="22">#REF!</definedName>
    <definedName name="_______MMM35">#REF!</definedName>
    <definedName name="_______MMM36" localSheetId="22">#REF!</definedName>
    <definedName name="_______MMM36">#REF!</definedName>
    <definedName name="_______MMM37" localSheetId="22">#REF!</definedName>
    <definedName name="_______MMM37">#REF!</definedName>
    <definedName name="_______MMM38" localSheetId="22">#REF!</definedName>
    <definedName name="_______MMM38">#REF!</definedName>
    <definedName name="_______MMM39" localSheetId="22">#REF!</definedName>
    <definedName name="_______MMM39">#REF!</definedName>
    <definedName name="_______MMM40" localSheetId="22">#REF!</definedName>
    <definedName name="_______MMM40">#REF!</definedName>
    <definedName name="_______MMM41" localSheetId="22">#REF!</definedName>
    <definedName name="_______MMM41">#REF!</definedName>
    <definedName name="_______MMM411" localSheetId="22">#REF!</definedName>
    <definedName name="_______MMM411">#REF!</definedName>
    <definedName name="_______MMM42" localSheetId="22">#REF!</definedName>
    <definedName name="_______MMM42">#REF!</definedName>
    <definedName name="_______MMM43" localSheetId="22">#REF!</definedName>
    <definedName name="_______MMM43">#REF!</definedName>
    <definedName name="_______MMM44" localSheetId="22">#REF!</definedName>
    <definedName name="_______MMM44">#REF!</definedName>
    <definedName name="_______MMM45" localSheetId="22">#REF!</definedName>
    <definedName name="_______MMM45">#REF!</definedName>
    <definedName name="_______MMM46" localSheetId="22">#REF!</definedName>
    <definedName name="_______MMM46">#REF!</definedName>
    <definedName name="_______MMM47" localSheetId="22">#REF!</definedName>
    <definedName name="_______MMM47">#REF!</definedName>
    <definedName name="_______MMM48" localSheetId="22">#REF!</definedName>
    <definedName name="_______MMM48">#REF!</definedName>
    <definedName name="_______MMM49" localSheetId="22">#REF!</definedName>
    <definedName name="_______MMM49">#REF!</definedName>
    <definedName name="_______MMM50" localSheetId="22">#REF!</definedName>
    <definedName name="_______MMM50">#REF!</definedName>
    <definedName name="_______MMM51" localSheetId="22">#REF!</definedName>
    <definedName name="_______MMM51">#REF!</definedName>
    <definedName name="_______MMM52" localSheetId="22">#REF!</definedName>
    <definedName name="_______MMM52">#REF!</definedName>
    <definedName name="_______MMM53" localSheetId="22">#REF!</definedName>
    <definedName name="_______MMM53">#REF!</definedName>
    <definedName name="_______MMM54" localSheetId="22">#REF!</definedName>
    <definedName name="_______MMM54">#REF!</definedName>
    <definedName name="______HAL2">[4]Mobilisasi!#REF!</definedName>
    <definedName name="______LLL01" localSheetId="22">#REF!</definedName>
    <definedName name="______LLL01">#REF!</definedName>
    <definedName name="______LLL02" localSheetId="22">#REF!</definedName>
    <definedName name="______LLL02">#REF!</definedName>
    <definedName name="______LLL03" localSheetId="22">#REF!</definedName>
    <definedName name="______LLL03">#REF!</definedName>
    <definedName name="______LLL04" localSheetId="22">#REF!</definedName>
    <definedName name="______LLL04">#REF!</definedName>
    <definedName name="______LLL05" localSheetId="22">#REF!</definedName>
    <definedName name="______LLL05">#REF!</definedName>
    <definedName name="______LLL06" localSheetId="22">#REF!</definedName>
    <definedName name="______LLL06">#REF!</definedName>
    <definedName name="______LLL07" localSheetId="22">#REF!</definedName>
    <definedName name="______LLL07">#REF!</definedName>
    <definedName name="______LLL08" localSheetId="22">#REF!</definedName>
    <definedName name="______LLL08">#REF!</definedName>
    <definedName name="______LLL09" localSheetId="22">#REF!</definedName>
    <definedName name="______LLL09">#REF!</definedName>
    <definedName name="______LLL10" localSheetId="22">#REF!</definedName>
    <definedName name="______LLL10">#REF!</definedName>
    <definedName name="______LLL11" localSheetId="22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 localSheetId="22">#REF!</definedName>
    <definedName name="______MMM01">#REF!</definedName>
    <definedName name="______MMM02" localSheetId="22">#REF!</definedName>
    <definedName name="______MMM02">#REF!</definedName>
    <definedName name="______MMM03" localSheetId="22">#REF!</definedName>
    <definedName name="______MMM03">#REF!</definedName>
    <definedName name="______MMM04" localSheetId="22">#REF!</definedName>
    <definedName name="______MMM04">#REF!</definedName>
    <definedName name="______MMM05" localSheetId="22">#REF!</definedName>
    <definedName name="______MMM05">#REF!</definedName>
    <definedName name="______MMM06" localSheetId="22">#REF!</definedName>
    <definedName name="______MMM06">#REF!</definedName>
    <definedName name="______MMM07" localSheetId="22">#REF!</definedName>
    <definedName name="______MMM07">#REF!</definedName>
    <definedName name="______MMM08" localSheetId="22">#REF!</definedName>
    <definedName name="______MMM08">#REF!</definedName>
    <definedName name="______MMM09" localSheetId="22">#REF!</definedName>
    <definedName name="______MMM09">#REF!</definedName>
    <definedName name="______MMM10" localSheetId="22">#REF!</definedName>
    <definedName name="______MMM10">#REF!</definedName>
    <definedName name="______MMM11" localSheetId="22">#REF!</definedName>
    <definedName name="______MMM11">#REF!</definedName>
    <definedName name="______MMM12" localSheetId="22">#REF!</definedName>
    <definedName name="______MMM12">#REF!</definedName>
    <definedName name="______MMM13" localSheetId="22">#REF!</definedName>
    <definedName name="______MMM13">#REF!</definedName>
    <definedName name="______MMM14" localSheetId="22">#REF!</definedName>
    <definedName name="______MMM14">#REF!</definedName>
    <definedName name="______MMM15" localSheetId="22">#REF!</definedName>
    <definedName name="______MMM15">#REF!</definedName>
    <definedName name="______MMM16" localSheetId="22">#REF!</definedName>
    <definedName name="______MMM16">#REF!</definedName>
    <definedName name="______MMM17" localSheetId="22">#REF!</definedName>
    <definedName name="______MMM17">#REF!</definedName>
    <definedName name="______MMM18" localSheetId="22">#REF!</definedName>
    <definedName name="______MMM18">#REF!</definedName>
    <definedName name="______MMM19" localSheetId="22">#REF!</definedName>
    <definedName name="______MMM19">#REF!</definedName>
    <definedName name="______MMM20" localSheetId="22">#REF!</definedName>
    <definedName name="______MMM20">#REF!</definedName>
    <definedName name="______MMM21" localSheetId="22">#REF!</definedName>
    <definedName name="______MMM21">#REF!</definedName>
    <definedName name="______MMM22" localSheetId="22">#REF!</definedName>
    <definedName name="______MMM22">#REF!</definedName>
    <definedName name="______MMM23" localSheetId="22">#REF!</definedName>
    <definedName name="______MMM23">#REF!</definedName>
    <definedName name="______MMM24" localSheetId="22">#REF!</definedName>
    <definedName name="______MMM24">#REF!</definedName>
    <definedName name="______MMM25" localSheetId="22">#REF!</definedName>
    <definedName name="______MMM25">#REF!</definedName>
    <definedName name="______MMM26" localSheetId="22">#REF!</definedName>
    <definedName name="______MMM26">#REF!</definedName>
    <definedName name="______MMM27" localSheetId="22">#REF!</definedName>
    <definedName name="______MMM27">#REF!</definedName>
    <definedName name="______MMM28" localSheetId="22">#REF!</definedName>
    <definedName name="______MMM28">#REF!</definedName>
    <definedName name="______MMM29" localSheetId="22">#REF!</definedName>
    <definedName name="______MMM29">#REF!</definedName>
    <definedName name="______MMM30" localSheetId="22">#REF!</definedName>
    <definedName name="______MMM30">#REF!</definedName>
    <definedName name="______MMM31" localSheetId="22">#REF!</definedName>
    <definedName name="______MMM31">#REF!</definedName>
    <definedName name="______MMM32" localSheetId="22">#REF!</definedName>
    <definedName name="______MMM32">#REF!</definedName>
    <definedName name="______MMM33" localSheetId="22">#REF!</definedName>
    <definedName name="______MMM33">#REF!</definedName>
    <definedName name="______MMM34" localSheetId="22">#REF!</definedName>
    <definedName name="______MMM34">#REF!</definedName>
    <definedName name="______MMM35" localSheetId="22">#REF!</definedName>
    <definedName name="______MMM35">#REF!</definedName>
    <definedName name="______MMM36" localSheetId="22">#REF!</definedName>
    <definedName name="______MMM36">#REF!</definedName>
    <definedName name="______MMM37" localSheetId="22">#REF!</definedName>
    <definedName name="______MMM37">#REF!</definedName>
    <definedName name="______MMM38" localSheetId="22">#REF!</definedName>
    <definedName name="______MMM38">#REF!</definedName>
    <definedName name="______MMM39" localSheetId="22">#REF!</definedName>
    <definedName name="______MMM39">#REF!</definedName>
    <definedName name="______MMM40" localSheetId="22">#REF!</definedName>
    <definedName name="______MMM40">#REF!</definedName>
    <definedName name="______MMM41" localSheetId="22">#REF!</definedName>
    <definedName name="______MMM41">#REF!</definedName>
    <definedName name="______MMM411" localSheetId="22">#REF!</definedName>
    <definedName name="______MMM411">#REF!</definedName>
    <definedName name="______MMM42" localSheetId="22">#REF!</definedName>
    <definedName name="______MMM42">#REF!</definedName>
    <definedName name="______MMM43" localSheetId="22">#REF!</definedName>
    <definedName name="______MMM43">#REF!</definedName>
    <definedName name="______MMM44" localSheetId="22">#REF!</definedName>
    <definedName name="______MMM44">#REF!</definedName>
    <definedName name="______MMM45" localSheetId="22">#REF!</definedName>
    <definedName name="______MMM45">#REF!</definedName>
    <definedName name="______MMM46" localSheetId="22">#REF!</definedName>
    <definedName name="______MMM46">#REF!</definedName>
    <definedName name="______MMM47" localSheetId="22">#REF!</definedName>
    <definedName name="______MMM47">#REF!</definedName>
    <definedName name="______MMM48" localSheetId="22">#REF!</definedName>
    <definedName name="______MMM48">#REF!</definedName>
    <definedName name="______MMM49" localSheetId="22">#REF!</definedName>
    <definedName name="______MMM49">#REF!</definedName>
    <definedName name="______MMM50" localSheetId="22">#REF!</definedName>
    <definedName name="______MMM50">#REF!</definedName>
    <definedName name="______MMM51" localSheetId="22">#REF!</definedName>
    <definedName name="______MMM51">#REF!</definedName>
    <definedName name="______MMM52" localSheetId="22">#REF!</definedName>
    <definedName name="______MMM52">#REF!</definedName>
    <definedName name="______MMM53" localSheetId="22">#REF!</definedName>
    <definedName name="______MMM53">#REF!</definedName>
    <definedName name="______MMM54" localSheetId="22">#REF!</definedName>
    <definedName name="______MMM54">#REF!</definedName>
    <definedName name="______xlnm.Print_Area">"#ref!"</definedName>
    <definedName name="_____LLL01" localSheetId="22">#REF!</definedName>
    <definedName name="_____LLL01">#REF!</definedName>
    <definedName name="_____LLL02" localSheetId="22">#REF!</definedName>
    <definedName name="_____LLL02">#REF!</definedName>
    <definedName name="_____LLL03" localSheetId="22">#REF!</definedName>
    <definedName name="_____LLL03">#REF!</definedName>
    <definedName name="_____LLL04" localSheetId="22">#REF!</definedName>
    <definedName name="_____LLL04">#REF!</definedName>
    <definedName name="_____LLL05" localSheetId="22">#REF!</definedName>
    <definedName name="_____LLL05">#REF!</definedName>
    <definedName name="_____LLL06" localSheetId="22">#REF!</definedName>
    <definedName name="_____LLL06">#REF!</definedName>
    <definedName name="_____LLL07" localSheetId="22">#REF!</definedName>
    <definedName name="_____LLL07">#REF!</definedName>
    <definedName name="_____LLL08" localSheetId="22">#REF!</definedName>
    <definedName name="_____LLL08">#REF!</definedName>
    <definedName name="_____LLL09" localSheetId="22">#REF!</definedName>
    <definedName name="_____LLL09">#REF!</definedName>
    <definedName name="_____LLL10" localSheetId="22">#REF!</definedName>
    <definedName name="_____LLL10">#REF!</definedName>
    <definedName name="_____LLL11" localSheetId="22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 localSheetId="22">#REF!</definedName>
    <definedName name="_____MMM01">#REF!</definedName>
    <definedName name="_____MMM02" localSheetId="22">#REF!</definedName>
    <definedName name="_____MMM02">#REF!</definedName>
    <definedName name="_____MMM03" localSheetId="22">#REF!</definedName>
    <definedName name="_____MMM03">#REF!</definedName>
    <definedName name="_____MMM04" localSheetId="22">#REF!</definedName>
    <definedName name="_____MMM04">#REF!</definedName>
    <definedName name="_____MMM05" localSheetId="22">#REF!</definedName>
    <definedName name="_____MMM05">#REF!</definedName>
    <definedName name="_____MMM06" localSheetId="22">#REF!</definedName>
    <definedName name="_____MMM06">#REF!</definedName>
    <definedName name="_____MMM07" localSheetId="22">#REF!</definedName>
    <definedName name="_____MMM07">#REF!</definedName>
    <definedName name="_____MMM08" localSheetId="22">#REF!</definedName>
    <definedName name="_____MMM08">#REF!</definedName>
    <definedName name="_____MMM09" localSheetId="22">#REF!</definedName>
    <definedName name="_____MMM09">#REF!</definedName>
    <definedName name="_____MMM10" localSheetId="22">#REF!</definedName>
    <definedName name="_____MMM10">#REF!</definedName>
    <definedName name="_____MMM11" localSheetId="22">#REF!</definedName>
    <definedName name="_____MMM11">#REF!</definedName>
    <definedName name="_____MMM12" localSheetId="22">#REF!</definedName>
    <definedName name="_____MMM12">#REF!</definedName>
    <definedName name="_____MMM13" localSheetId="22">#REF!</definedName>
    <definedName name="_____MMM13">#REF!</definedName>
    <definedName name="_____MMM14" localSheetId="22">#REF!</definedName>
    <definedName name="_____MMM14">#REF!</definedName>
    <definedName name="_____MMM15" localSheetId="22">#REF!</definedName>
    <definedName name="_____MMM15">#REF!</definedName>
    <definedName name="_____MMM16" localSheetId="22">#REF!</definedName>
    <definedName name="_____MMM16">#REF!</definedName>
    <definedName name="_____MMM17" localSheetId="22">#REF!</definedName>
    <definedName name="_____MMM17">#REF!</definedName>
    <definedName name="_____MMM18" localSheetId="22">#REF!</definedName>
    <definedName name="_____MMM18">#REF!</definedName>
    <definedName name="_____MMM19" localSheetId="22">#REF!</definedName>
    <definedName name="_____MMM19">#REF!</definedName>
    <definedName name="_____MMM20" localSheetId="22">#REF!</definedName>
    <definedName name="_____MMM20">#REF!</definedName>
    <definedName name="_____MMM21" localSheetId="22">#REF!</definedName>
    <definedName name="_____MMM21">#REF!</definedName>
    <definedName name="_____MMM22" localSheetId="22">#REF!</definedName>
    <definedName name="_____MMM22">#REF!</definedName>
    <definedName name="_____MMM23" localSheetId="22">#REF!</definedName>
    <definedName name="_____MMM23">#REF!</definedName>
    <definedName name="_____MMM24" localSheetId="22">#REF!</definedName>
    <definedName name="_____MMM24">#REF!</definedName>
    <definedName name="_____MMM25" localSheetId="22">#REF!</definedName>
    <definedName name="_____MMM25">#REF!</definedName>
    <definedName name="_____MMM26" localSheetId="22">#REF!</definedName>
    <definedName name="_____MMM26">#REF!</definedName>
    <definedName name="_____MMM27" localSheetId="22">#REF!</definedName>
    <definedName name="_____MMM27">#REF!</definedName>
    <definedName name="_____MMM28" localSheetId="22">#REF!</definedName>
    <definedName name="_____MMM28">#REF!</definedName>
    <definedName name="_____MMM29" localSheetId="22">#REF!</definedName>
    <definedName name="_____MMM29">#REF!</definedName>
    <definedName name="_____MMM30" localSheetId="22">#REF!</definedName>
    <definedName name="_____MMM30">#REF!</definedName>
    <definedName name="_____MMM31" localSheetId="22">#REF!</definedName>
    <definedName name="_____MMM31">#REF!</definedName>
    <definedName name="_____MMM32" localSheetId="22">#REF!</definedName>
    <definedName name="_____MMM32">#REF!</definedName>
    <definedName name="_____MMM33" localSheetId="22">#REF!</definedName>
    <definedName name="_____MMM33">#REF!</definedName>
    <definedName name="_____MMM34" localSheetId="22">#REF!</definedName>
    <definedName name="_____MMM34">#REF!</definedName>
    <definedName name="_____MMM35" localSheetId="22">#REF!</definedName>
    <definedName name="_____MMM35">#REF!</definedName>
    <definedName name="_____MMM36" localSheetId="22">#REF!</definedName>
    <definedName name="_____MMM36">#REF!</definedName>
    <definedName name="_____MMM37" localSheetId="22">#REF!</definedName>
    <definedName name="_____MMM37">#REF!</definedName>
    <definedName name="_____MMM38" localSheetId="22">#REF!</definedName>
    <definedName name="_____MMM38">#REF!</definedName>
    <definedName name="_____MMM39" localSheetId="22">#REF!</definedName>
    <definedName name="_____MMM39">#REF!</definedName>
    <definedName name="_____MMM40" localSheetId="22">#REF!</definedName>
    <definedName name="_____MMM40">#REF!</definedName>
    <definedName name="_____MMM41" localSheetId="22">#REF!</definedName>
    <definedName name="_____MMM41">#REF!</definedName>
    <definedName name="_____MMM411" localSheetId="22">#REF!</definedName>
    <definedName name="_____MMM411">#REF!</definedName>
    <definedName name="_____MMM42" localSheetId="22">#REF!</definedName>
    <definedName name="_____MMM42">#REF!</definedName>
    <definedName name="_____MMM43" localSheetId="22">#REF!</definedName>
    <definedName name="_____MMM43">#REF!</definedName>
    <definedName name="_____MMM44" localSheetId="22">#REF!</definedName>
    <definedName name="_____MMM44">#REF!</definedName>
    <definedName name="_____MMM45" localSheetId="22">#REF!</definedName>
    <definedName name="_____MMM45">#REF!</definedName>
    <definedName name="_____MMM46" localSheetId="22">#REF!</definedName>
    <definedName name="_____MMM46">#REF!</definedName>
    <definedName name="_____MMM47" localSheetId="22">#REF!</definedName>
    <definedName name="_____MMM47">#REF!</definedName>
    <definedName name="_____MMM48" localSheetId="22">#REF!</definedName>
    <definedName name="_____MMM48">#REF!</definedName>
    <definedName name="_____MMM49" localSheetId="22">#REF!</definedName>
    <definedName name="_____MMM49">#REF!</definedName>
    <definedName name="_____MMM50" localSheetId="22">#REF!</definedName>
    <definedName name="_____MMM50">#REF!</definedName>
    <definedName name="_____MMM51" localSheetId="22">#REF!</definedName>
    <definedName name="_____MMM51">#REF!</definedName>
    <definedName name="_____MMM52" localSheetId="22">#REF!</definedName>
    <definedName name="_____MMM52">#REF!</definedName>
    <definedName name="_____MMM53" localSheetId="22">#REF!</definedName>
    <definedName name="_____MMM53">#REF!</definedName>
    <definedName name="_____MMM54" localSheetId="22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 localSheetId="22">#REF!</definedName>
    <definedName name="____LLL01">#REF!</definedName>
    <definedName name="____LLL02" localSheetId="22">#REF!</definedName>
    <definedName name="____LLL02">#REF!</definedName>
    <definedName name="____LLL03" localSheetId="22">#REF!</definedName>
    <definedName name="____LLL03">#REF!</definedName>
    <definedName name="____LLL04" localSheetId="22">#REF!</definedName>
    <definedName name="____LLL04">#REF!</definedName>
    <definedName name="____LLL05" localSheetId="22">#REF!</definedName>
    <definedName name="____LLL05">#REF!</definedName>
    <definedName name="____LLL06" localSheetId="22">#REF!</definedName>
    <definedName name="____LLL06">#REF!</definedName>
    <definedName name="____LLL07" localSheetId="22">#REF!</definedName>
    <definedName name="____LLL07">#REF!</definedName>
    <definedName name="____LLL08" localSheetId="22">#REF!</definedName>
    <definedName name="____LLL08">#REF!</definedName>
    <definedName name="____LLL09" localSheetId="22">#REF!</definedName>
    <definedName name="____LLL09">#REF!</definedName>
    <definedName name="____LLL10" localSheetId="22">#REF!</definedName>
    <definedName name="____LLL10">#REF!</definedName>
    <definedName name="____LLL11" localSheetId="22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 localSheetId="22">#REF!</definedName>
    <definedName name="____MMM01">#REF!</definedName>
    <definedName name="____MMM02" localSheetId="22">#REF!</definedName>
    <definedName name="____MMM02">#REF!</definedName>
    <definedName name="____MMM03" localSheetId="22">#REF!</definedName>
    <definedName name="____MMM03">#REF!</definedName>
    <definedName name="____MMM04" localSheetId="22">#REF!</definedName>
    <definedName name="____MMM04">#REF!</definedName>
    <definedName name="____MMM05" localSheetId="22">#REF!</definedName>
    <definedName name="____MMM05">#REF!</definedName>
    <definedName name="____MMM06" localSheetId="22">#REF!</definedName>
    <definedName name="____MMM06">#REF!</definedName>
    <definedName name="____MMM07" localSheetId="22">#REF!</definedName>
    <definedName name="____MMM07">#REF!</definedName>
    <definedName name="____MMM08" localSheetId="22">#REF!</definedName>
    <definedName name="____MMM08">#REF!</definedName>
    <definedName name="____MMM09" localSheetId="22">#REF!</definedName>
    <definedName name="____MMM09">#REF!</definedName>
    <definedName name="____MMM10" localSheetId="22">#REF!</definedName>
    <definedName name="____MMM10">#REF!</definedName>
    <definedName name="____MMM11" localSheetId="22">#REF!</definedName>
    <definedName name="____MMM11">#REF!</definedName>
    <definedName name="____MMM12" localSheetId="22">#REF!</definedName>
    <definedName name="____MMM12">#REF!</definedName>
    <definedName name="____MMM13" localSheetId="22">#REF!</definedName>
    <definedName name="____MMM13">#REF!</definedName>
    <definedName name="____MMM14" localSheetId="22">#REF!</definedName>
    <definedName name="____MMM14">#REF!</definedName>
    <definedName name="____MMM15" localSheetId="22">#REF!</definedName>
    <definedName name="____MMM15">#REF!</definedName>
    <definedName name="____MMM16" localSheetId="22">#REF!</definedName>
    <definedName name="____MMM16">#REF!</definedName>
    <definedName name="____MMM17" localSheetId="22">#REF!</definedName>
    <definedName name="____MMM17">#REF!</definedName>
    <definedName name="____MMM18" localSheetId="22">#REF!</definedName>
    <definedName name="____MMM18">#REF!</definedName>
    <definedName name="____MMM19" localSheetId="22">#REF!</definedName>
    <definedName name="____MMM19">#REF!</definedName>
    <definedName name="____MMM20" localSheetId="22">#REF!</definedName>
    <definedName name="____MMM20">#REF!</definedName>
    <definedName name="____MMM21" localSheetId="22">#REF!</definedName>
    <definedName name="____MMM21">#REF!</definedName>
    <definedName name="____MMM22" localSheetId="22">#REF!</definedName>
    <definedName name="____MMM22">#REF!</definedName>
    <definedName name="____MMM23" localSheetId="22">#REF!</definedName>
    <definedName name="____MMM23">#REF!</definedName>
    <definedName name="____MMM24" localSheetId="22">#REF!</definedName>
    <definedName name="____MMM24">#REF!</definedName>
    <definedName name="____MMM25" localSheetId="22">#REF!</definedName>
    <definedName name="____MMM25">#REF!</definedName>
    <definedName name="____MMM26" localSheetId="22">#REF!</definedName>
    <definedName name="____MMM26">#REF!</definedName>
    <definedName name="____MMM27" localSheetId="22">#REF!</definedName>
    <definedName name="____MMM27">#REF!</definedName>
    <definedName name="____MMM28" localSheetId="22">#REF!</definedName>
    <definedName name="____MMM28">#REF!</definedName>
    <definedName name="____MMM29" localSheetId="22">#REF!</definedName>
    <definedName name="____MMM29">#REF!</definedName>
    <definedName name="____MMM30" localSheetId="22">#REF!</definedName>
    <definedName name="____MMM30">#REF!</definedName>
    <definedName name="____MMM31" localSheetId="22">#REF!</definedName>
    <definedName name="____MMM31">#REF!</definedName>
    <definedName name="____MMM32" localSheetId="22">#REF!</definedName>
    <definedName name="____MMM32">#REF!</definedName>
    <definedName name="____MMM33" localSheetId="22">#REF!</definedName>
    <definedName name="____MMM33">#REF!</definedName>
    <definedName name="____MMM34" localSheetId="22">#REF!</definedName>
    <definedName name="____MMM34">#REF!</definedName>
    <definedName name="____MMM35" localSheetId="22">#REF!</definedName>
    <definedName name="____MMM35">#REF!</definedName>
    <definedName name="____MMM36" localSheetId="22">#REF!</definedName>
    <definedName name="____MMM36">#REF!</definedName>
    <definedName name="____MMM37" localSheetId="22">#REF!</definedName>
    <definedName name="____MMM37">#REF!</definedName>
    <definedName name="____MMM38" localSheetId="22">#REF!</definedName>
    <definedName name="____MMM38">#REF!</definedName>
    <definedName name="____MMM39" localSheetId="22">#REF!</definedName>
    <definedName name="____MMM39">#REF!</definedName>
    <definedName name="____MMM40" localSheetId="22">#REF!</definedName>
    <definedName name="____MMM40">#REF!</definedName>
    <definedName name="____MMM41" localSheetId="22">#REF!</definedName>
    <definedName name="____MMM41">#REF!</definedName>
    <definedName name="____MMM411" localSheetId="22">#REF!</definedName>
    <definedName name="____MMM411">#REF!</definedName>
    <definedName name="____MMM42" localSheetId="22">#REF!</definedName>
    <definedName name="____MMM42">#REF!</definedName>
    <definedName name="____MMM43" localSheetId="22">#REF!</definedName>
    <definedName name="____MMM43">#REF!</definedName>
    <definedName name="____MMM44" localSheetId="22">#REF!</definedName>
    <definedName name="____MMM44">#REF!</definedName>
    <definedName name="____MMM45" localSheetId="22">#REF!</definedName>
    <definedName name="____MMM45">#REF!</definedName>
    <definedName name="____MMM46" localSheetId="22">#REF!</definedName>
    <definedName name="____MMM46">#REF!</definedName>
    <definedName name="____MMM47" localSheetId="22">#REF!</definedName>
    <definedName name="____MMM47">#REF!</definedName>
    <definedName name="____MMM48" localSheetId="22">#REF!</definedName>
    <definedName name="____MMM48">#REF!</definedName>
    <definedName name="____MMM49" localSheetId="22">#REF!</definedName>
    <definedName name="____MMM49">#REF!</definedName>
    <definedName name="____MMM50" localSheetId="22">#REF!</definedName>
    <definedName name="____MMM50">#REF!</definedName>
    <definedName name="____MMM51" localSheetId="22">#REF!</definedName>
    <definedName name="____MMM51">#REF!</definedName>
    <definedName name="____MMM52" localSheetId="22">#REF!</definedName>
    <definedName name="____MMM52">#REF!</definedName>
    <definedName name="____MMM53" localSheetId="22">#REF!</definedName>
    <definedName name="____MMM53">#REF!</definedName>
    <definedName name="____MMM54" localSheetId="22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 localSheetId="22">#REF!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 localSheetId="22">#REF!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 localSheetId="22">#REF!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 localSheetId="22">#REF!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 localSheetId="22">#REF!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 localSheetId="22">#REF!</definedName>
    <definedName name="__sp606">#REF!</definedName>
    <definedName name="__xlnm.Print_Area">"#ref!"</definedName>
    <definedName name="__xlnm_Print_Area">"#ref!"</definedName>
    <definedName name="_110" localSheetId="22">#REF!</definedName>
    <definedName name="_110">#REF!</definedName>
    <definedName name="_210" localSheetId="22">#REF!</definedName>
    <definedName name="_210">#REF!</definedName>
    <definedName name="_224" localSheetId="22">#REF!</definedName>
    <definedName name="_224">#REF!</definedName>
    <definedName name="_225" localSheetId="22">#REF!</definedName>
    <definedName name="_225">#REF!</definedName>
    <definedName name="_310" localSheetId="22">#REF!</definedName>
    <definedName name="_310">#REF!</definedName>
    <definedName name="_410" localSheetId="22">#REF!</definedName>
    <definedName name="_410">#REF!</definedName>
    <definedName name="_424" localSheetId="22">#REF!</definedName>
    <definedName name="_424">#REF!</definedName>
    <definedName name="_514" localSheetId="22">#REF!</definedName>
    <definedName name="_514">#REF!</definedName>
    <definedName name="_7.1__2">'[11]D7(1)'!#REF!</definedName>
    <definedName name="_705" localSheetId="22">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 localSheetId="22">#REF!</definedName>
    <definedName name="_EEE01">#REF!</definedName>
    <definedName name="_EEE02">'[11]5-Alt(1)'!$AW$9</definedName>
    <definedName name="_EEE03" localSheetId="22">#REF!</definedName>
    <definedName name="_EEE03">#REF!</definedName>
    <definedName name="_EEE04" localSheetId="22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 localSheetId="22">#REF!</definedName>
    <definedName name="_EEE12">#REF!</definedName>
    <definedName name="_EEE13">'[11]5-Alt(1)'!$AW$20</definedName>
    <definedName name="_EEE14" localSheetId="22">#REF!</definedName>
    <definedName name="_EEE14">#REF!</definedName>
    <definedName name="_EEE15" localSheetId="22">#REF!</definedName>
    <definedName name="_EEE15">#REF!</definedName>
    <definedName name="_EEE16">'[11]5-Alt(1)'!$AW$23</definedName>
    <definedName name="_EEE17">'[11]5-Alt(1)'!$AW$24</definedName>
    <definedName name="_EEE18" localSheetId="22">#REF!</definedName>
    <definedName name="_EEE18">#REF!</definedName>
    <definedName name="_EEE19" localSheetId="22">#REF!</definedName>
    <definedName name="_EEE19">#REF!</definedName>
    <definedName name="_EEE20" localSheetId="22">#REF!</definedName>
    <definedName name="_EEE20">#REF!</definedName>
    <definedName name="_EEE21" localSheetId="22">#REF!</definedName>
    <definedName name="_EEE21">#REF!</definedName>
    <definedName name="_EEE22" localSheetId="22">#REF!</definedName>
    <definedName name="_EEE22">#REF!</definedName>
    <definedName name="_EEE23">'[11]5-Alt(1)'!$AW$30</definedName>
    <definedName name="_EEE24" localSheetId="22">#REF!</definedName>
    <definedName name="_EEE24">#REF!</definedName>
    <definedName name="_EEE25" localSheetId="22">#REF!</definedName>
    <definedName name="_EEE25">#REF!</definedName>
    <definedName name="_EEE26" localSheetId="22">#REF!</definedName>
    <definedName name="_EEE26">#REF!</definedName>
    <definedName name="_EEE27">'[11]5-Alt(1)'!$AW$34</definedName>
    <definedName name="_EEE28" localSheetId="22">#REF!</definedName>
    <definedName name="_EEE28">#REF!</definedName>
    <definedName name="_EEE29">'[11]5-Alt(1)'!$AW$36</definedName>
    <definedName name="_EEE30" localSheetId="22">#REF!</definedName>
    <definedName name="_EEE30">#REF!</definedName>
    <definedName name="_EEE31">'[11]5-Alt(1)'!$AW$38</definedName>
    <definedName name="_EEE32" localSheetId="22">#REF!</definedName>
    <definedName name="_EEE32">#REF!</definedName>
    <definedName name="_EEE33" localSheetId="22">#REF!</definedName>
    <definedName name="_EEE33">#REF!</definedName>
    <definedName name="_Fill" localSheetId="22" hidden="1">#REF!</definedName>
    <definedName name="_Fill" hidden="1">#REF!</definedName>
    <definedName name="_xlnm._FilterDatabase" localSheetId="3" hidden="1">KASHAR!$A$1:$AA$231</definedName>
    <definedName name="_xlnm._FilterDatabase" hidden="1">[12]REKAP!$A$1:$H$53</definedName>
    <definedName name="_HAL1" localSheetId="22">#REF!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localSheetId="22" hidden="1">#REF!</definedName>
    <definedName name="_Key1" hidden="1">#REF!</definedName>
    <definedName name="_Key2" localSheetId="22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 localSheetId="22">#REF!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 localSheetId="22">#REF!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localSheetId="22" hidden="1">#REF!</definedName>
    <definedName name="_Sort" hidden="1">#REF!</definedName>
    <definedName name="_sp606" localSheetId="22">#REF!</definedName>
    <definedName name="_sp606">#REF!</definedName>
    <definedName name="_Table1_In1" localSheetId="22" hidden="1">#REF!</definedName>
    <definedName name="_Table1_In1" hidden="1">#REF!</definedName>
    <definedName name="_Table1_Out" localSheetId="22" hidden="1">#REF!</definedName>
    <definedName name="_Table1_Out" hidden="1">#REF!</definedName>
    <definedName name="_Table2_In1" localSheetId="22" hidden="1">#REF!</definedName>
    <definedName name="_Table2_In1" hidden="1">#REF!</definedName>
    <definedName name="_Table2_In2" localSheetId="22" hidden="1">#REF!</definedName>
    <definedName name="_Table2_In2" hidden="1">#REF!</definedName>
    <definedName name="_Table2_Out" localSheetId="22" hidden="1">#REF!</definedName>
    <definedName name="_Table2_Out" hidden="1">#REF!</definedName>
    <definedName name="a">[13]RAB!#REF!</definedName>
    <definedName name="A.1" localSheetId="22">#REF!</definedName>
    <definedName name="A.1">#REF!</definedName>
    <definedName name="A.16" localSheetId="22">#REF!</definedName>
    <definedName name="A.16">#REF!</definedName>
    <definedName name="A.18_PASIR" localSheetId="22">#REF!</definedName>
    <definedName name="A.18_PASIR">#REF!</definedName>
    <definedName name="A.18_TANAH" localSheetId="22">#REF!</definedName>
    <definedName name="A.18_TANAH">#REF!</definedName>
    <definedName name="A.2" localSheetId="22">#REF!</definedName>
    <definedName name="A.2">#REF!</definedName>
    <definedName name="A.4" localSheetId="22">#REF!</definedName>
    <definedName name="A.4">#REF!</definedName>
    <definedName name="A.4A">[14]Analisa!$H$57</definedName>
    <definedName name="A_1" localSheetId="22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 localSheetId="22">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 localSheetId="22">#REF!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 localSheetId="22">#REF!</definedName>
    <definedName name="alat">#REF!</definedName>
    <definedName name="ALAT_BANTU">'[16]Hrg Bahan'!$N$122</definedName>
    <definedName name="ALATUTAMA" localSheetId="22">#REF!</definedName>
    <definedName name="ALATUTAMA">#REF!</definedName>
    <definedName name="ALT">'[18]daft sewa alt'!$C$4:$E$11</definedName>
    <definedName name="ALUMINIUM_U">'[16]Hrg Bahan'!#REF!</definedName>
    <definedName name="AMP" localSheetId="22">#REF!</definedName>
    <definedName name="AMP">#REF!</definedName>
    <definedName name="AMPLAS_KASAR">'[16]Hrg Bahan'!#REF!</definedName>
    <definedName name="AN.1" localSheetId="22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 localSheetId="22">#REF!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 localSheetId="22">#REF!</definedName>
    <definedName name="asdasd">#REF!</definedName>
    <definedName name="ASPAL">'[10]Kuantitas &amp; Harga'!#REF!</definedName>
    <definedName name="ATAP" localSheetId="22">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 localSheetId="22">#REF!</definedName>
    <definedName name="bb">#REF!</definedName>
    <definedName name="bbb" localSheetId="22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 localSheetId="22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22">#REF!</definedName>
    <definedName name="bhn">#REF!</definedName>
    <definedName name="BHN.MAROS" localSheetId="22">#REF!</definedName>
    <definedName name="BHN.MAROS">#REF!</definedName>
    <definedName name="bhn.maros1" localSheetId="22">#REF!</definedName>
    <definedName name="bhn.maros1">#REF!</definedName>
    <definedName name="bhn.pangkep" localSheetId="22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 localSheetId="22">#REF!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 localSheetId="22">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 localSheetId="22">#REF!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localSheetId="22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 localSheetId="22">#REF!</definedName>
    <definedName name="COMPRESSOR">#REF!</definedName>
    <definedName name="CONCRETEMIXER" localSheetId="22">#REF!</definedName>
    <definedName name="CONCRETEMIXER">#REF!</definedName>
    <definedName name="CONCRETEVIBRO" localSheetId="22">#REF!</definedName>
    <definedName name="CONCRETEVIBRO">#REF!</definedName>
    <definedName name="CRANE" localSheetId="22">#REF!</definedName>
    <definedName name="CRANE">#REF!</definedName>
    <definedName name="D" localSheetId="22">#REF!</definedName>
    <definedName name="D">#REF!</definedName>
    <definedName name="DAFTARSEWA" localSheetId="22">#REF!</definedName>
    <definedName name="DAFTARSEWA">#REF!</definedName>
    <definedName name="DATAUPAH">'[11]4-Basic Price'!$D$8:$F$38</definedName>
    <definedName name="DAYWORKS">'[10]Kuantitas &amp; Harga'!#REF!</definedName>
    <definedName name="dd" localSheetId="22" hidden="1">#REF!</definedName>
    <definedName name="dd" hidden="1">#REF!</definedName>
    <definedName name="dddd" localSheetId="22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 localSheetId="22">#REF!</definedName>
    <definedName name="deuicker">#REF!</definedName>
    <definedName name="Dibuat_tgl" localSheetId="22">#REF!</definedName>
    <definedName name="Dibuat_tgl">#REF!</definedName>
    <definedName name="DINDING" localSheetId="22">#REF!</definedName>
    <definedName name="DINDING">#REF!</definedName>
    <definedName name="DINDING_POLOS_20.25">[16]Analisa!#REF!</definedName>
    <definedName name="Disiapkan_oleh" localSheetId="22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 localSheetId="22">#REF!</definedName>
    <definedName name="DUMPTRUCK1">#REF!</definedName>
    <definedName name="DUMPTRUCK2" localSheetId="22">#REF!</definedName>
    <definedName name="DUMPTRUCK2">#REF!</definedName>
    <definedName name="E">[13]RAB!#REF!</definedName>
    <definedName name="E.13" localSheetId="22">#REF!</definedName>
    <definedName name="E.13">#REF!</definedName>
    <definedName name="E_001" localSheetId="22">#REF!</definedName>
    <definedName name="E_001">#REF!</definedName>
    <definedName name="E_010" localSheetId="22">#REF!</definedName>
    <definedName name="E_010">#REF!</definedName>
    <definedName name="E_031" localSheetId="22">#REF!</definedName>
    <definedName name="E_031">#REF!</definedName>
    <definedName name="E_040" localSheetId="22">#REF!</definedName>
    <definedName name="E_040">#REF!</definedName>
    <definedName name="E_052" localSheetId="22">#REF!</definedName>
    <definedName name="E_052">#REF!</definedName>
    <definedName name="E_080" localSheetId="22">#REF!</definedName>
    <definedName name="E_080">#REF!</definedName>
    <definedName name="E_081" localSheetId="22">#REF!</definedName>
    <definedName name="E_081">#REF!</definedName>
    <definedName name="E_084" localSheetId="22">#REF!</definedName>
    <definedName name="E_084">#REF!</definedName>
    <definedName name="E_087" localSheetId="22">#REF!</definedName>
    <definedName name="E_087">#REF!</definedName>
    <definedName name="E_088" localSheetId="22">#REF!</definedName>
    <definedName name="E_088">#REF!</definedName>
    <definedName name="E_089" localSheetId="22">#REF!</definedName>
    <definedName name="E_089">#REF!</definedName>
    <definedName name="E_13" localSheetId="22">#REF!</definedName>
    <definedName name="E_13">#REF!</definedName>
    <definedName name="E_153" localSheetId="22">#REF!</definedName>
    <definedName name="E_153">#REF!</definedName>
    <definedName name="E_154" localSheetId="22">#REF!</definedName>
    <definedName name="E_154">#REF!</definedName>
    <definedName name="E_155" localSheetId="22">#REF!</definedName>
    <definedName name="E_155">#REF!</definedName>
    <definedName name="E_157" localSheetId="22">#REF!</definedName>
    <definedName name="E_157">#REF!</definedName>
    <definedName name="E_182" localSheetId="22">#REF!</definedName>
    <definedName name="E_182">#REF!</definedName>
    <definedName name="E_211" localSheetId="22">#REF!</definedName>
    <definedName name="E_211">#REF!</definedName>
    <definedName name="E_212" localSheetId="22">#REF!</definedName>
    <definedName name="E_212">#REF!</definedName>
    <definedName name="E_221" localSheetId="22">#REF!</definedName>
    <definedName name="E_221">#REF!</definedName>
    <definedName name="E_251" localSheetId="22">#REF!</definedName>
    <definedName name="E_251">#REF!</definedName>
    <definedName name="E_253" localSheetId="22">#REF!</definedName>
    <definedName name="E_253">#REF!</definedName>
    <definedName name="E_301" localSheetId="22">#REF!</definedName>
    <definedName name="E_301">#REF!</definedName>
    <definedName name="E_341" localSheetId="22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 localSheetId="22">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 localSheetId="22">#REF!</definedName>
    <definedName name="F.1_I">#REF!</definedName>
    <definedName name="F.1_II" localSheetId="22">#REF!</definedName>
    <definedName name="F.1_II">#REF!</definedName>
    <definedName name="F.16" localSheetId="22">#REF!</definedName>
    <definedName name="F.16">#REF!</definedName>
    <definedName name="F.21_I" localSheetId="22">#REF!</definedName>
    <definedName name="F.21_I">#REF!</definedName>
    <definedName name="F.21_II" localSheetId="22">#REF!</definedName>
    <definedName name="F.21_II">#REF!</definedName>
    <definedName name="F.22_I" localSheetId="22">#REF!</definedName>
    <definedName name="F.22_I">#REF!</definedName>
    <definedName name="F.22_II" localSheetId="22">#REF!</definedName>
    <definedName name="F.22_II">#REF!</definedName>
    <definedName name="F.27_I" localSheetId="22">#REF!</definedName>
    <definedName name="F.27_I">#REF!</definedName>
    <definedName name="F.27_II" localSheetId="22">#REF!</definedName>
    <definedName name="F.27_II">#REF!</definedName>
    <definedName name="F.30_I_TEAK" localSheetId="22">#REF!</definedName>
    <definedName name="F.30_I_TEAK">#REF!</definedName>
    <definedName name="F.30_I_TRIP" localSheetId="22">#REF!</definedName>
    <definedName name="F.30_I_TRIP">#REF!</definedName>
    <definedName name="F.30_II_TEAK" localSheetId="22">#REF!</definedName>
    <definedName name="F.30_II_TEAK">#REF!</definedName>
    <definedName name="F.30_II_TRIP" localSheetId="22">#REF!</definedName>
    <definedName name="F.30_II_TRIP">#REF!</definedName>
    <definedName name="F.31_I" localSheetId="22">#REF!</definedName>
    <definedName name="F.31_I">#REF!</definedName>
    <definedName name="F.31_II" localSheetId="22">#REF!</definedName>
    <definedName name="F.31_II">#REF!</definedName>
    <definedName name="F.33_I" localSheetId="22">#REF!</definedName>
    <definedName name="F.33_I">#REF!</definedName>
    <definedName name="F.33_II" localSheetId="22">#REF!</definedName>
    <definedName name="F.33_II">#REF!</definedName>
    <definedName name="F.35_B3" localSheetId="22">#REF!</definedName>
    <definedName name="F.35_B3">#REF!</definedName>
    <definedName name="F.35_B5" localSheetId="22">#REF!</definedName>
    <definedName name="F.35_B5">#REF!</definedName>
    <definedName name="F.35_R3" localSheetId="22">#REF!</definedName>
    <definedName name="F.35_R3">#REF!</definedName>
    <definedName name="F.35_R5" localSheetId="22">#REF!</definedName>
    <definedName name="F.35_R5">#REF!</definedName>
    <definedName name="F.36_B_I" localSheetId="22">#REF!</definedName>
    <definedName name="F.36_B_I">#REF!</definedName>
    <definedName name="F.36_B_II" localSheetId="22">#REF!</definedName>
    <definedName name="F.36_B_II">#REF!</definedName>
    <definedName name="F.36_R_I" localSheetId="22">#REF!</definedName>
    <definedName name="F.36_R_I">#REF!</definedName>
    <definedName name="F.36_R_II" localSheetId="22">#REF!</definedName>
    <definedName name="F.36_R_II">#REF!</definedName>
    <definedName name="F.36A_I" localSheetId="22">#REF!</definedName>
    <definedName name="F.36A_I">#REF!</definedName>
    <definedName name="F.36A_II" localSheetId="22">#REF!</definedName>
    <definedName name="F.36A_II">#REF!</definedName>
    <definedName name="F.37_P_I" localSheetId="22">#REF!</definedName>
    <definedName name="F.37_P_I">#REF!</definedName>
    <definedName name="F.37_P_II" localSheetId="22">#REF!</definedName>
    <definedName name="F.37_P_II">#REF!</definedName>
    <definedName name="F.37_T" localSheetId="22">#REF!</definedName>
    <definedName name="F.37_T">#REF!</definedName>
    <definedName name="F.37_TEAK" localSheetId="22">#REF!</definedName>
    <definedName name="F.37_TEAK">#REF!</definedName>
    <definedName name="F.38_I" localSheetId="22">#REF!</definedName>
    <definedName name="F.38_I">#REF!</definedName>
    <definedName name="F.38_II" localSheetId="22">#REF!</definedName>
    <definedName name="F.38_II">#REF!</definedName>
    <definedName name="F.47_I" localSheetId="22">#REF!</definedName>
    <definedName name="F.47_I">#REF!</definedName>
    <definedName name="F.47_II" localSheetId="22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 localSheetId="22">#REF!</definedName>
    <definedName name="FFF">#REF!</definedName>
    <definedName name="FINISHER" localSheetId="22">#REF!</definedName>
    <definedName name="FINISHER">#REF!</definedName>
    <definedName name="FINISHING" localSheetId="22">#REF!</definedName>
    <definedName name="FINISHING">#REF!</definedName>
    <definedName name="FLATBEDTRUCK" localSheetId="22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 localSheetId="22">#REF!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 localSheetId="22">#REF!</definedName>
    <definedName name="FORM611">#REF!</definedName>
    <definedName name="FORM612" localSheetId="22">#REF!</definedName>
    <definedName name="FORM612">#REF!</definedName>
    <definedName name="FORM621" localSheetId="22">#REF!</definedName>
    <definedName name="FORM621">#REF!</definedName>
    <definedName name="FORM622" localSheetId="22">#REF!</definedName>
    <definedName name="FORM622">#REF!</definedName>
    <definedName name="FORM623" localSheetId="22">#REF!</definedName>
    <definedName name="FORM623">#REF!</definedName>
    <definedName name="FORM631" localSheetId="22">#REF!</definedName>
    <definedName name="FORM631">#REF!</definedName>
    <definedName name="FORM632" localSheetId="22">#REF!</definedName>
    <definedName name="FORM632">#REF!</definedName>
    <definedName name="FORM633" localSheetId="22">#REF!</definedName>
    <definedName name="FORM633">#REF!</definedName>
    <definedName name="FORM634" localSheetId="22">#REF!</definedName>
    <definedName name="FORM634">#REF!</definedName>
    <definedName name="FORM635" localSheetId="22">#REF!</definedName>
    <definedName name="FORM635">#REF!</definedName>
    <definedName name="FORM635A" localSheetId="22">#REF!</definedName>
    <definedName name="FORM635A">#REF!</definedName>
    <definedName name="FORM636" localSheetId="22">#REF!</definedName>
    <definedName name="FORM636">#REF!</definedName>
    <definedName name="FORM641L" localSheetId="22">#REF!</definedName>
    <definedName name="FORM641L">#REF!</definedName>
    <definedName name="FORM642" localSheetId="22">#REF!</definedName>
    <definedName name="FORM642">#REF!</definedName>
    <definedName name="FORM65" localSheetId="22">#REF!</definedName>
    <definedName name="FORM65">#REF!</definedName>
    <definedName name="FORM66PERATA" localSheetId="22">#REF!</definedName>
    <definedName name="FORM66PERATA">#REF!</definedName>
    <definedName name="FORM66PERMUKAAN" localSheetId="22">#REF!</definedName>
    <definedName name="FORM66PERMUKAAN">#REF!</definedName>
    <definedName name="FORM7101" localSheetId="22">#REF!</definedName>
    <definedName name="FORM7101">#REF!</definedName>
    <definedName name="FORM7102" localSheetId="22">#REF!</definedName>
    <definedName name="FORM7102">#REF!</definedName>
    <definedName name="FORM7103" localSheetId="22">#REF!</definedName>
    <definedName name="FORM7103">#REF!</definedName>
    <definedName name="FORM711" localSheetId="22">#REF!</definedName>
    <definedName name="FORM711">#REF!</definedName>
    <definedName name="FORM712" localSheetId="22">#REF!</definedName>
    <definedName name="FORM712">#REF!</definedName>
    <definedName name="FORM713" localSheetId="22">#REF!</definedName>
    <definedName name="FORM713">#REF!</definedName>
    <definedName name="FORM714" localSheetId="22">#REF!</definedName>
    <definedName name="FORM714">#REF!</definedName>
    <definedName name="FORM715" localSheetId="22">#REF!</definedName>
    <definedName name="FORM715">#REF!</definedName>
    <definedName name="FORM716" localSheetId="22">#REF!</definedName>
    <definedName name="FORM716">#REF!</definedName>
    <definedName name="FORM717" localSheetId="22">#REF!</definedName>
    <definedName name="FORM717">#REF!</definedName>
    <definedName name="FORM718" localSheetId="22">#REF!</definedName>
    <definedName name="FORM718">#REF!</definedName>
    <definedName name="FORM721" localSheetId="22">#REF!</definedName>
    <definedName name="FORM721">#REF!</definedName>
    <definedName name="FORM731" localSheetId="22">#REF!</definedName>
    <definedName name="FORM731">#REF!</definedName>
    <definedName name="FORM732" localSheetId="22">#REF!</definedName>
    <definedName name="FORM732">#REF!</definedName>
    <definedName name="FORM733" localSheetId="22">#REF!</definedName>
    <definedName name="FORM733">#REF!</definedName>
    <definedName name="FORM734" localSheetId="22">#REF!</definedName>
    <definedName name="FORM734">#REF!</definedName>
    <definedName name="FORM735" localSheetId="22">#REF!</definedName>
    <definedName name="FORM735">#REF!</definedName>
    <definedName name="FORM744" localSheetId="22">#REF!</definedName>
    <definedName name="FORM744">#REF!</definedName>
    <definedName name="FORM745" localSheetId="22">#REF!</definedName>
    <definedName name="FORM745">#REF!</definedName>
    <definedName name="FORM7610" localSheetId="22">#REF!</definedName>
    <definedName name="FORM7610">#REF!</definedName>
    <definedName name="FORM7612a" localSheetId="22">#REF!</definedName>
    <definedName name="FORM7612a">#REF!</definedName>
    <definedName name="FORM7612b" localSheetId="22">#REF!</definedName>
    <definedName name="FORM7612b">#REF!</definedName>
    <definedName name="FORM7612c" localSheetId="22">#REF!</definedName>
    <definedName name="FORM7612c">#REF!</definedName>
    <definedName name="FORM7613a" localSheetId="22">#REF!</definedName>
    <definedName name="FORM7613a">#REF!</definedName>
    <definedName name="FORM7613b" localSheetId="22">#REF!</definedName>
    <definedName name="FORM7613b">#REF!</definedName>
    <definedName name="FORM7613c" localSheetId="22">#REF!</definedName>
    <definedName name="FORM7613c">#REF!</definedName>
    <definedName name="FORM7614a" localSheetId="22">#REF!</definedName>
    <definedName name="FORM7614a">#REF!</definedName>
    <definedName name="FORM7614b" localSheetId="22">#REF!</definedName>
    <definedName name="FORM7614b">#REF!</definedName>
    <definedName name="FORM7614c" localSheetId="22">#REF!</definedName>
    <definedName name="FORM7614c">#REF!</definedName>
    <definedName name="FORM7614d" localSheetId="22">#REF!</definedName>
    <definedName name="FORM7614d">#REF!</definedName>
    <definedName name="FORM7614e" localSheetId="22">#REF!</definedName>
    <definedName name="FORM7614e">#REF!</definedName>
    <definedName name="FORM7618" localSheetId="22">#REF!</definedName>
    <definedName name="FORM7618">#REF!</definedName>
    <definedName name="FORM7619" localSheetId="22">#REF!</definedName>
    <definedName name="FORM7619">#REF!</definedName>
    <definedName name="FORM768" localSheetId="22">#REF!</definedName>
    <definedName name="FORM768">#REF!</definedName>
    <definedName name="FORM769" localSheetId="22">#REF!</definedName>
    <definedName name="FORM769">#REF!</definedName>
    <definedName name="FORM76X" localSheetId="22">#REF!</definedName>
    <definedName name="FORM76X">#REF!</definedName>
    <definedName name="FORM771a" localSheetId="22">#REF!</definedName>
    <definedName name="FORM771a">#REF!</definedName>
    <definedName name="FORM771b" localSheetId="22">#REF!</definedName>
    <definedName name="FORM771b">#REF!</definedName>
    <definedName name="FORM771c" localSheetId="22">#REF!</definedName>
    <definedName name="FORM771c">#REF!</definedName>
    <definedName name="FORM771d" localSheetId="22">#REF!</definedName>
    <definedName name="FORM771d">#REF!</definedName>
    <definedName name="FORM772a" localSheetId="22">#REF!</definedName>
    <definedName name="FORM772a">#REF!</definedName>
    <definedName name="FORM772b" localSheetId="22">#REF!</definedName>
    <definedName name="FORM772b">#REF!</definedName>
    <definedName name="FORM772c" localSheetId="22">#REF!</definedName>
    <definedName name="FORM772c">#REF!</definedName>
    <definedName name="FORM772d" localSheetId="22">#REF!</definedName>
    <definedName name="FORM772d">#REF!</definedName>
    <definedName name="FORM79manual" localSheetId="22">#REF!</definedName>
    <definedName name="FORM79manual">#REF!</definedName>
    <definedName name="FORM79mekanis" localSheetId="22">#REF!</definedName>
    <definedName name="FORM79mekanis">#REF!</definedName>
    <definedName name="FORM811" localSheetId="22">#REF!</definedName>
    <definedName name="FORM811">#REF!</definedName>
    <definedName name="FORM812" localSheetId="22">#REF!</definedName>
    <definedName name="FORM812">#REF!</definedName>
    <definedName name="FORM813" localSheetId="22">#REF!</definedName>
    <definedName name="FORM813">#REF!</definedName>
    <definedName name="FORM814" localSheetId="22">#REF!</definedName>
    <definedName name="FORM814">#REF!</definedName>
    <definedName name="FORM815" localSheetId="22">#REF!</definedName>
    <definedName name="FORM815">#REF!</definedName>
    <definedName name="FORM817" localSheetId="22">#REF!</definedName>
    <definedName name="FORM817">#REF!</definedName>
    <definedName name="FORM818" localSheetId="22">#REF!</definedName>
    <definedName name="FORM818">#REF!</definedName>
    <definedName name="FORM819" localSheetId="22">#REF!</definedName>
    <definedName name="FORM819">#REF!</definedName>
    <definedName name="FORM82" localSheetId="22">#REF!</definedName>
    <definedName name="FORM82">#REF!</definedName>
    <definedName name="FORM841" localSheetId="22">#REF!</definedName>
    <definedName name="FORM841">#REF!</definedName>
    <definedName name="FORM8410" localSheetId="22">#REF!</definedName>
    <definedName name="FORM8410">#REF!</definedName>
    <definedName name="FORM842" localSheetId="22">#REF!</definedName>
    <definedName name="FORM842">#REF!</definedName>
    <definedName name="FORM844" localSheetId="22">#REF!</definedName>
    <definedName name="FORM844">#REF!</definedName>
    <definedName name="FORM845" localSheetId="22">#REF!</definedName>
    <definedName name="FORM845">#REF!</definedName>
    <definedName name="FORM846" localSheetId="22">#REF!</definedName>
    <definedName name="FORM846">#REF!</definedName>
    <definedName name="FORM847" localSheetId="22">#REF!</definedName>
    <definedName name="FORM847">#REF!</definedName>
    <definedName name="FORMGEOTEKSTIL" localSheetId="22">#REF!</definedName>
    <definedName name="FORMGEOTEKSTIL">#REF!</definedName>
    <definedName name="FRRDS" localSheetId="22">#REF!</definedName>
    <definedName name="FRRDS">#REF!</definedName>
    <definedName name="FULVIMIXER" localSheetId="22">#REF!</definedName>
    <definedName name="FULVIMIXER">#REF!</definedName>
    <definedName name="G">[13]RAB!#REF!</definedName>
    <definedName name="G.14" localSheetId="22">#REF!</definedName>
    <definedName name="G.14">#REF!</definedName>
    <definedName name="G.16" localSheetId="22">#REF!</definedName>
    <definedName name="G.16">#REF!</definedName>
    <definedName name="G.2" localSheetId="22">#REF!</definedName>
    <definedName name="G.2">#REF!</definedName>
    <definedName name="G.32H" localSheetId="22">#REF!</definedName>
    <definedName name="G.32H">#REF!</definedName>
    <definedName name="G.32K" localSheetId="22">#REF!</definedName>
    <definedName name="G.32K">#REF!</definedName>
    <definedName name="G.32L" localSheetId="22">#REF!</definedName>
    <definedName name="G.32L">#REF!</definedName>
    <definedName name="G.33F" localSheetId="22">#REF!</definedName>
    <definedName name="G.33F">#REF!</definedName>
    <definedName name="G.33H" localSheetId="22">#REF!</definedName>
    <definedName name="G.33H">#REF!</definedName>
    <definedName name="G.33I" localSheetId="22">#REF!</definedName>
    <definedName name="G.33I">#REF!</definedName>
    <definedName name="G.33L" localSheetId="22">#REF!</definedName>
    <definedName name="G.33L">#REF!</definedName>
    <definedName name="G.44" localSheetId="22">#REF!</definedName>
    <definedName name="G.44">#REF!</definedName>
    <definedName name="G.50H" localSheetId="22">#REF!</definedName>
    <definedName name="G.50H">#REF!</definedName>
    <definedName name="G.50I" localSheetId="22">#REF!</definedName>
    <definedName name="G.50I">#REF!</definedName>
    <definedName name="G.50J" localSheetId="22">#REF!</definedName>
    <definedName name="G.50J">#REF!</definedName>
    <definedName name="G.50K" localSheetId="22">#REF!</definedName>
    <definedName name="G.50K">#REF!</definedName>
    <definedName name="G.50O" localSheetId="22">#REF!</definedName>
    <definedName name="G.50O">#REF!</definedName>
    <definedName name="G.50P" localSheetId="22">#REF!</definedName>
    <definedName name="G.50P">#REF!</definedName>
    <definedName name="G.51C" localSheetId="22">#REF!</definedName>
    <definedName name="G.51C">#REF!</definedName>
    <definedName name="G.51D" localSheetId="22">#REF!</definedName>
    <definedName name="G.51D">#REF!</definedName>
    <definedName name="G.53" localSheetId="22">#REF!</definedName>
    <definedName name="G.53">#REF!</definedName>
    <definedName name="G.53A" localSheetId="22">#REF!</definedName>
    <definedName name="G.53A">#REF!</definedName>
    <definedName name="G.55B" localSheetId="22">#REF!</definedName>
    <definedName name="G.55B">#REF!</definedName>
    <definedName name="G.55C" localSheetId="22">#REF!</definedName>
    <definedName name="G.55C">#REF!</definedName>
    <definedName name="G.5A" localSheetId="22">#REF!</definedName>
    <definedName name="G.5A">#REF!</definedName>
    <definedName name="G.5B" localSheetId="22">#REF!</definedName>
    <definedName name="G.5B">#REF!</definedName>
    <definedName name="G.5C" localSheetId="22">#REF!</definedName>
    <definedName name="G.5C">#REF!</definedName>
    <definedName name="G.6" localSheetId="22">#REF!</definedName>
    <definedName name="G.6">#REF!</definedName>
    <definedName name="G.67" localSheetId="22">#REF!</definedName>
    <definedName name="G.67">#REF!</definedName>
    <definedName name="G.72_20X20" localSheetId="22">#REF!</definedName>
    <definedName name="G.72_20X20">#REF!</definedName>
    <definedName name="g.72_20x25">'[29]HrgBahan&amp;Analisa'!$W$806</definedName>
    <definedName name="G.72_30X30" localSheetId="22">#REF!</definedName>
    <definedName name="G.72_30X30">#REF!</definedName>
    <definedName name="G.72_M_30X30" localSheetId="22">#REF!</definedName>
    <definedName name="G.72_M_30X30">#REF!</definedName>
    <definedName name="G_1" localSheetId="22">#REF!</definedName>
    <definedName name="G_1">#REF!</definedName>
    <definedName name="G_50m" localSheetId="22">#REF!</definedName>
    <definedName name="G_50m">#REF!</definedName>
    <definedName name="G_53A" localSheetId="22">#REF!</definedName>
    <definedName name="G_53A">#REF!</definedName>
    <definedName name="G_72b" localSheetId="22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 localSheetId="22">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 localSheetId="22">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 localSheetId="22">#REF!</definedName>
    <definedName name="H.10_ASBES">#REF!</definedName>
    <definedName name="H.10_SENG" localSheetId="22">#REF!</definedName>
    <definedName name="H.10_SENG">#REF!</definedName>
    <definedName name="H.14_KARET" localSheetId="22">#REF!</definedName>
    <definedName name="H.14_KARET">#REF!</definedName>
    <definedName name="H.14_SENG_PLAT" localSheetId="22">#REF!</definedName>
    <definedName name="H.14_SENG_PLAT">#REF!</definedName>
    <definedName name="H.17_KARET" localSheetId="22">#REF!</definedName>
    <definedName name="H.17_KARET">#REF!</definedName>
    <definedName name="H.17_SENG_PLAT" localSheetId="22">#REF!</definedName>
    <definedName name="H.17_SENG_PLAT">#REF!</definedName>
    <definedName name="H.2" localSheetId="22">#REF!</definedName>
    <definedName name="H.2">#REF!</definedName>
    <definedName name="H.6" localSheetId="22">#REF!</definedName>
    <definedName name="H.6">#REF!</definedName>
    <definedName name="H.8_AS_GEL" localSheetId="22">#REF!</definedName>
    <definedName name="H.8_AS_GEL">#REF!</definedName>
    <definedName name="H.8_AS_GEN" localSheetId="22">#REF!</definedName>
    <definedName name="H.8_AS_GEN">#REF!</definedName>
    <definedName name="H.8_SENG" localSheetId="22">#REF!</definedName>
    <definedName name="H.8_SENG">#REF!</definedName>
    <definedName name="HAK_ANGIN">'[16]Hrg Bahan'!#REF!</definedName>
    <definedName name="HANDEL_ROLLING">'[16]Hrg Bahan'!#REF!</definedName>
    <definedName name="HARGA" localSheetId="22">#REF!</definedName>
    <definedName name="HARGA">#REF!</definedName>
    <definedName name="hargasatuan" localSheetId="22">#REF!</definedName>
    <definedName name="hargasatuan">#REF!</definedName>
    <definedName name="hari">#N/A</definedName>
    <definedName name="hlll" localSheetId="22" hidden="1">#REF!</definedName>
    <definedName name="hlll" hidden="1">#REF!</definedName>
    <definedName name="hrg_dsr" localSheetId="22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 localSheetId="22">#REF!</definedName>
    <definedName name="INSTALASI_LISTRIK">#REF!</definedName>
    <definedName name="ISOLASI_PIPA">'[16]Hrg Bahan'!#REF!</definedName>
    <definedName name="iv">[14]RAB!#REF!</definedName>
    <definedName name="JACKHAMMER" localSheetId="22">#REF!</definedName>
    <definedName name="JACKHAMMER">#REF!</definedName>
    <definedName name="JALUSI">[16]Analisa!#REF!</definedName>
    <definedName name="JAM" localSheetId="22">#REF!</definedName>
    <definedName name="JAM">#REF!</definedName>
    <definedName name="JAMER" localSheetId="22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 localSheetId="22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 localSheetId="22">#REF!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 localSheetId="22">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 localSheetId="22">#REF!</definedName>
    <definedName name="K.7_23_CAT">#REF!</definedName>
    <definedName name="K.7_23_KAPUR" localSheetId="22">#REF!</definedName>
    <definedName name="K.7_23_KAPUR">#REF!</definedName>
    <definedName name="K.720">'[15]Analisa K'!#REF!</definedName>
    <definedName name="K.8_23_ASGEN" localSheetId="22">#REF!</definedName>
    <definedName name="K.8_23_ASGEN">#REF!</definedName>
    <definedName name="K.8_23_SENG" localSheetId="22">#REF!</definedName>
    <definedName name="K.8_23_SENG">#REF!</definedName>
    <definedName name="K.850">'[15]Analisa K'!#REF!</definedName>
    <definedName name="K.9_23" localSheetId="22">#REF!</definedName>
    <definedName name="K.9_23">#REF!</definedName>
    <definedName name="K.9_23B" localSheetId="22">#REF!</definedName>
    <definedName name="K.9_23B">#REF!</definedName>
    <definedName name="K_010" localSheetId="22">#REF!</definedName>
    <definedName name="K_010">#REF!</definedName>
    <definedName name="K_011" localSheetId="22">#REF!</definedName>
    <definedName name="K_011">#REF!</definedName>
    <definedName name="K_011_peng.kr.gal.t.saring.b_hal.2" localSheetId="22">#REF!</definedName>
    <definedName name="K_011_peng.kr.gal.t.saring.b_hal.2">#REF!</definedName>
    <definedName name="K_012" localSheetId="22">#REF!</definedName>
    <definedName name="K_012">#REF!</definedName>
    <definedName name="K_012_peng.kr.sung.t.saring.a_hal.3" localSheetId="22">#REF!</definedName>
    <definedName name="K_012_peng.kr.sung.t.saring.a_hal.3">#REF!</definedName>
    <definedName name="K_013_peng.kr.sung.t.saring.b_hal.4" localSheetId="22">#REF!</definedName>
    <definedName name="K_013_peng.kr.sung.t.saring.b_hal.4">#REF!</definedName>
    <definedName name="K_014" localSheetId="22">#REF!</definedName>
    <definedName name="K_014">#REF!</definedName>
    <definedName name="K_016" localSheetId="22">#REF!</definedName>
    <definedName name="K_016">#REF!</definedName>
    <definedName name="K_016_peng.kr.sung.saring.a_hal.6" localSheetId="22">#REF!</definedName>
    <definedName name="K_016_peng.kr.sung.saring.a_hal.6">#REF!</definedName>
    <definedName name="K_017" localSheetId="22">#REF!</definedName>
    <definedName name="K_017">#REF!</definedName>
    <definedName name="K_017_produk.bt.sung.pch.saring.a_hal.7" localSheetId="22">#REF!</definedName>
    <definedName name="K_017_produk.bt.sung.pch.saring.a_hal.7">#REF!</definedName>
    <definedName name="K_023_produk.suplai_lasbutag.b_hal.47" localSheetId="22">#REF!</definedName>
    <definedName name="K_023_produk.suplai_lasbutag.b_hal.47">#REF!</definedName>
    <definedName name="K_026" localSheetId="22">#REF!</definedName>
    <definedName name="K_026">#REF!</definedName>
    <definedName name="K_035" localSheetId="22">#REF!</definedName>
    <definedName name="K_035">#REF!</definedName>
    <definedName name="K_040" localSheetId="22">#REF!</definedName>
    <definedName name="K_040">#REF!</definedName>
    <definedName name="K_110" localSheetId="22">#REF!</definedName>
    <definedName name="K_110">#REF!</definedName>
    <definedName name="K_111">'[31]Analisa K'!$J$1879</definedName>
    <definedName name="K_115" localSheetId="22">#REF!</definedName>
    <definedName name="K_115">#REF!</definedName>
    <definedName name="K_116" localSheetId="22">#REF!</definedName>
    <definedName name="K_116">#REF!</definedName>
    <definedName name="K_210" localSheetId="22">#REF!</definedName>
    <definedName name="K_210">#REF!</definedName>
    <definedName name="K_211">'[31]Analisa K'!$J$1739</definedName>
    <definedName name="K_224" localSheetId="22">#REF!</definedName>
    <definedName name="K_224">#REF!</definedName>
    <definedName name="K_224_galian.tnh.konst.b_hal.8">'[19]Hrg.sat.'!$J$552</definedName>
    <definedName name="K_225" localSheetId="22">#REF!</definedName>
    <definedName name="K_225">#REF!</definedName>
    <definedName name="K_225_urug.dan.padat_hal.19">'[19]Hrg.sat.'!$J$1320</definedName>
    <definedName name="K_310" localSheetId="22">#REF!</definedName>
    <definedName name="K_310">#REF!</definedName>
    <definedName name="K_311" localSheetId="22">#REF!</definedName>
    <definedName name="K_311">#REF!</definedName>
    <definedName name="K_321" localSheetId="22">#REF!</definedName>
    <definedName name="K_321">#REF!</definedName>
    <definedName name="K_331">'[31]Analisa K'!$J$621</definedName>
    <definedName name="K_410" localSheetId="22">#REF!</definedName>
    <definedName name="K_410">#REF!</definedName>
    <definedName name="K_411">'[31]Analisa K'!$J$691</definedName>
    <definedName name="K_421" localSheetId="22">#REF!</definedName>
    <definedName name="K_421">#REF!</definedName>
    <definedName name="K_421_memotong_bahu_jln.a_hal.31">'[19]Hrg.sat.'!$J$2160</definedName>
    <definedName name="K_422" localSheetId="22">#REF!</definedName>
    <definedName name="K_422">#REF!</definedName>
    <definedName name="K_424" localSheetId="22">#REF!</definedName>
    <definedName name="K_424">#REF!</definedName>
    <definedName name="K_514" localSheetId="22">#REF!</definedName>
    <definedName name="K_514">#REF!</definedName>
    <definedName name="K_514_lpb.kls.c.alat_hal.16">'[19]Hrg.sat.'!$J$1112</definedName>
    <definedName name="K_516" localSheetId="22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22">#REF!</definedName>
    <definedName name="K_523">#REF!</definedName>
    <definedName name="K_528" localSheetId="22">#REF!</definedName>
    <definedName name="K_528">#REF!</definedName>
    <definedName name="K_528_menghampar.ATB.a">'[19]Hrg.sat.'!$J$3700</definedName>
    <definedName name="K_612" localSheetId="22">#REF!</definedName>
    <definedName name="K_612">#REF!</definedName>
    <definedName name="K_614" localSheetId="22">#REF!</definedName>
    <definedName name="K_614">#REF!</definedName>
    <definedName name="K_617" localSheetId="22">#REF!</definedName>
    <definedName name="K_617">#REF!</definedName>
    <definedName name="K_618" localSheetId="22">#REF!</definedName>
    <definedName name="K_618">#REF!</definedName>
    <definedName name="K_631" localSheetId="22">#REF!</definedName>
    <definedName name="K_631">#REF!</definedName>
    <definedName name="K_636" localSheetId="22">#REF!</definedName>
    <definedName name="K_636">#REF!</definedName>
    <definedName name="K_641">'[32]Analisa K'!$J$3559</definedName>
    <definedName name="K_705" localSheetId="22">#REF!</definedName>
    <definedName name="K_705">#REF!</definedName>
    <definedName name="K_705_konst.pas.batu_hal.15">'[19]Hrg.sat.'!$J$1042</definedName>
    <definedName name="K_710" localSheetId="22">#REF!</definedName>
    <definedName name="K_710">#REF!</definedName>
    <definedName name="K_710_acuan.beton_hal.13">'[19]Hrg.sat.'!$J$902</definedName>
    <definedName name="K_715" localSheetId="22">#REF!</definedName>
    <definedName name="K_715">#REF!</definedName>
    <definedName name="K_715_tul.besi.btn_hal.12">'[19]Hrg.sat.'!$J$832</definedName>
    <definedName name="K_720" localSheetId="22">#REF!</definedName>
    <definedName name="K_720">#REF!</definedName>
    <definedName name="K_721" localSheetId="22">#REF!</definedName>
    <definedName name="K_721">#REF!</definedName>
    <definedName name="K_721_beton.massa.K175.alat.mix.125ltr_hal.30">'[19]Hrg.sat.'!$J$2090</definedName>
    <definedName name="K_722" localSheetId="22">#REF!</definedName>
    <definedName name="K_722">#REF!</definedName>
    <definedName name="K_722_beton.strukt.K225.alat.mix.125ltr_hal.11" localSheetId="22">#REF!</definedName>
    <definedName name="K_722_beton.strukt.K225.alat.mix.125ltr_hal.11">#REF!</definedName>
    <definedName name="K_850" localSheetId="22">#REF!</definedName>
    <definedName name="K_850">#REF!</definedName>
    <definedName name="K_855" localSheetId="22">#REF!</definedName>
    <definedName name="K_855">#REF!</definedName>
    <definedName name="K_860" localSheetId="22">#REF!</definedName>
    <definedName name="K_860">#REF!</definedName>
    <definedName name="K_865" localSheetId="22">#REF!</definedName>
    <definedName name="K_865">#REF!</definedName>
    <definedName name="K_870" localSheetId="22">#REF!</definedName>
    <definedName name="K_870">#REF!</definedName>
    <definedName name="K_875" localSheetId="22">#REF!</definedName>
    <definedName name="K_875">#REF!</definedName>
    <definedName name="K_877" localSheetId="22">#REF!</definedName>
    <definedName name="K_877">#REF!</definedName>
    <definedName name="K_880" localSheetId="22">#REF!</definedName>
    <definedName name="K_880">#REF!</definedName>
    <definedName name="K_885" localSheetId="22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localSheetId="22" hidden="1">#REF!</definedName>
    <definedName name="KKKK" hidden="1">#REF!</definedName>
    <definedName name="KODE">'[33]ANALISA PANGKEP'!$B$420:$G$493</definedName>
    <definedName name="kode.alat" localSheetId="22">#REF!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 localSheetId="22">#REF!</definedName>
    <definedName name="KUANTITAS">#REF!</definedName>
    <definedName name="KUAS_4">'[16]Hrg Bahan'!#REF!</definedName>
    <definedName name="KUDA" localSheetId="22">#REF!</definedName>
    <definedName name="KUDA">#REF!</definedName>
    <definedName name="KUDA_ATAP" localSheetId="22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 localSheetId="22">#REF!</definedName>
    <definedName name="KUSEN">#REF!</definedName>
    <definedName name="KUSEN_JENDELA" localSheetId="22">#REF!</definedName>
    <definedName name="KUSEN_JENDELA">#REF!</definedName>
    <definedName name="kwt_btn">'[25]hrg-jadi'!$H$144</definedName>
    <definedName name="L_061" localSheetId="22">#REF!</definedName>
    <definedName name="L_061">#REF!</definedName>
    <definedName name="L_073" localSheetId="22">#REF!</definedName>
    <definedName name="L_073">#REF!</definedName>
    <definedName name="L_079" localSheetId="22">#REF!</definedName>
    <definedName name="L_079">#REF!</definedName>
    <definedName name="L_081" localSheetId="22">#REF!</definedName>
    <definedName name="L_081">#REF!</definedName>
    <definedName name="L_082" localSheetId="22">#REF!</definedName>
    <definedName name="L_082">#REF!</definedName>
    <definedName name="L_083" localSheetId="22">#REF!</definedName>
    <definedName name="L_083">#REF!</definedName>
    <definedName name="L_091" localSheetId="22">#REF!</definedName>
    <definedName name="L_091">#REF!</definedName>
    <definedName name="L_099" localSheetId="22">#REF!</definedName>
    <definedName name="L_099">#REF!</definedName>
    <definedName name="L_101" localSheetId="22">#REF!</definedName>
    <definedName name="L_101">#REF!</definedName>
    <definedName name="L_106" localSheetId="22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 localSheetId="22">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 localSheetId="22">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 localSheetId="22">#REF!</definedName>
    <definedName name="M_010">#REF!</definedName>
    <definedName name="M_020" localSheetId="22">#REF!</definedName>
    <definedName name="M_020">#REF!</definedName>
    <definedName name="M_021" localSheetId="22">#REF!</definedName>
    <definedName name="M_021">#REF!</definedName>
    <definedName name="M_023" localSheetId="22">#REF!</definedName>
    <definedName name="M_023">#REF!</definedName>
    <definedName name="M_024" localSheetId="22">#REF!</definedName>
    <definedName name="M_024">#REF!</definedName>
    <definedName name="M_025" localSheetId="22">#REF!</definedName>
    <definedName name="M_025">#REF!</definedName>
    <definedName name="M_040" localSheetId="22">#REF!</definedName>
    <definedName name="M_040">#REF!</definedName>
    <definedName name="M_041" localSheetId="22">#REF!</definedName>
    <definedName name="M_041">#REF!</definedName>
    <definedName name="M_050" localSheetId="22">#REF!</definedName>
    <definedName name="M_050">#REF!</definedName>
    <definedName name="M_061" localSheetId="22">#REF!</definedName>
    <definedName name="M_061">#REF!</definedName>
    <definedName name="M_062" localSheetId="22">#REF!</definedName>
    <definedName name="M_062">#REF!</definedName>
    <definedName name="M_063" localSheetId="22">#REF!</definedName>
    <definedName name="M_063">#REF!</definedName>
    <definedName name="M_065" localSheetId="22">#REF!</definedName>
    <definedName name="M_065">#REF!</definedName>
    <definedName name="M_080" localSheetId="22">#REF!</definedName>
    <definedName name="M_080">#REF!</definedName>
    <definedName name="M_081" localSheetId="22">#REF!</definedName>
    <definedName name="M_081">#REF!</definedName>
    <definedName name="M_165" localSheetId="22">#REF!</definedName>
    <definedName name="M_165">#REF!</definedName>
    <definedName name="M_166" localSheetId="22">#REF!</definedName>
    <definedName name="M_166">#REF!</definedName>
    <definedName name="M_167" localSheetId="22">#REF!</definedName>
    <definedName name="M_167">#REF!</definedName>
    <definedName name="M_170" localSheetId="22">#REF!</definedName>
    <definedName name="M_170">#REF!</definedName>
    <definedName name="M_180" localSheetId="22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 localSheetId="22">#REF!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 localSheetId="22">#REF!</definedName>
    <definedName name="MK_012">#REF!</definedName>
    <definedName name="MK_014" localSheetId="22">#REF!</definedName>
    <definedName name="MK_014">#REF!</definedName>
    <definedName name="MK_017" localSheetId="22">#REF!</definedName>
    <definedName name="MK_017">#REF!</definedName>
    <definedName name="MK_023" localSheetId="22">#REF!</definedName>
    <definedName name="MK_023">#REF!</definedName>
    <definedName name="MK_522" localSheetId="22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localSheetId="22" hidden="1">#REF!</definedName>
    <definedName name="MMM" hidden="1">#REF!</definedName>
    <definedName name="MMM17A">"#ref!"</definedName>
    <definedName name="MMM35A">"#ref!"</definedName>
    <definedName name="MOBILISASI" localSheetId="22">#REF!</definedName>
    <definedName name="MOBILISASI">#REF!</definedName>
    <definedName name="MR_11" localSheetId="22">#REF!</definedName>
    <definedName name="MR_11">#REF!</definedName>
    <definedName name="MR_12" localSheetId="22">#REF!</definedName>
    <definedName name="MR_12">#REF!</definedName>
    <definedName name="MR_42" localSheetId="22">#REF!</definedName>
    <definedName name="MR_42">#REF!</definedName>
    <definedName name="MUR_BAUT_ANGKER">'[16]Hrg Bahan'!$N$111</definedName>
    <definedName name="nanna79" localSheetId="22">#REF!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localSheetId="22" hidden="1">#REF!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 localSheetId="22">#REF!</definedName>
    <definedName name="p">#REF!</definedName>
    <definedName name="P_GIP_1" localSheetId="22">#REF!</definedName>
    <definedName name="P_GIP_1">#REF!</definedName>
    <definedName name="P_GIP_1_5" localSheetId="22">#REF!</definedName>
    <definedName name="P_GIP_1_5">#REF!</definedName>
    <definedName name="P_GIP_2" localSheetId="22">#REF!</definedName>
    <definedName name="P_GIP_2">#REF!</definedName>
    <definedName name="P_GIP_3" localSheetId="22">#REF!</definedName>
    <definedName name="P_GIP_3">#REF!</definedName>
    <definedName name="P_GIP_4" localSheetId="22">#REF!</definedName>
    <definedName name="P_GIP_4">#REF!</definedName>
    <definedName name="P_PVC_1" localSheetId="22">#REF!</definedName>
    <definedName name="P_PVC_1">#REF!</definedName>
    <definedName name="P_PVC_1_5" localSheetId="22">#REF!</definedName>
    <definedName name="P_PVC_1_5">#REF!</definedName>
    <definedName name="P_PVC_2" localSheetId="22">#REF!</definedName>
    <definedName name="P_PVC_2">#REF!</definedName>
    <definedName name="P_PVC_3" localSheetId="22">#REF!</definedName>
    <definedName name="P_PVC_3">#REF!</definedName>
    <definedName name="P_PVC_4" localSheetId="22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 localSheetId="22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 localSheetId="22">#REF!</definedName>
    <definedName name="PEDESTRIANROLLER">#REF!</definedName>
    <definedName name="pek" localSheetId="22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 localSheetId="22">#REF!</definedName>
    <definedName name="PENGECATAN">#REF!</definedName>
    <definedName name="PENUTUP_KRAN">'[16]Hrg Bahan'!$N$200</definedName>
    <definedName name="PERSIAPAN" localSheetId="22">#REF!</definedName>
    <definedName name="PERSIAPAN">#REF!</definedName>
    <definedName name="PINTU" localSheetId="22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 localSheetId="22">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 localSheetId="22">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 localSheetId="22">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 localSheetId="22">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8">INVEN!$A$1:$P$54</definedName>
    <definedName name="_xlnm.Print_Area" localSheetId="3">KASHAR!$A$1:$W$229</definedName>
    <definedName name="_xlnm.Print_Area" localSheetId="4">MODUS!$A$2:$M$164</definedName>
    <definedName name="_xlnm.Print_Area" localSheetId="5">MULTI!$A$1:$Q$67</definedName>
    <definedName name="_xlnm.Print_Area" localSheetId="0">NERACA!$A$1:$H$99</definedName>
    <definedName name="_xlnm.Print_Area" localSheetId="17">'PESTISIDA (2)'!$A$1:$M$59</definedName>
    <definedName name="_xlnm.Print_Area" localSheetId="19">'PESTISIDA (3)'!$A$1:$M$42</definedName>
    <definedName name="_xlnm.Print_Area" localSheetId="16">'PESTISIDA tahap 1'!$A$1:$M$40</definedName>
    <definedName name="_xlnm.Print_Area" localSheetId="6">REKAP!$A$1:$AG$75</definedName>
    <definedName name="_xlnm.Print_Area" localSheetId="1">'RUGI LABA '!$A$1:$C$44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 hidden="1">'TOKO BENGKEL'!$A$1:$N$97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22">#REF!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 localSheetId="22">#REF!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 localSheetId="22">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 localSheetId="22">#REF!</definedName>
    <definedName name="RINCIANSEWA">#REF!</definedName>
    <definedName name="RINCIANSEWA2" localSheetId="22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 localSheetId="22">#REF!</definedName>
    <definedName name="SALURAN_RABAT">#REF!</definedName>
    <definedName name="SANITASI" localSheetId="22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 localSheetId="22">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 localSheetId="22">#REF!</definedName>
    <definedName name="SPL.III_BDK_20">#REF!</definedName>
    <definedName name="SPL.III_BDK_30" localSheetId="22">#REF!</definedName>
    <definedName name="SPL.III_BDK_30">#REF!</definedName>
    <definedName name="SPL.III_PC" localSheetId="22">#REF!</definedName>
    <definedName name="SPL.III_PC">#REF!</definedName>
    <definedName name="SPL.IV_10X20" localSheetId="22">#REF!</definedName>
    <definedName name="SPL.IV_10X20">#REF!</definedName>
    <definedName name="SPL.IV_PORSEL" localSheetId="22">#REF!</definedName>
    <definedName name="SPL.IV_PORSEL">#REF!</definedName>
    <definedName name="SPL.V" localSheetId="22">#REF!</definedName>
    <definedName name="SPL.V">#REF!</definedName>
    <definedName name="SPL.VIA" localSheetId="22">#REF!</definedName>
    <definedName name="SPL.VIA">#REF!</definedName>
    <definedName name="SPL.VII_I" localSheetId="22">#REF!</definedName>
    <definedName name="SPL.VII_I">#REF!</definedName>
    <definedName name="SPL.VII_II" localSheetId="22">#REF!</definedName>
    <definedName name="SPL.VII_II">#REF!</definedName>
    <definedName name="SPL.VIII_ETER" localSheetId="22">#REF!</definedName>
    <definedName name="SPL.VIII_ETER">#REF!</definedName>
    <definedName name="SPL.VIII_GAM" localSheetId="22">#REF!</definedName>
    <definedName name="SPL.VIII_GAM">#REF!</definedName>
    <definedName name="SPL.VIII_TEAK" localSheetId="22">#REF!</definedName>
    <definedName name="SPL.VIII_TEAK">#REF!</definedName>
    <definedName name="SPL.VIII_TRIP" localSheetId="22">#REF!</definedName>
    <definedName name="SPL.VIII_TRIP">#REF!</definedName>
    <definedName name="SPL.X" localSheetId="22">#REF!</definedName>
    <definedName name="SPL.X">#REF!</definedName>
    <definedName name="SPRAYER" localSheetId="22">#REF!</definedName>
    <definedName name="SPRAYER">#REF!</definedName>
    <definedName name="ss" localSheetId="22" hidden="1">#REF!</definedName>
    <definedName name="ss" hidden="1">#REF!</definedName>
    <definedName name="ssss" localSheetId="22">#REF!</definedName>
    <definedName name="ssss">#REF!</definedName>
    <definedName name="STIKER_HITAM">'[16]Hrg Bahan'!#REF!</definedName>
    <definedName name="STIKER_PUTIH">'[16]Hrg Bahan'!#REF!</definedName>
    <definedName name="STONECRUSHER" localSheetId="22">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 localSheetId="22">#REF!</definedName>
    <definedName name="T_1">#REF!</definedName>
    <definedName name="T_2" localSheetId="22">#REF!</definedName>
    <definedName name="T_2">#REF!</definedName>
    <definedName name="Tabel" localSheetId="22">#REF!</definedName>
    <definedName name="Tabel">#REF!</definedName>
    <definedName name="Tabel_1" localSheetId="22">#REF!</definedName>
    <definedName name="Tabel_1">#REF!</definedName>
    <definedName name="tabel1" localSheetId="22">#REF!</definedName>
    <definedName name="tabel1">#REF!</definedName>
    <definedName name="TALANG_KARET">[16]Analisa!$M$465</definedName>
    <definedName name="TAMPER" localSheetId="22">#REF!</definedName>
    <definedName name="TAMPER">#REF!</definedName>
    <definedName name="TANAH" localSheetId="22">#REF!</definedName>
    <definedName name="TANAH">#REF!</definedName>
    <definedName name="TANAH_TIMBUNAN">'[16]Hrg Bahan'!$N$17</definedName>
    <definedName name="TANDEMROLLER" localSheetId="22">#REF!</definedName>
    <definedName name="TANDEMROLLER">#REF!</definedName>
    <definedName name="TANGKI_FIBER_3">'[16]Hrg Bahan'!$N$195</definedName>
    <definedName name="TANGKI_FIBER_6">'[16]Hrg Bahan'!#REF!</definedName>
    <definedName name="TAS" localSheetId="22">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 localSheetId="22">#REF!</definedName>
    <definedName name="TEGEL">#REF!</definedName>
    <definedName name="TEMBOK_1_4">[16]Analisa!#REF!</definedName>
    <definedName name="TENAGA">[39]HBU!$E$443:$E$453</definedName>
    <definedName name="THREEWHEELROLLER" localSheetId="22">#REF!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 localSheetId="22">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 localSheetId="22">#REF!</definedName>
    <definedName name="tot">#REF!</definedName>
    <definedName name="TOTAL" localSheetId="22">#REF!</definedName>
    <definedName name="TOTAL">#REF!</definedName>
    <definedName name="TRACKLOADER" localSheetId="22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 localSheetId="22">#REF!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 localSheetId="22">#REF!</definedName>
    <definedName name="URAIAN611">#REF!</definedName>
    <definedName name="URAIAN612" localSheetId="22">#REF!</definedName>
    <definedName name="URAIAN612">#REF!</definedName>
    <definedName name="URAIAN621" localSheetId="22">#REF!</definedName>
    <definedName name="URAIAN621">#REF!</definedName>
    <definedName name="URAIAN622" localSheetId="22">#REF!</definedName>
    <definedName name="URAIAN622">#REF!</definedName>
    <definedName name="URAIAN623" localSheetId="22">#REF!</definedName>
    <definedName name="URAIAN623">#REF!</definedName>
    <definedName name="URAIAN631" localSheetId="22">#REF!</definedName>
    <definedName name="URAIAN631">#REF!</definedName>
    <definedName name="URAIAN632" localSheetId="22">#REF!</definedName>
    <definedName name="URAIAN632">#REF!</definedName>
    <definedName name="URAIAN633" localSheetId="22">#REF!</definedName>
    <definedName name="URAIAN633">#REF!</definedName>
    <definedName name="URAIAN634" localSheetId="22">#REF!</definedName>
    <definedName name="URAIAN634">#REF!</definedName>
    <definedName name="URAIAN635" localSheetId="22">#REF!</definedName>
    <definedName name="URAIAN635">#REF!</definedName>
    <definedName name="URAIAN635A" localSheetId="22">#REF!</definedName>
    <definedName name="URAIAN635A">#REF!</definedName>
    <definedName name="URAIAN636" localSheetId="22">#REF!</definedName>
    <definedName name="URAIAN636">#REF!</definedName>
    <definedName name="URAIAN641L" localSheetId="22">#REF!</definedName>
    <definedName name="URAIAN641L">#REF!</definedName>
    <definedName name="URAIAN642" localSheetId="22">#REF!</definedName>
    <definedName name="URAIAN642">#REF!</definedName>
    <definedName name="URAIAN65" localSheetId="22">#REF!</definedName>
    <definedName name="URAIAN65">#REF!</definedName>
    <definedName name="URAIAN66PERATA" localSheetId="22">#REF!</definedName>
    <definedName name="URAIAN66PERATA">#REF!</definedName>
    <definedName name="URAIAN66PERMUKAAN" localSheetId="22">#REF!</definedName>
    <definedName name="URAIAN66PERMUKAAN">#REF!</definedName>
    <definedName name="URAIAN7101" localSheetId="22">#REF!</definedName>
    <definedName name="URAIAN7101">#REF!</definedName>
    <definedName name="URAIAN7102" localSheetId="22">#REF!</definedName>
    <definedName name="URAIAN7102">#REF!</definedName>
    <definedName name="URAIAN7103" localSheetId="22">#REF!</definedName>
    <definedName name="URAIAN7103">#REF!</definedName>
    <definedName name="URAIAN711" localSheetId="22">#REF!</definedName>
    <definedName name="URAIAN711">#REF!</definedName>
    <definedName name="URAIAN712" localSheetId="22">#REF!</definedName>
    <definedName name="URAIAN712">#REF!</definedName>
    <definedName name="URAIAN713" localSheetId="22">#REF!</definedName>
    <definedName name="URAIAN713">#REF!</definedName>
    <definedName name="URAIAN714" localSheetId="22">#REF!</definedName>
    <definedName name="URAIAN714">#REF!</definedName>
    <definedName name="URAIAN715" localSheetId="22">#REF!</definedName>
    <definedName name="URAIAN715">#REF!</definedName>
    <definedName name="URAIAN716" localSheetId="22">#REF!</definedName>
    <definedName name="URAIAN716">#REF!</definedName>
    <definedName name="URAIAN717" localSheetId="22">#REF!</definedName>
    <definedName name="URAIAN717">#REF!</definedName>
    <definedName name="URAIAN718" localSheetId="22">#REF!</definedName>
    <definedName name="URAIAN718">#REF!</definedName>
    <definedName name="URAIAN721" localSheetId="22">#REF!</definedName>
    <definedName name="URAIAN721">#REF!</definedName>
    <definedName name="URAIAN731" localSheetId="22">#REF!</definedName>
    <definedName name="URAIAN731">#REF!</definedName>
    <definedName name="URAIAN732" localSheetId="22">#REF!</definedName>
    <definedName name="URAIAN732">#REF!</definedName>
    <definedName name="URAIAN733" localSheetId="22">#REF!</definedName>
    <definedName name="URAIAN733">#REF!</definedName>
    <definedName name="URAIAN734" localSheetId="22">#REF!</definedName>
    <definedName name="URAIAN734">#REF!</definedName>
    <definedName name="URAIAN735" localSheetId="22">#REF!</definedName>
    <definedName name="URAIAN735">#REF!</definedName>
    <definedName name="URAIAN744" localSheetId="22">#REF!</definedName>
    <definedName name="URAIAN744">#REF!</definedName>
    <definedName name="URAIAN745" localSheetId="22">#REF!</definedName>
    <definedName name="URAIAN745">#REF!</definedName>
    <definedName name="URAIAN7610" localSheetId="22">#REF!</definedName>
    <definedName name="URAIAN7610">#REF!</definedName>
    <definedName name="URAIAN7612a" localSheetId="22">#REF!</definedName>
    <definedName name="URAIAN7612a">#REF!</definedName>
    <definedName name="URAIAN7612b" localSheetId="22">#REF!</definedName>
    <definedName name="URAIAN7612b">#REF!</definedName>
    <definedName name="URAIAN7612c" localSheetId="22">#REF!</definedName>
    <definedName name="URAIAN7612c">#REF!</definedName>
    <definedName name="URAIAN7613a" localSheetId="22">#REF!</definedName>
    <definedName name="URAIAN7613a">#REF!</definedName>
    <definedName name="URAIAN7613b" localSheetId="22">#REF!</definedName>
    <definedName name="URAIAN7613b">#REF!</definedName>
    <definedName name="URAIAN7613c" localSheetId="22">#REF!</definedName>
    <definedName name="URAIAN7613c">#REF!</definedName>
    <definedName name="URAIAN7614a" localSheetId="22">#REF!</definedName>
    <definedName name="URAIAN7614a">#REF!</definedName>
    <definedName name="URAIAN7614b" localSheetId="22">#REF!</definedName>
    <definedName name="URAIAN7614b">#REF!</definedName>
    <definedName name="URAIAN7614d" localSheetId="22">#REF!</definedName>
    <definedName name="URAIAN7614d">#REF!</definedName>
    <definedName name="URAIAN7614e" localSheetId="22">#REF!</definedName>
    <definedName name="URAIAN7614e">#REF!</definedName>
    <definedName name="URAIAN7618" localSheetId="22">#REF!</definedName>
    <definedName name="URAIAN7618">#REF!</definedName>
    <definedName name="URAIAN7619" localSheetId="22">#REF!</definedName>
    <definedName name="URAIAN7619">#REF!</definedName>
    <definedName name="URAIAN768" localSheetId="22">#REF!</definedName>
    <definedName name="URAIAN768">#REF!</definedName>
    <definedName name="URAIAN769" localSheetId="22">#REF!</definedName>
    <definedName name="URAIAN769">#REF!</definedName>
    <definedName name="URAIAN76x" localSheetId="22">#REF!</definedName>
    <definedName name="URAIAN76x">#REF!</definedName>
    <definedName name="URAIAN771a" localSheetId="22">#REF!</definedName>
    <definedName name="URAIAN771a">#REF!</definedName>
    <definedName name="URAIAN771b" localSheetId="22">#REF!</definedName>
    <definedName name="URAIAN771b">#REF!</definedName>
    <definedName name="URAIAN771c" localSheetId="22">#REF!</definedName>
    <definedName name="URAIAN771c">#REF!</definedName>
    <definedName name="URAIAN771d" localSheetId="22">#REF!</definedName>
    <definedName name="URAIAN771d">#REF!</definedName>
    <definedName name="URAIAN772a" localSheetId="22">#REF!</definedName>
    <definedName name="URAIAN772a">#REF!</definedName>
    <definedName name="URAIAN772b" localSheetId="22">#REF!</definedName>
    <definedName name="URAIAN772b">#REF!</definedName>
    <definedName name="URAIAN772c" localSheetId="22">#REF!</definedName>
    <definedName name="URAIAN772c">#REF!</definedName>
    <definedName name="URAIAN772d" localSheetId="22">#REF!</definedName>
    <definedName name="URAIAN772d">#REF!</definedName>
    <definedName name="URAIAN79manual" localSheetId="22">#REF!</definedName>
    <definedName name="URAIAN79manual">#REF!</definedName>
    <definedName name="URAIAN79mekanis" localSheetId="22">#REF!</definedName>
    <definedName name="URAIAN79mekanis">#REF!</definedName>
    <definedName name="URAIAN811" localSheetId="22">#REF!</definedName>
    <definedName name="URAIAN811">#REF!</definedName>
    <definedName name="URAIAN812" localSheetId="22">#REF!</definedName>
    <definedName name="URAIAN812">#REF!</definedName>
    <definedName name="URAIAN813" localSheetId="22">#REF!</definedName>
    <definedName name="URAIAN813">#REF!</definedName>
    <definedName name="URAIAN814" localSheetId="22">#REF!</definedName>
    <definedName name="URAIAN814">#REF!</definedName>
    <definedName name="URAIAN815" localSheetId="22">#REF!</definedName>
    <definedName name="URAIAN815">#REF!</definedName>
    <definedName name="URAIAN817" localSheetId="22">#REF!</definedName>
    <definedName name="URAIAN817">#REF!</definedName>
    <definedName name="URAIAN818" localSheetId="22">#REF!</definedName>
    <definedName name="URAIAN818">#REF!</definedName>
    <definedName name="URAIAN819" localSheetId="22">#REF!</definedName>
    <definedName name="URAIAN819">#REF!</definedName>
    <definedName name="URAIAN82" localSheetId="22">#REF!</definedName>
    <definedName name="URAIAN82">#REF!</definedName>
    <definedName name="Uraian841" localSheetId="22">#REF!</definedName>
    <definedName name="Uraian841">#REF!</definedName>
    <definedName name="Uraian8410" localSheetId="22">#REF!</definedName>
    <definedName name="Uraian8410">#REF!</definedName>
    <definedName name="Uraian842" localSheetId="22">#REF!</definedName>
    <definedName name="Uraian842">#REF!</definedName>
    <definedName name="Uraian844" localSheetId="22">#REF!</definedName>
    <definedName name="Uraian844">#REF!</definedName>
    <definedName name="Uraian845" localSheetId="22">#REF!</definedName>
    <definedName name="Uraian845">#REF!</definedName>
    <definedName name="Uraian846" localSheetId="22">#REF!</definedName>
    <definedName name="Uraian846">#REF!</definedName>
    <definedName name="Uraian847" localSheetId="22">#REF!</definedName>
    <definedName name="Uraian847">#REF!</definedName>
    <definedName name="URAIANGEOTEKSTIL" localSheetId="22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 localSheetId="22">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 localSheetId="22">#REF!</definedName>
    <definedName name="VIBROROLLER">#REF!</definedName>
    <definedName name="VITTING">'[16]Hrg Bahan'!#REF!</definedName>
    <definedName name="voeg" localSheetId="22">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 localSheetId="22">#REF!</definedName>
    <definedName name="WATERPUMP">#REF!</definedName>
    <definedName name="WATERTANKER" localSheetId="22">#REF!</definedName>
    <definedName name="WATERTANKER">#REF!</definedName>
    <definedName name="WHEELLOADER" localSheetId="22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 localSheetId="22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65" l="1"/>
  <c r="O97" i="165"/>
  <c r="N97" i="165"/>
  <c r="M97" i="165"/>
  <c r="L97" i="165"/>
  <c r="J97" i="165"/>
  <c r="I97" i="165"/>
  <c r="O95" i="165"/>
  <c r="N95" i="165"/>
  <c r="M95" i="165"/>
  <c r="L95" i="165"/>
  <c r="I95" i="165"/>
  <c r="F95" i="165"/>
  <c r="B95" i="165"/>
  <c r="O94" i="165"/>
  <c r="N94" i="165"/>
  <c r="M94" i="165"/>
  <c r="L94" i="165"/>
  <c r="I94" i="165"/>
  <c r="F94" i="165"/>
  <c r="B94" i="165"/>
  <c r="O93" i="165"/>
  <c r="N93" i="165"/>
  <c r="M93" i="165"/>
  <c r="L93" i="165"/>
  <c r="I93" i="165"/>
  <c r="F93" i="165"/>
  <c r="B93" i="165"/>
  <c r="O92" i="165"/>
  <c r="N92" i="165"/>
  <c r="M92" i="165"/>
  <c r="L92" i="165"/>
  <c r="I92" i="165"/>
  <c r="F92" i="165"/>
  <c r="B92" i="165"/>
  <c r="O91" i="165"/>
  <c r="N91" i="165"/>
  <c r="M91" i="165"/>
  <c r="L91" i="165"/>
  <c r="I91" i="165"/>
  <c r="F91" i="165"/>
  <c r="B91" i="165"/>
  <c r="O90" i="165"/>
  <c r="N90" i="165"/>
  <c r="M90" i="165"/>
  <c r="L90" i="165"/>
  <c r="I90" i="165"/>
  <c r="F90" i="165"/>
  <c r="B90" i="165"/>
  <c r="O89" i="165"/>
  <c r="N89" i="165"/>
  <c r="M89" i="165"/>
  <c r="L89" i="165"/>
  <c r="I89" i="165"/>
  <c r="F89" i="165"/>
  <c r="B89" i="165"/>
  <c r="O88" i="165"/>
  <c r="N88" i="165"/>
  <c r="M88" i="165"/>
  <c r="L88" i="165"/>
  <c r="I88" i="165"/>
  <c r="F88" i="165"/>
  <c r="B88" i="165"/>
  <c r="O87" i="165"/>
  <c r="N87" i="165"/>
  <c r="M87" i="165"/>
  <c r="L87" i="165"/>
  <c r="I87" i="165"/>
  <c r="F87" i="165"/>
  <c r="B87" i="165"/>
  <c r="O86" i="165"/>
  <c r="N86" i="165"/>
  <c r="M86" i="165"/>
  <c r="L86" i="165"/>
  <c r="I86" i="165"/>
  <c r="F86" i="165"/>
  <c r="B86" i="165"/>
  <c r="F85" i="165"/>
  <c r="B85" i="165"/>
  <c r="O84" i="165"/>
  <c r="N84" i="165"/>
  <c r="M84" i="165"/>
  <c r="L84" i="165"/>
  <c r="I84" i="165"/>
  <c r="F84" i="165"/>
  <c r="B84" i="165"/>
  <c r="O83" i="165"/>
  <c r="N83" i="165"/>
  <c r="M83" i="165"/>
  <c r="L83" i="165"/>
  <c r="I83" i="165"/>
  <c r="F83" i="165"/>
  <c r="B83" i="165"/>
  <c r="O82" i="165"/>
  <c r="N82" i="165"/>
  <c r="M82" i="165"/>
  <c r="L82" i="165"/>
  <c r="I82" i="165"/>
  <c r="F82" i="165"/>
  <c r="B82" i="165"/>
  <c r="O81" i="165"/>
  <c r="N81" i="165"/>
  <c r="M81" i="165"/>
  <c r="L81" i="165"/>
  <c r="I81" i="165"/>
  <c r="F81" i="165"/>
  <c r="B81" i="165"/>
  <c r="O80" i="165"/>
  <c r="N80" i="165"/>
  <c r="M80" i="165"/>
  <c r="L80" i="165"/>
  <c r="I80" i="165"/>
  <c r="F80" i="165"/>
  <c r="B80" i="165"/>
  <c r="O79" i="165"/>
  <c r="N79" i="165"/>
  <c r="M79" i="165"/>
  <c r="L79" i="165"/>
  <c r="I79" i="165"/>
  <c r="F79" i="165"/>
  <c r="B79" i="165"/>
  <c r="O78" i="165"/>
  <c r="N78" i="165"/>
  <c r="M78" i="165"/>
  <c r="L78" i="165"/>
  <c r="I78" i="165"/>
  <c r="F78" i="165"/>
  <c r="B78" i="165"/>
  <c r="O77" i="165"/>
  <c r="N77" i="165"/>
  <c r="M77" i="165"/>
  <c r="L77" i="165"/>
  <c r="I77" i="165"/>
  <c r="F77" i="165"/>
  <c r="B77" i="165"/>
  <c r="O76" i="165"/>
  <c r="N76" i="165"/>
  <c r="M76" i="165"/>
  <c r="L76" i="165"/>
  <c r="I76" i="165"/>
  <c r="F76" i="165"/>
  <c r="B76" i="165"/>
  <c r="O75" i="165"/>
  <c r="N75" i="165"/>
  <c r="M75" i="165"/>
  <c r="L75" i="165"/>
  <c r="I75" i="165"/>
  <c r="F75" i="165"/>
  <c r="B75" i="165"/>
  <c r="O74" i="165"/>
  <c r="N74" i="165"/>
  <c r="M74" i="165"/>
  <c r="L74" i="165"/>
  <c r="I74" i="165"/>
  <c r="F74" i="165"/>
  <c r="B74" i="165"/>
  <c r="O73" i="165"/>
  <c r="N73" i="165"/>
  <c r="M73" i="165"/>
  <c r="L73" i="165"/>
  <c r="I73" i="165"/>
  <c r="F73" i="165"/>
  <c r="B73" i="165"/>
  <c r="O72" i="165"/>
  <c r="N72" i="165"/>
  <c r="M72" i="165"/>
  <c r="L72" i="165"/>
  <c r="I72" i="165"/>
  <c r="F72" i="165"/>
  <c r="B72" i="165"/>
  <c r="O71" i="165"/>
  <c r="N71" i="165"/>
  <c r="M71" i="165"/>
  <c r="L71" i="165"/>
  <c r="I71" i="165"/>
  <c r="F71" i="165"/>
  <c r="O70" i="165"/>
  <c r="N70" i="165"/>
  <c r="M70" i="165"/>
  <c r="L70" i="165"/>
  <c r="I70" i="165"/>
  <c r="F70" i="165"/>
  <c r="O69" i="165"/>
  <c r="N69" i="165"/>
  <c r="M69" i="165"/>
  <c r="L69" i="165"/>
  <c r="I69" i="165"/>
  <c r="F69" i="165"/>
  <c r="O68" i="165"/>
  <c r="N68" i="165"/>
  <c r="M68" i="165"/>
  <c r="L68" i="165"/>
  <c r="I68" i="165"/>
  <c r="F68" i="165"/>
  <c r="O67" i="165"/>
  <c r="N67" i="165"/>
  <c r="M67" i="165"/>
  <c r="L67" i="165"/>
  <c r="I67" i="165"/>
  <c r="F67" i="165"/>
  <c r="O66" i="165"/>
  <c r="N66" i="165"/>
  <c r="M66" i="165"/>
  <c r="L66" i="165"/>
  <c r="I66" i="165"/>
  <c r="F66" i="165"/>
  <c r="O65" i="165"/>
  <c r="N65" i="165"/>
  <c r="M65" i="165"/>
  <c r="L65" i="165"/>
  <c r="I65" i="165"/>
  <c r="F65" i="165"/>
  <c r="O64" i="165"/>
  <c r="N64" i="165"/>
  <c r="M64" i="165"/>
  <c r="L64" i="165"/>
  <c r="I64" i="165"/>
  <c r="F64" i="165"/>
  <c r="O63" i="165"/>
  <c r="N63" i="165"/>
  <c r="M63" i="165"/>
  <c r="L63" i="165"/>
  <c r="I63" i="165"/>
  <c r="F63" i="165"/>
  <c r="O62" i="165"/>
  <c r="N62" i="165"/>
  <c r="M62" i="165"/>
  <c r="L62" i="165"/>
  <c r="I62" i="165"/>
  <c r="F62" i="165"/>
  <c r="O61" i="165"/>
  <c r="N61" i="165"/>
  <c r="M61" i="165"/>
  <c r="L61" i="165"/>
  <c r="I61" i="165"/>
  <c r="F61" i="165"/>
  <c r="O60" i="165"/>
  <c r="N60" i="165"/>
  <c r="M60" i="165"/>
  <c r="L60" i="165"/>
  <c r="I60" i="165"/>
  <c r="F60" i="165"/>
  <c r="O59" i="165"/>
  <c r="N59" i="165"/>
  <c r="M59" i="165"/>
  <c r="L59" i="165"/>
  <c r="I59" i="165"/>
  <c r="F59" i="165"/>
  <c r="O58" i="165"/>
  <c r="N58" i="165"/>
  <c r="M58" i="165"/>
  <c r="L58" i="165"/>
  <c r="I58" i="165"/>
  <c r="F58" i="165"/>
  <c r="O57" i="165"/>
  <c r="N57" i="165"/>
  <c r="M57" i="165"/>
  <c r="L57" i="165"/>
  <c r="I57" i="165"/>
  <c r="F57" i="165"/>
  <c r="O56" i="165"/>
  <c r="N56" i="165"/>
  <c r="M56" i="165"/>
  <c r="L56" i="165"/>
  <c r="I56" i="165"/>
  <c r="F56" i="165"/>
  <c r="O55" i="165"/>
  <c r="N55" i="165"/>
  <c r="M55" i="165"/>
  <c r="L55" i="165"/>
  <c r="I55" i="165"/>
  <c r="F55" i="165"/>
  <c r="O54" i="165"/>
  <c r="N54" i="165"/>
  <c r="M54" i="165"/>
  <c r="L54" i="165"/>
  <c r="I54" i="165"/>
  <c r="F54" i="165"/>
  <c r="O53" i="165"/>
  <c r="N53" i="165"/>
  <c r="M53" i="165"/>
  <c r="L53" i="165"/>
  <c r="I53" i="165"/>
  <c r="F53" i="165"/>
  <c r="O52" i="165"/>
  <c r="N52" i="165"/>
  <c r="M52" i="165"/>
  <c r="L52" i="165"/>
  <c r="I52" i="165"/>
  <c r="F52" i="165"/>
  <c r="O51" i="165"/>
  <c r="N51" i="165"/>
  <c r="M51" i="165"/>
  <c r="L51" i="165"/>
  <c r="I51" i="165"/>
  <c r="F51" i="165"/>
  <c r="O50" i="165"/>
  <c r="N50" i="165"/>
  <c r="M50" i="165"/>
  <c r="L50" i="165"/>
  <c r="I50" i="165"/>
  <c r="F50" i="165"/>
  <c r="O49" i="165"/>
  <c r="N49" i="165"/>
  <c r="M49" i="165"/>
  <c r="L49" i="165"/>
  <c r="I49" i="165"/>
  <c r="F49" i="165"/>
  <c r="O48" i="165"/>
  <c r="N48" i="165"/>
  <c r="M48" i="165"/>
  <c r="L48" i="165"/>
  <c r="I48" i="165"/>
  <c r="F48" i="165"/>
  <c r="O47" i="165"/>
  <c r="N47" i="165"/>
  <c r="M47" i="165"/>
  <c r="L47" i="165"/>
  <c r="I47" i="165"/>
  <c r="F47" i="165"/>
  <c r="O46" i="165"/>
  <c r="N46" i="165"/>
  <c r="M46" i="165"/>
  <c r="L46" i="165"/>
  <c r="I46" i="165"/>
  <c r="F46" i="165"/>
  <c r="O45" i="165"/>
  <c r="N45" i="165"/>
  <c r="M45" i="165"/>
  <c r="L45" i="165"/>
  <c r="I45" i="165"/>
  <c r="F45" i="165"/>
  <c r="O44" i="165"/>
  <c r="N44" i="165"/>
  <c r="M44" i="165"/>
  <c r="L44" i="165"/>
  <c r="I44" i="165"/>
  <c r="F44" i="165"/>
  <c r="O43" i="165"/>
  <c r="N43" i="165"/>
  <c r="M43" i="165"/>
  <c r="L43" i="165"/>
  <c r="I43" i="165"/>
  <c r="F43" i="165"/>
  <c r="O42" i="165"/>
  <c r="N42" i="165"/>
  <c r="M42" i="165"/>
  <c r="L42" i="165"/>
  <c r="I42" i="165"/>
  <c r="F42" i="165"/>
  <c r="O41" i="165"/>
  <c r="N41" i="165"/>
  <c r="M41" i="165"/>
  <c r="L41" i="165"/>
  <c r="I41" i="165"/>
  <c r="F41" i="165"/>
  <c r="O40" i="165"/>
  <c r="N40" i="165"/>
  <c r="M40" i="165"/>
  <c r="L40" i="165"/>
  <c r="I40" i="165"/>
  <c r="F40" i="165"/>
  <c r="O39" i="165"/>
  <c r="N39" i="165"/>
  <c r="M39" i="165"/>
  <c r="L39" i="165"/>
  <c r="I39" i="165"/>
  <c r="F39" i="165"/>
  <c r="O38" i="165"/>
  <c r="N38" i="165"/>
  <c r="M38" i="165"/>
  <c r="L38" i="165"/>
  <c r="I38" i="165"/>
  <c r="F38" i="165"/>
  <c r="O37" i="165"/>
  <c r="N37" i="165"/>
  <c r="M37" i="165"/>
  <c r="L37" i="165"/>
  <c r="I37" i="165"/>
  <c r="F37" i="165"/>
  <c r="O36" i="165"/>
  <c r="N36" i="165"/>
  <c r="M36" i="165"/>
  <c r="L36" i="165"/>
  <c r="I36" i="165"/>
  <c r="F36" i="165"/>
  <c r="O35" i="165"/>
  <c r="N35" i="165"/>
  <c r="M35" i="165"/>
  <c r="L35" i="165"/>
  <c r="I35" i="165"/>
  <c r="F35" i="165"/>
  <c r="O34" i="165"/>
  <c r="N34" i="165"/>
  <c r="M34" i="165"/>
  <c r="L34" i="165"/>
  <c r="I34" i="165"/>
  <c r="F34" i="165"/>
  <c r="O33" i="165"/>
  <c r="N33" i="165"/>
  <c r="M33" i="165"/>
  <c r="L33" i="165"/>
  <c r="I33" i="165"/>
  <c r="F33" i="165"/>
  <c r="O32" i="165"/>
  <c r="N32" i="165"/>
  <c r="M32" i="165"/>
  <c r="L32" i="165"/>
  <c r="I32" i="165"/>
  <c r="F32" i="165"/>
  <c r="O31" i="165"/>
  <c r="N31" i="165"/>
  <c r="M31" i="165"/>
  <c r="L31" i="165"/>
  <c r="I31" i="165"/>
  <c r="F31" i="165"/>
  <c r="O30" i="165"/>
  <c r="N30" i="165"/>
  <c r="M30" i="165"/>
  <c r="L30" i="165"/>
  <c r="I30" i="165"/>
  <c r="F30" i="165"/>
  <c r="O29" i="165"/>
  <c r="N29" i="165"/>
  <c r="M29" i="165"/>
  <c r="L29" i="165"/>
  <c r="I29" i="165"/>
  <c r="F29" i="165"/>
  <c r="O28" i="165"/>
  <c r="N28" i="165"/>
  <c r="M28" i="165"/>
  <c r="L28" i="165"/>
  <c r="I28" i="165"/>
  <c r="F28" i="165"/>
  <c r="O27" i="165"/>
  <c r="N27" i="165"/>
  <c r="M27" i="165"/>
  <c r="L27" i="165"/>
  <c r="I27" i="165"/>
  <c r="F27" i="165"/>
  <c r="O26" i="165"/>
  <c r="N26" i="165"/>
  <c r="M26" i="165"/>
  <c r="L26" i="165"/>
  <c r="I26" i="165"/>
  <c r="F26" i="165"/>
  <c r="O25" i="165"/>
  <c r="N25" i="165"/>
  <c r="M25" i="165"/>
  <c r="L25" i="165"/>
  <c r="I25" i="165"/>
  <c r="F25" i="165"/>
  <c r="O24" i="165"/>
  <c r="N24" i="165"/>
  <c r="M24" i="165"/>
  <c r="L24" i="165"/>
  <c r="I24" i="165"/>
  <c r="F24" i="165"/>
  <c r="O23" i="165"/>
  <c r="N23" i="165"/>
  <c r="M23" i="165"/>
  <c r="L23" i="165"/>
  <c r="I23" i="165"/>
  <c r="F23" i="165"/>
  <c r="O22" i="165"/>
  <c r="N22" i="165"/>
  <c r="M22" i="165"/>
  <c r="L22" i="165"/>
  <c r="I22" i="165"/>
  <c r="F22" i="165"/>
  <c r="O21" i="165"/>
  <c r="N21" i="165"/>
  <c r="M21" i="165"/>
  <c r="L21" i="165"/>
  <c r="I21" i="165"/>
  <c r="F21" i="165"/>
  <c r="O20" i="165"/>
  <c r="N20" i="165"/>
  <c r="M20" i="165"/>
  <c r="L20" i="165"/>
  <c r="I20" i="165"/>
  <c r="F20" i="165"/>
  <c r="O19" i="165"/>
  <c r="N19" i="165"/>
  <c r="M19" i="165"/>
  <c r="L19" i="165"/>
  <c r="I19" i="165"/>
  <c r="F19" i="165"/>
  <c r="O18" i="165"/>
  <c r="N18" i="165"/>
  <c r="M18" i="165"/>
  <c r="L18" i="165"/>
  <c r="I18" i="165"/>
  <c r="F18" i="165"/>
  <c r="O17" i="165"/>
  <c r="N17" i="165"/>
  <c r="M17" i="165"/>
  <c r="L17" i="165"/>
  <c r="I17" i="165"/>
  <c r="F17" i="165"/>
  <c r="O16" i="165"/>
  <c r="N16" i="165"/>
  <c r="M16" i="165"/>
  <c r="L16" i="165"/>
  <c r="I16" i="165"/>
  <c r="F16" i="165"/>
  <c r="O15" i="165"/>
  <c r="N15" i="165"/>
  <c r="M15" i="165"/>
  <c r="L15" i="165"/>
  <c r="I15" i="165"/>
  <c r="F15" i="165"/>
  <c r="O14" i="165"/>
  <c r="N14" i="165"/>
  <c r="M14" i="165"/>
  <c r="L14" i="165"/>
  <c r="I14" i="165"/>
  <c r="F14" i="165"/>
  <c r="O13" i="165"/>
  <c r="N13" i="165"/>
  <c r="M13" i="165"/>
  <c r="L13" i="165"/>
  <c r="I13" i="165"/>
  <c r="F13" i="165"/>
  <c r="O12" i="165"/>
  <c r="N12" i="165"/>
  <c r="M12" i="165"/>
  <c r="L12" i="165"/>
  <c r="I12" i="165"/>
  <c r="F12" i="165"/>
  <c r="O11" i="165"/>
  <c r="N11" i="165"/>
  <c r="M11" i="165"/>
  <c r="L11" i="165"/>
  <c r="I11" i="165"/>
  <c r="F11" i="165"/>
  <c r="O10" i="165"/>
  <c r="N10" i="165"/>
  <c r="M10" i="165"/>
  <c r="L10" i="165"/>
  <c r="I10" i="165"/>
  <c r="F10" i="165"/>
  <c r="O9" i="165"/>
  <c r="N9" i="165"/>
  <c r="M9" i="165"/>
  <c r="L9" i="165"/>
  <c r="I9" i="165"/>
  <c r="F9" i="165"/>
  <c r="O8" i="165"/>
  <c r="N8" i="165"/>
  <c r="M8" i="165"/>
  <c r="L8" i="165"/>
  <c r="I8" i="165"/>
  <c r="F8" i="165"/>
  <c r="O7" i="165"/>
  <c r="N7" i="165"/>
  <c r="M7" i="165"/>
  <c r="L7" i="165"/>
  <c r="I7" i="165"/>
  <c r="F7" i="165"/>
  <c r="O6" i="165"/>
  <c r="N6" i="165"/>
  <c r="M6" i="165"/>
  <c r="L6" i="165"/>
  <c r="I6" i="165"/>
  <c r="F6" i="165"/>
  <c r="O5" i="165"/>
  <c r="N5" i="165"/>
  <c r="M5" i="165"/>
  <c r="L5" i="165"/>
  <c r="I5" i="165"/>
  <c r="F5" i="165"/>
  <c r="O4" i="165"/>
  <c r="N4" i="165"/>
  <c r="M4" i="165"/>
  <c r="L4" i="165"/>
  <c r="I4" i="165"/>
  <c r="F4" i="165"/>
  <c r="I21" i="163"/>
  <c r="H21" i="163"/>
  <c r="F21" i="163"/>
  <c r="D21" i="163"/>
  <c r="I20" i="163"/>
  <c r="H20" i="163"/>
  <c r="F20" i="163"/>
  <c r="I19" i="163"/>
  <c r="H19" i="163"/>
  <c r="F19" i="163"/>
  <c r="I18" i="163"/>
  <c r="H18" i="163"/>
  <c r="F18" i="163"/>
  <c r="I17" i="163"/>
  <c r="H17" i="163"/>
  <c r="F17" i="163"/>
  <c r="I16" i="163"/>
  <c r="H16" i="163"/>
  <c r="F16" i="163"/>
  <c r="I15" i="163"/>
  <c r="H15" i="163"/>
  <c r="F15" i="163"/>
  <c r="I14" i="163"/>
  <c r="H14" i="163"/>
  <c r="F14" i="163"/>
  <c r="I13" i="163"/>
  <c r="H13" i="163"/>
  <c r="F13" i="163"/>
  <c r="I12" i="163"/>
  <c r="F12" i="163"/>
  <c r="I11" i="163"/>
  <c r="H11" i="163"/>
  <c r="F11" i="163"/>
  <c r="I10" i="163"/>
  <c r="H10" i="163"/>
  <c r="F10" i="163"/>
  <c r="I9" i="163"/>
  <c r="H9" i="163"/>
  <c r="F9" i="163"/>
  <c r="I8" i="163"/>
  <c r="H8" i="163"/>
  <c r="F8" i="163"/>
  <c r="L7" i="163"/>
  <c r="K7" i="163"/>
  <c r="J7" i="163"/>
  <c r="I7" i="163"/>
  <c r="H7" i="163"/>
  <c r="F7" i="163"/>
  <c r="C24" i="162"/>
  <c r="C23" i="162"/>
  <c r="K19" i="162"/>
  <c r="I19" i="162"/>
  <c r="H19" i="162"/>
  <c r="F19" i="162"/>
  <c r="D19" i="162"/>
  <c r="I18" i="162"/>
  <c r="F18" i="162"/>
  <c r="I17" i="162"/>
  <c r="F17" i="162"/>
  <c r="I16" i="162"/>
  <c r="F16" i="162"/>
  <c r="I15" i="162"/>
  <c r="F15" i="162"/>
  <c r="I14" i="162"/>
  <c r="F14" i="162"/>
  <c r="I13" i="162"/>
  <c r="F13" i="162"/>
  <c r="I12" i="162"/>
  <c r="F12" i="162"/>
  <c r="I11" i="162"/>
  <c r="F11" i="162"/>
  <c r="I10" i="162"/>
  <c r="F10" i="162"/>
  <c r="I9" i="162"/>
  <c r="F9" i="162"/>
  <c r="I8" i="162"/>
  <c r="F8" i="162"/>
  <c r="L7" i="162"/>
  <c r="K7" i="162"/>
  <c r="J7" i="162"/>
  <c r="I7" i="162"/>
  <c r="F7" i="162"/>
  <c r="C23" i="160"/>
  <c r="C22" i="160"/>
  <c r="C21" i="160"/>
  <c r="F20" i="160"/>
  <c r="C20" i="160"/>
  <c r="K18" i="160"/>
  <c r="I18" i="160"/>
  <c r="H18" i="160"/>
  <c r="F18" i="160"/>
  <c r="D18" i="160"/>
  <c r="I17" i="160"/>
  <c r="F17" i="160"/>
  <c r="I16" i="160"/>
  <c r="F16" i="160"/>
  <c r="I15" i="160"/>
  <c r="F15" i="160"/>
  <c r="I14" i="160"/>
  <c r="F14" i="160"/>
  <c r="I13" i="160"/>
  <c r="F13" i="160"/>
  <c r="I12" i="160"/>
  <c r="F12" i="160"/>
  <c r="I11" i="160"/>
  <c r="F11" i="160"/>
  <c r="I10" i="160"/>
  <c r="F10" i="160"/>
  <c r="I9" i="160"/>
  <c r="F9" i="160"/>
  <c r="I8" i="160"/>
  <c r="F8" i="160"/>
  <c r="L7" i="160"/>
  <c r="K7" i="160"/>
  <c r="J7" i="160"/>
  <c r="I7" i="160"/>
  <c r="F7" i="160"/>
  <c r="I37" i="161"/>
  <c r="I35" i="161"/>
  <c r="K34" i="161"/>
  <c r="I34" i="161"/>
  <c r="F34" i="161"/>
  <c r="I33" i="161"/>
  <c r="H33" i="161"/>
  <c r="F33" i="161"/>
  <c r="D33" i="161"/>
  <c r="I32" i="161"/>
  <c r="F32" i="161"/>
  <c r="I31" i="161"/>
  <c r="F31" i="161"/>
  <c r="I30" i="161"/>
  <c r="F30" i="161"/>
  <c r="I29" i="161"/>
  <c r="I28" i="161"/>
  <c r="F28" i="161"/>
  <c r="I27" i="161"/>
  <c r="F27" i="161"/>
  <c r="I26" i="161"/>
  <c r="F26" i="161"/>
  <c r="I25" i="161"/>
  <c r="F25" i="161"/>
  <c r="I24" i="161"/>
  <c r="F24" i="161"/>
  <c r="I23" i="161"/>
  <c r="F23" i="161"/>
  <c r="I22" i="161"/>
  <c r="F22" i="161"/>
  <c r="I21" i="161"/>
  <c r="F21" i="161"/>
  <c r="I20" i="161"/>
  <c r="F20" i="161"/>
  <c r="I19" i="161"/>
  <c r="F19" i="161"/>
  <c r="I18" i="161"/>
  <c r="F18" i="161"/>
  <c r="I17" i="161"/>
  <c r="F17" i="161"/>
  <c r="I16" i="161"/>
  <c r="F16" i="161"/>
  <c r="I15" i="161"/>
  <c r="F15" i="161"/>
  <c r="I14" i="161"/>
  <c r="F14" i="161"/>
  <c r="I13" i="161"/>
  <c r="F13" i="161"/>
  <c r="I12" i="161"/>
  <c r="F12" i="161"/>
  <c r="I11" i="161"/>
  <c r="F11" i="161"/>
  <c r="I10" i="161"/>
  <c r="F10" i="161"/>
  <c r="I9" i="161"/>
  <c r="F9" i="161"/>
  <c r="I8" i="161"/>
  <c r="F8" i="161"/>
  <c r="L7" i="161"/>
  <c r="K7" i="161"/>
  <c r="J7" i="161"/>
  <c r="I7" i="161"/>
  <c r="F7" i="161"/>
  <c r="I36" i="159"/>
  <c r="K35" i="159"/>
  <c r="J35" i="159"/>
  <c r="I35" i="159"/>
  <c r="F35" i="159"/>
  <c r="I34" i="159"/>
  <c r="F34" i="159"/>
  <c r="D34" i="159"/>
  <c r="I33" i="159"/>
  <c r="F33" i="159"/>
  <c r="I32" i="159"/>
  <c r="F32" i="159"/>
  <c r="I31" i="159"/>
  <c r="F31" i="159"/>
  <c r="I30" i="159"/>
  <c r="F30" i="159"/>
  <c r="I29" i="159"/>
  <c r="F29" i="159"/>
  <c r="I28" i="159"/>
  <c r="F28" i="159"/>
  <c r="I27" i="159"/>
  <c r="F27" i="159"/>
  <c r="I26" i="159"/>
  <c r="F26" i="159"/>
  <c r="I25" i="159"/>
  <c r="F25" i="159"/>
  <c r="I24" i="159"/>
  <c r="F24" i="159"/>
  <c r="I23" i="159"/>
  <c r="F23" i="159"/>
  <c r="I22" i="159"/>
  <c r="F22" i="159"/>
  <c r="I21" i="159"/>
  <c r="F21" i="159"/>
  <c r="I20" i="159"/>
  <c r="F20" i="159"/>
  <c r="I19" i="159"/>
  <c r="F19" i="159"/>
  <c r="I18" i="159"/>
  <c r="F18" i="159"/>
  <c r="I17" i="159"/>
  <c r="F17" i="159"/>
  <c r="I16" i="159"/>
  <c r="F16" i="159"/>
  <c r="I15" i="159"/>
  <c r="F15" i="159"/>
  <c r="I14" i="159"/>
  <c r="F14" i="159"/>
  <c r="I13" i="159"/>
  <c r="F13" i="159"/>
  <c r="I12" i="159"/>
  <c r="F12" i="159"/>
  <c r="I11" i="159"/>
  <c r="F11" i="159"/>
  <c r="I10" i="159"/>
  <c r="F10" i="159"/>
  <c r="I9" i="159"/>
  <c r="F9" i="159"/>
  <c r="I8" i="159"/>
  <c r="F8" i="159"/>
  <c r="I7" i="159"/>
  <c r="F7" i="159"/>
  <c r="I16" i="152"/>
  <c r="F16" i="152"/>
  <c r="I15" i="152"/>
  <c r="F15" i="152"/>
  <c r="I14" i="152"/>
  <c r="F14" i="152"/>
  <c r="I13" i="152"/>
  <c r="F13" i="152"/>
  <c r="I12" i="152"/>
  <c r="F12" i="152"/>
  <c r="I11" i="152"/>
  <c r="F11" i="152"/>
  <c r="I10" i="152"/>
  <c r="F10" i="152"/>
  <c r="I9" i="152"/>
  <c r="F9" i="152"/>
  <c r="L8" i="152"/>
  <c r="K8" i="152"/>
  <c r="J8" i="152"/>
  <c r="I8" i="152"/>
  <c r="F8" i="152"/>
  <c r="E13" i="158"/>
  <c r="E11" i="157"/>
  <c r="F13" i="155"/>
  <c r="F12" i="155"/>
  <c r="F11" i="155"/>
  <c r="F10" i="155"/>
  <c r="F9" i="155"/>
  <c r="F8" i="155"/>
  <c r="F18" i="154"/>
  <c r="F17" i="154"/>
  <c r="N16" i="154"/>
  <c r="M16" i="154"/>
  <c r="F16" i="154"/>
  <c r="F15" i="154"/>
  <c r="F14" i="154"/>
  <c r="F13" i="154"/>
  <c r="F12" i="154"/>
  <c r="F11" i="154"/>
  <c r="M10" i="154"/>
  <c r="F10" i="154"/>
  <c r="M9" i="154"/>
  <c r="F9" i="154"/>
  <c r="M8" i="154"/>
  <c r="F8" i="154"/>
  <c r="N7" i="154"/>
  <c r="F7" i="154"/>
  <c r="C32" i="146"/>
  <c r="J11" i="146"/>
  <c r="B11" i="146"/>
  <c r="C8" i="146"/>
  <c r="D8" i="146" s="1"/>
  <c r="C7" i="146"/>
  <c r="D7" i="146" s="1"/>
  <c r="A7" i="146"/>
  <c r="I6" i="146"/>
  <c r="H6" i="146"/>
  <c r="C6" i="146"/>
  <c r="M17" i="151"/>
  <c r="L17" i="151"/>
  <c r="K17" i="151"/>
  <c r="J17" i="151"/>
  <c r="I17" i="151"/>
  <c r="H17" i="151"/>
  <c r="G17" i="151"/>
  <c r="F17" i="151"/>
  <c r="E17" i="151"/>
  <c r="D17" i="151"/>
  <c r="M8" i="151"/>
  <c r="L8" i="151"/>
  <c r="K8" i="151"/>
  <c r="J8" i="151"/>
  <c r="I8" i="151"/>
  <c r="F8" i="151"/>
  <c r="I20" i="144"/>
  <c r="I19" i="144"/>
  <c r="H19" i="144"/>
  <c r="F19" i="144"/>
  <c r="I7" i="144"/>
  <c r="H7" i="144"/>
  <c r="I6" i="144"/>
  <c r="H6" i="144"/>
  <c r="F6" i="144"/>
  <c r="G69" i="147"/>
  <c r="P68" i="147"/>
  <c r="O68" i="147"/>
  <c r="N68" i="147"/>
  <c r="M68" i="147"/>
  <c r="K68" i="147"/>
  <c r="I68" i="147"/>
  <c r="G68" i="147"/>
  <c r="P67" i="147"/>
  <c r="O67" i="147"/>
  <c r="N67" i="147"/>
  <c r="M67" i="147"/>
  <c r="K67" i="147"/>
  <c r="I67" i="147"/>
  <c r="G67" i="147"/>
  <c r="S58" i="147"/>
  <c r="O58" i="147"/>
  <c r="S57" i="147"/>
  <c r="O57" i="147"/>
  <c r="U55" i="147"/>
  <c r="T55" i="147"/>
  <c r="S55" i="147"/>
  <c r="R55" i="147"/>
  <c r="L55" i="147"/>
  <c r="J55" i="147"/>
  <c r="P54" i="147"/>
  <c r="O54" i="147"/>
  <c r="N54" i="147"/>
  <c r="M54" i="147"/>
  <c r="L54" i="147"/>
  <c r="K54" i="147"/>
  <c r="J54" i="147"/>
  <c r="I54" i="147"/>
  <c r="H54" i="147"/>
  <c r="G54" i="147"/>
  <c r="G53" i="147"/>
  <c r="P52" i="147"/>
  <c r="O52" i="147"/>
  <c r="N52" i="147"/>
  <c r="M52" i="147"/>
  <c r="I52" i="147"/>
  <c r="G52" i="147"/>
  <c r="P51" i="147"/>
  <c r="O51" i="147"/>
  <c r="N51" i="147"/>
  <c r="M51" i="147"/>
  <c r="I51" i="147"/>
  <c r="G51" i="147"/>
  <c r="P50" i="147"/>
  <c r="O50" i="147"/>
  <c r="N50" i="147"/>
  <c r="M50" i="147"/>
  <c r="I50" i="147"/>
  <c r="G50" i="147"/>
  <c r="P49" i="147"/>
  <c r="O49" i="147"/>
  <c r="N49" i="147"/>
  <c r="M49" i="147"/>
  <c r="I49" i="147"/>
  <c r="G49" i="147"/>
  <c r="P48" i="147"/>
  <c r="O48" i="147"/>
  <c r="N48" i="147"/>
  <c r="M48" i="147"/>
  <c r="I48" i="147"/>
  <c r="G48" i="147"/>
  <c r="P47" i="147"/>
  <c r="O47" i="147"/>
  <c r="N47" i="147"/>
  <c r="M47" i="147"/>
  <c r="I47" i="147"/>
  <c r="G47" i="147"/>
  <c r="P46" i="147"/>
  <c r="O46" i="147"/>
  <c r="N46" i="147"/>
  <c r="M46" i="147"/>
  <c r="I46" i="147"/>
  <c r="G46" i="147"/>
  <c r="P45" i="147"/>
  <c r="O45" i="147"/>
  <c r="N45" i="147"/>
  <c r="M45" i="147"/>
  <c r="K45" i="147"/>
  <c r="I45" i="147"/>
  <c r="G45" i="147"/>
  <c r="P44" i="147"/>
  <c r="O44" i="147"/>
  <c r="N44" i="147"/>
  <c r="M44" i="147"/>
  <c r="K44" i="147"/>
  <c r="I44" i="147"/>
  <c r="G44" i="147"/>
  <c r="P43" i="147"/>
  <c r="O43" i="147"/>
  <c r="N43" i="147"/>
  <c r="M43" i="147"/>
  <c r="K43" i="147"/>
  <c r="I43" i="147"/>
  <c r="G43" i="147"/>
  <c r="C43" i="147"/>
  <c r="P42" i="147"/>
  <c r="O42" i="147"/>
  <c r="N42" i="147"/>
  <c r="M42" i="147"/>
  <c r="K42" i="147"/>
  <c r="I42" i="147"/>
  <c r="G42" i="147"/>
  <c r="C42" i="147"/>
  <c r="P41" i="147"/>
  <c r="O41" i="147"/>
  <c r="N41" i="147"/>
  <c r="M41" i="147"/>
  <c r="K41" i="147"/>
  <c r="I41" i="147"/>
  <c r="G41" i="147"/>
  <c r="P40" i="147"/>
  <c r="O40" i="147"/>
  <c r="N40" i="147"/>
  <c r="M40" i="147"/>
  <c r="K40" i="147"/>
  <c r="I40" i="147"/>
  <c r="G40" i="147"/>
  <c r="P39" i="147"/>
  <c r="O39" i="147"/>
  <c r="N39" i="147"/>
  <c r="M39" i="147"/>
  <c r="K39" i="147"/>
  <c r="I39" i="147"/>
  <c r="G39" i="147"/>
  <c r="P38" i="147"/>
  <c r="O38" i="147"/>
  <c r="N38" i="147"/>
  <c r="M38" i="147"/>
  <c r="K38" i="147"/>
  <c r="I38" i="147"/>
  <c r="G38" i="147"/>
  <c r="P37" i="147"/>
  <c r="O37" i="147"/>
  <c r="N37" i="147"/>
  <c r="M37" i="147"/>
  <c r="K37" i="147"/>
  <c r="I37" i="147"/>
  <c r="G37" i="147"/>
  <c r="P36" i="147"/>
  <c r="O36" i="147"/>
  <c r="N36" i="147"/>
  <c r="M36" i="147"/>
  <c r="K36" i="147"/>
  <c r="I36" i="147"/>
  <c r="G36" i="147"/>
  <c r="P35" i="147"/>
  <c r="O35" i="147"/>
  <c r="N35" i="147"/>
  <c r="M35" i="147"/>
  <c r="K35" i="147"/>
  <c r="I35" i="147"/>
  <c r="G35" i="147"/>
  <c r="P34" i="147"/>
  <c r="O34" i="147"/>
  <c r="N34" i="147"/>
  <c r="M34" i="147"/>
  <c r="K34" i="147"/>
  <c r="I34" i="147"/>
  <c r="G34" i="147"/>
  <c r="P33" i="147"/>
  <c r="O33" i="147"/>
  <c r="N33" i="147"/>
  <c r="M33" i="147"/>
  <c r="K33" i="147"/>
  <c r="I33" i="147"/>
  <c r="G33" i="147"/>
  <c r="P32" i="147"/>
  <c r="O32" i="147"/>
  <c r="N32" i="147"/>
  <c r="M32" i="147"/>
  <c r="K32" i="147"/>
  <c r="I32" i="147"/>
  <c r="G32" i="147"/>
  <c r="Q31" i="147"/>
  <c r="P31" i="147"/>
  <c r="O31" i="147"/>
  <c r="N31" i="147"/>
  <c r="M31" i="147"/>
  <c r="K31" i="147"/>
  <c r="I31" i="147"/>
  <c r="G31" i="147"/>
  <c r="P30" i="147"/>
  <c r="O30" i="147"/>
  <c r="N30" i="147"/>
  <c r="M30" i="147"/>
  <c r="K30" i="147"/>
  <c r="I30" i="147"/>
  <c r="G30" i="147"/>
  <c r="P29" i="147"/>
  <c r="O29" i="147"/>
  <c r="N29" i="147"/>
  <c r="M29" i="147"/>
  <c r="K29" i="147"/>
  <c r="I29" i="147"/>
  <c r="G29" i="147"/>
  <c r="P28" i="147"/>
  <c r="O28" i="147"/>
  <c r="N28" i="147"/>
  <c r="M28" i="147"/>
  <c r="K28" i="147"/>
  <c r="I28" i="147"/>
  <c r="G28" i="147"/>
  <c r="U27" i="147"/>
  <c r="P27" i="147"/>
  <c r="O27" i="147"/>
  <c r="N27" i="147"/>
  <c r="M27" i="147"/>
  <c r="K27" i="147"/>
  <c r="I27" i="147"/>
  <c r="G27" i="147"/>
  <c r="P26" i="147"/>
  <c r="O26" i="147"/>
  <c r="N26" i="147"/>
  <c r="M26" i="147"/>
  <c r="K26" i="147"/>
  <c r="I26" i="147"/>
  <c r="G26" i="147"/>
  <c r="U25" i="147"/>
  <c r="P25" i="147"/>
  <c r="O25" i="147"/>
  <c r="N25" i="147"/>
  <c r="M25" i="147"/>
  <c r="K25" i="147"/>
  <c r="I25" i="147"/>
  <c r="G25" i="147"/>
  <c r="U24" i="147"/>
  <c r="P24" i="147"/>
  <c r="O24" i="147"/>
  <c r="N24" i="147"/>
  <c r="M24" i="147"/>
  <c r="K24" i="147"/>
  <c r="I24" i="147"/>
  <c r="G24" i="147"/>
  <c r="U23" i="147"/>
  <c r="P23" i="147"/>
  <c r="O23" i="147"/>
  <c r="N23" i="147"/>
  <c r="M23" i="147"/>
  <c r="K23" i="147"/>
  <c r="I23" i="147"/>
  <c r="G23" i="147"/>
  <c r="U22" i="147"/>
  <c r="P22" i="147"/>
  <c r="O22" i="147"/>
  <c r="N22" i="147"/>
  <c r="M22" i="147"/>
  <c r="K22" i="147"/>
  <c r="I22" i="147"/>
  <c r="G22" i="147"/>
  <c r="U21" i="147"/>
  <c r="S21" i="147"/>
  <c r="P21" i="147"/>
  <c r="O21" i="147"/>
  <c r="N21" i="147"/>
  <c r="M21" i="147"/>
  <c r="K21" i="147"/>
  <c r="I21" i="147"/>
  <c r="G21" i="147"/>
  <c r="P20" i="147"/>
  <c r="O20" i="147"/>
  <c r="N20" i="147"/>
  <c r="M20" i="147"/>
  <c r="K20" i="147"/>
  <c r="I20" i="147"/>
  <c r="G20" i="147"/>
  <c r="U19" i="147"/>
  <c r="S19" i="147"/>
  <c r="P19" i="147"/>
  <c r="O19" i="147"/>
  <c r="N19" i="147"/>
  <c r="M19" i="147"/>
  <c r="K19" i="147"/>
  <c r="I19" i="147"/>
  <c r="G19" i="147"/>
  <c r="U18" i="147"/>
  <c r="S18" i="147"/>
  <c r="P18" i="147"/>
  <c r="O18" i="147"/>
  <c r="N18" i="147"/>
  <c r="M18" i="147"/>
  <c r="K18" i="147"/>
  <c r="I18" i="147"/>
  <c r="G18" i="147"/>
  <c r="U17" i="147"/>
  <c r="S17" i="147"/>
  <c r="P17" i="147"/>
  <c r="O17" i="147"/>
  <c r="N17" i="147"/>
  <c r="M17" i="147"/>
  <c r="K17" i="147"/>
  <c r="I17" i="147"/>
  <c r="G17" i="147"/>
  <c r="U16" i="147"/>
  <c r="S16" i="147"/>
  <c r="P16" i="147"/>
  <c r="O16" i="147"/>
  <c r="N16" i="147"/>
  <c r="M16" i="147"/>
  <c r="K16" i="147"/>
  <c r="I16" i="147"/>
  <c r="G16" i="147"/>
  <c r="U15" i="147"/>
  <c r="S15" i="147"/>
  <c r="P15" i="147"/>
  <c r="O15" i="147"/>
  <c r="N15" i="147"/>
  <c r="M15" i="147"/>
  <c r="K15" i="147"/>
  <c r="I15" i="147"/>
  <c r="G15" i="147"/>
  <c r="U14" i="147"/>
  <c r="S14" i="147"/>
  <c r="P14" i="147"/>
  <c r="O14" i="147"/>
  <c r="N14" i="147"/>
  <c r="M14" i="147"/>
  <c r="K14" i="147"/>
  <c r="I14" i="147"/>
  <c r="G14" i="147"/>
  <c r="U13" i="147"/>
  <c r="S13" i="147"/>
  <c r="P13" i="147"/>
  <c r="O13" i="147"/>
  <c r="N13" i="147"/>
  <c r="M13" i="147"/>
  <c r="K13" i="147"/>
  <c r="I13" i="147"/>
  <c r="G13" i="147"/>
  <c r="C7" i="147"/>
  <c r="A7" i="147"/>
  <c r="C6" i="147"/>
  <c r="A6" i="147"/>
  <c r="C5" i="147"/>
  <c r="A5" i="147"/>
  <c r="A2" i="147"/>
  <c r="A1" i="147"/>
  <c r="E16" i="150"/>
  <c r="E14" i="150"/>
  <c r="D13" i="150"/>
  <c r="D12" i="150"/>
  <c r="D11" i="150"/>
  <c r="D10" i="150"/>
  <c r="B80" i="137"/>
  <c r="B79" i="137"/>
  <c r="C72" i="137"/>
  <c r="C70" i="137"/>
  <c r="K67" i="137"/>
  <c r="J67" i="137"/>
  <c r="O57" i="137"/>
  <c r="I57" i="137"/>
  <c r="C57" i="137"/>
  <c r="V54" i="137"/>
  <c r="V53" i="137"/>
  <c r="AA51" i="137"/>
  <c r="V51" i="137"/>
  <c r="AA50" i="137"/>
  <c r="V50" i="137"/>
  <c r="AA49" i="137"/>
  <c r="Y49" i="137"/>
  <c r="X49" i="137"/>
  <c r="W49" i="137"/>
  <c r="V49" i="137"/>
  <c r="AA48" i="137"/>
  <c r="AA47" i="137"/>
  <c r="AA46" i="137"/>
  <c r="AA45" i="137"/>
  <c r="AD43" i="137"/>
  <c r="AC43" i="137"/>
  <c r="AB43" i="137"/>
  <c r="AA43" i="137"/>
  <c r="V43" i="137"/>
  <c r="O43" i="137"/>
  <c r="I43" i="137"/>
  <c r="C43" i="137"/>
  <c r="V41" i="137"/>
  <c r="V40" i="137"/>
  <c r="V39" i="137"/>
  <c r="V38" i="137"/>
  <c r="V37" i="137"/>
  <c r="Y36" i="137"/>
  <c r="X36" i="137"/>
  <c r="W36" i="137"/>
  <c r="V36" i="137"/>
  <c r="AC33" i="137"/>
  <c r="AC32" i="137"/>
  <c r="AC30" i="137"/>
  <c r="V30" i="137"/>
  <c r="O30" i="137"/>
  <c r="I30" i="137"/>
  <c r="C30" i="137"/>
  <c r="C29" i="137"/>
  <c r="V26" i="137"/>
  <c r="C26" i="137"/>
  <c r="V25" i="137"/>
  <c r="C25" i="137"/>
  <c r="V24" i="137"/>
  <c r="C24" i="137"/>
  <c r="V23" i="137"/>
  <c r="C23" i="137"/>
  <c r="V22" i="137"/>
  <c r="C22" i="137"/>
  <c r="Z17" i="137"/>
  <c r="O16" i="137"/>
  <c r="O15" i="137"/>
  <c r="I15" i="137"/>
  <c r="C15" i="137"/>
  <c r="C74" i="137" s="1"/>
  <c r="I14" i="137"/>
  <c r="C14" i="137"/>
  <c r="C73" i="137" s="1"/>
  <c r="O12" i="137"/>
  <c r="I12" i="137"/>
  <c r="C12" i="137"/>
  <c r="V12" i="137" s="1"/>
  <c r="Z18" i="137" s="1"/>
  <c r="AC35" i="137" s="1"/>
  <c r="V11" i="137"/>
  <c r="O11" i="137"/>
  <c r="O10" i="137"/>
  <c r="I10" i="137"/>
  <c r="C10" i="137"/>
  <c r="C69" i="137" s="1"/>
  <c r="O9" i="137"/>
  <c r="I9" i="137"/>
  <c r="C9" i="137"/>
  <c r="C68" i="137" s="1"/>
  <c r="T8" i="137"/>
  <c r="S8" i="137"/>
  <c r="R8" i="137"/>
  <c r="Q8" i="137"/>
  <c r="P8" i="137"/>
  <c r="O8" i="137"/>
  <c r="J8" i="137"/>
  <c r="I8" i="137"/>
  <c r="I16" i="137" s="1"/>
  <c r="K8" i="137" s="1"/>
  <c r="D8" i="137"/>
  <c r="W16" i="137" s="1"/>
  <c r="C8" i="137"/>
  <c r="C67" i="137" s="1"/>
  <c r="S68" i="141"/>
  <c r="R68" i="141"/>
  <c r="Q67" i="141"/>
  <c r="P67" i="141"/>
  <c r="O67" i="141"/>
  <c r="N67" i="141"/>
  <c r="M67" i="141"/>
  <c r="H67" i="141"/>
  <c r="F67" i="141"/>
  <c r="E67" i="141"/>
  <c r="Q66" i="141"/>
  <c r="P66" i="141"/>
  <c r="O66" i="141"/>
  <c r="G66" i="141"/>
  <c r="A66" i="141"/>
  <c r="S65" i="141"/>
  <c r="Q65" i="141"/>
  <c r="P65" i="141"/>
  <c r="O65" i="141"/>
  <c r="G65" i="141"/>
  <c r="A65" i="141"/>
  <c r="T64" i="141"/>
  <c r="S64" i="141"/>
  <c r="Q64" i="141"/>
  <c r="P64" i="141"/>
  <c r="O64" i="141"/>
  <c r="G64" i="141"/>
  <c r="A64" i="141"/>
  <c r="R63" i="141"/>
  <c r="Q63" i="141"/>
  <c r="P63" i="141"/>
  <c r="O63" i="141"/>
  <c r="G63" i="141"/>
  <c r="A63" i="141"/>
  <c r="T62" i="141"/>
  <c r="S62" i="141"/>
  <c r="R62" i="141"/>
  <c r="Q62" i="141"/>
  <c r="P62" i="141"/>
  <c r="O62" i="141"/>
  <c r="G62" i="141"/>
  <c r="A62" i="141"/>
  <c r="T61" i="141"/>
  <c r="S61" i="141"/>
  <c r="Q61" i="141"/>
  <c r="P61" i="141"/>
  <c r="O61" i="141"/>
  <c r="G61" i="141"/>
  <c r="A61" i="141"/>
  <c r="T60" i="141"/>
  <c r="S60" i="141"/>
  <c r="Q60" i="141"/>
  <c r="P60" i="141"/>
  <c r="O60" i="141"/>
  <c r="G60" i="141"/>
  <c r="A60" i="141"/>
  <c r="T59" i="141"/>
  <c r="S59" i="141"/>
  <c r="Q59" i="141"/>
  <c r="P59" i="141"/>
  <c r="O59" i="141"/>
  <c r="G59" i="141"/>
  <c r="A59" i="141"/>
  <c r="T58" i="141"/>
  <c r="S58" i="141"/>
  <c r="Q58" i="141"/>
  <c r="P58" i="141"/>
  <c r="O58" i="141"/>
  <c r="G58" i="141"/>
  <c r="A58" i="141"/>
  <c r="T57" i="141"/>
  <c r="S57" i="141"/>
  <c r="Q57" i="141"/>
  <c r="P57" i="141"/>
  <c r="O57" i="141"/>
  <c r="G57" i="141"/>
  <c r="A57" i="141"/>
  <c r="T56" i="141"/>
  <c r="S56" i="141"/>
  <c r="Q56" i="141"/>
  <c r="P56" i="141"/>
  <c r="O56" i="141"/>
  <c r="G56" i="141"/>
  <c r="A56" i="141"/>
  <c r="U55" i="141"/>
  <c r="R55" i="141"/>
  <c r="Q55" i="141"/>
  <c r="P55" i="141"/>
  <c r="O55" i="141"/>
  <c r="G55" i="141"/>
  <c r="A55" i="141"/>
  <c r="T54" i="141"/>
  <c r="S54" i="141"/>
  <c r="R54" i="141"/>
  <c r="Q54" i="141"/>
  <c r="P54" i="141"/>
  <c r="O54" i="141"/>
  <c r="G54" i="141"/>
  <c r="A54" i="141"/>
  <c r="S53" i="141"/>
  <c r="R53" i="141"/>
  <c r="Q53" i="141"/>
  <c r="P53" i="141"/>
  <c r="O53" i="141"/>
  <c r="G53" i="141"/>
  <c r="A53" i="141"/>
  <c r="T52" i="141"/>
  <c r="S52" i="141"/>
  <c r="R52" i="141"/>
  <c r="Q52" i="141"/>
  <c r="P52" i="141"/>
  <c r="O52" i="141"/>
  <c r="G52" i="141"/>
  <c r="A52" i="141"/>
  <c r="S51" i="141"/>
  <c r="Q51" i="141"/>
  <c r="P51" i="141"/>
  <c r="O51" i="141"/>
  <c r="G51" i="141"/>
  <c r="B51" i="141"/>
  <c r="A51" i="141"/>
  <c r="W50" i="141"/>
  <c r="T50" i="141"/>
  <c r="S50" i="141"/>
  <c r="Q50" i="141"/>
  <c r="P50" i="141"/>
  <c r="O50" i="141"/>
  <c r="G50" i="141"/>
  <c r="B50" i="141"/>
  <c r="A50" i="141"/>
  <c r="U49" i="141"/>
  <c r="T49" i="141"/>
  <c r="S49" i="141"/>
  <c r="Q49" i="141"/>
  <c r="P49" i="141"/>
  <c r="O49" i="141"/>
  <c r="G49" i="141"/>
  <c r="B49" i="141"/>
  <c r="A49" i="141"/>
  <c r="T48" i="141"/>
  <c r="S48" i="141"/>
  <c r="Q48" i="141"/>
  <c r="P48" i="141"/>
  <c r="O48" i="141"/>
  <c r="G48" i="141"/>
  <c r="A48" i="141"/>
  <c r="T47" i="141"/>
  <c r="S47" i="141"/>
  <c r="Q47" i="141"/>
  <c r="P47" i="141"/>
  <c r="O47" i="141"/>
  <c r="G47" i="141"/>
  <c r="A47" i="141"/>
  <c r="T46" i="141"/>
  <c r="S46" i="141"/>
  <c r="R46" i="141"/>
  <c r="Q46" i="141"/>
  <c r="P46" i="141"/>
  <c r="O46" i="141"/>
  <c r="G46" i="141"/>
  <c r="A46" i="141"/>
  <c r="V45" i="141"/>
  <c r="U45" i="141"/>
  <c r="T45" i="141"/>
  <c r="S45" i="141"/>
  <c r="Q45" i="141"/>
  <c r="P45" i="141"/>
  <c r="O45" i="141"/>
  <c r="G45" i="141"/>
  <c r="A45" i="141"/>
  <c r="W44" i="141"/>
  <c r="V44" i="141"/>
  <c r="U44" i="141"/>
  <c r="T44" i="141"/>
  <c r="S44" i="141"/>
  <c r="Q44" i="141"/>
  <c r="P44" i="141"/>
  <c r="O44" i="141"/>
  <c r="G44" i="141"/>
  <c r="A44" i="141"/>
  <c r="W43" i="141"/>
  <c r="V43" i="141"/>
  <c r="U43" i="141"/>
  <c r="T43" i="141"/>
  <c r="S43" i="141"/>
  <c r="R43" i="141"/>
  <c r="Q43" i="141"/>
  <c r="P43" i="141"/>
  <c r="O43" i="141"/>
  <c r="G43" i="141"/>
  <c r="A43" i="141"/>
  <c r="Q42" i="141"/>
  <c r="P42" i="141"/>
  <c r="O42" i="141"/>
  <c r="G42" i="141"/>
  <c r="A42" i="141"/>
  <c r="V41" i="141"/>
  <c r="U41" i="141"/>
  <c r="T41" i="141"/>
  <c r="S41" i="141"/>
  <c r="Q41" i="141"/>
  <c r="P41" i="141"/>
  <c r="O41" i="141"/>
  <c r="G41" i="141"/>
  <c r="A41" i="141"/>
  <c r="V40" i="141"/>
  <c r="U40" i="141"/>
  <c r="S40" i="141"/>
  <c r="Q40" i="141"/>
  <c r="P40" i="141"/>
  <c r="O40" i="141"/>
  <c r="G40" i="141"/>
  <c r="A40" i="141"/>
  <c r="S39" i="141"/>
  <c r="Q39" i="141"/>
  <c r="P39" i="141"/>
  <c r="O39" i="141"/>
  <c r="G39" i="141"/>
  <c r="A39" i="141"/>
  <c r="S38" i="141"/>
  <c r="R38" i="141"/>
  <c r="P38" i="141"/>
  <c r="O38" i="141"/>
  <c r="G38" i="141"/>
  <c r="A38" i="141"/>
  <c r="S37" i="141"/>
  <c r="Q37" i="141"/>
  <c r="P37" i="141"/>
  <c r="O37" i="141"/>
  <c r="G37" i="141"/>
  <c r="A37" i="141"/>
  <c r="T36" i="141"/>
  <c r="S36" i="141"/>
  <c r="R36" i="141"/>
  <c r="Q36" i="141"/>
  <c r="P36" i="141"/>
  <c r="O36" i="141"/>
  <c r="G36" i="141"/>
  <c r="A36" i="141"/>
  <c r="U35" i="141"/>
  <c r="T35" i="141"/>
  <c r="S35" i="141"/>
  <c r="R35" i="141"/>
  <c r="Q35" i="141"/>
  <c r="P35" i="141"/>
  <c r="O35" i="141"/>
  <c r="G35" i="141"/>
  <c r="A35" i="141"/>
  <c r="S34" i="141"/>
  <c r="R34" i="141"/>
  <c r="Q34" i="141"/>
  <c r="P34" i="141"/>
  <c r="O34" i="141"/>
  <c r="G34" i="141"/>
  <c r="A34" i="141"/>
  <c r="Q33" i="141"/>
  <c r="P33" i="141"/>
  <c r="O33" i="141"/>
  <c r="G33" i="141"/>
  <c r="A33" i="141"/>
  <c r="S32" i="141"/>
  <c r="R32" i="141"/>
  <c r="Q32" i="141"/>
  <c r="P32" i="141"/>
  <c r="O32" i="141"/>
  <c r="G32" i="141"/>
  <c r="A32" i="141"/>
  <c r="S31" i="141"/>
  <c r="R31" i="141"/>
  <c r="Q31" i="141"/>
  <c r="P31" i="141"/>
  <c r="O31" i="141"/>
  <c r="G31" i="141"/>
  <c r="A31" i="141"/>
  <c r="S30" i="141"/>
  <c r="Q30" i="141"/>
  <c r="P30" i="141"/>
  <c r="O30" i="141"/>
  <c r="G30" i="141"/>
  <c r="A30" i="141"/>
  <c r="T29" i="141"/>
  <c r="S29" i="141"/>
  <c r="Q29" i="141"/>
  <c r="P29" i="141"/>
  <c r="O29" i="141"/>
  <c r="G29" i="141"/>
  <c r="A29" i="141"/>
  <c r="Q28" i="141"/>
  <c r="P28" i="141"/>
  <c r="O28" i="141"/>
  <c r="G28" i="141"/>
  <c r="A28" i="141"/>
  <c r="T27" i="141"/>
  <c r="S27" i="141"/>
  <c r="Q27" i="141"/>
  <c r="P27" i="141"/>
  <c r="O27" i="141"/>
  <c r="G27" i="141"/>
  <c r="A27" i="141"/>
  <c r="T26" i="141"/>
  <c r="S26" i="141"/>
  <c r="Q26" i="141"/>
  <c r="P26" i="141"/>
  <c r="O26" i="141"/>
  <c r="G26" i="141"/>
  <c r="A26" i="141"/>
  <c r="S25" i="141"/>
  <c r="R25" i="141"/>
  <c r="Q25" i="141"/>
  <c r="P25" i="141"/>
  <c r="O25" i="141"/>
  <c r="G25" i="141"/>
  <c r="A25" i="141"/>
  <c r="S24" i="141"/>
  <c r="Q24" i="141"/>
  <c r="P24" i="141"/>
  <c r="O24" i="141"/>
  <c r="G24" i="141"/>
  <c r="A24" i="141"/>
  <c r="Q23" i="141"/>
  <c r="P23" i="141"/>
  <c r="O23" i="141"/>
  <c r="G23" i="141"/>
  <c r="A23" i="141"/>
  <c r="Q22" i="141"/>
  <c r="P22" i="141"/>
  <c r="O22" i="141"/>
  <c r="G22" i="141"/>
  <c r="A22" i="141"/>
  <c r="Q21" i="141"/>
  <c r="P21" i="141"/>
  <c r="O21" i="141"/>
  <c r="G21" i="141"/>
  <c r="A21" i="141"/>
  <c r="T20" i="141"/>
  <c r="S20" i="141"/>
  <c r="Q20" i="141"/>
  <c r="P20" i="141"/>
  <c r="O20" i="141"/>
  <c r="G20" i="141"/>
  <c r="A20" i="141"/>
  <c r="T19" i="141"/>
  <c r="S19" i="141"/>
  <c r="Q19" i="141"/>
  <c r="P19" i="141"/>
  <c r="O19" i="141"/>
  <c r="G19" i="141"/>
  <c r="A19" i="141"/>
  <c r="Q18" i="141"/>
  <c r="P18" i="141"/>
  <c r="O18" i="141"/>
  <c r="G18" i="141"/>
  <c r="A18" i="141"/>
  <c r="Q17" i="141"/>
  <c r="P17" i="141"/>
  <c r="O17" i="141"/>
  <c r="G17" i="141"/>
  <c r="A17" i="141"/>
  <c r="Q16" i="141"/>
  <c r="P16" i="141"/>
  <c r="O16" i="141"/>
  <c r="G16" i="141"/>
  <c r="A16" i="141"/>
  <c r="Q15" i="141"/>
  <c r="P15" i="141"/>
  <c r="O15" i="141"/>
  <c r="G15" i="141"/>
  <c r="A15" i="141"/>
  <c r="P14" i="141"/>
  <c r="O14" i="141"/>
  <c r="G14" i="141"/>
  <c r="A14" i="141"/>
  <c r="P13" i="141"/>
  <c r="O13" i="141"/>
  <c r="G13" i="141"/>
  <c r="B13" i="141"/>
  <c r="A13" i="141"/>
  <c r="Q12" i="141"/>
  <c r="P12" i="141"/>
  <c r="O12" i="141"/>
  <c r="G12" i="141"/>
  <c r="A12" i="141"/>
  <c r="Q11" i="141"/>
  <c r="P11" i="141"/>
  <c r="O11" i="141"/>
  <c r="G11" i="141"/>
  <c r="A11" i="141"/>
  <c r="Q10" i="141"/>
  <c r="P10" i="141"/>
  <c r="O10" i="141"/>
  <c r="G10" i="141"/>
  <c r="A10" i="141"/>
  <c r="Q9" i="141"/>
  <c r="P9" i="141"/>
  <c r="O9" i="141"/>
  <c r="G9" i="141"/>
  <c r="A9" i="141"/>
  <c r="Q8" i="141"/>
  <c r="P8" i="141"/>
  <c r="O8" i="141"/>
  <c r="G8" i="141"/>
  <c r="A8" i="141"/>
  <c r="Q7" i="141"/>
  <c r="P7" i="141"/>
  <c r="O7" i="141"/>
  <c r="G7" i="141"/>
  <c r="A7" i="141"/>
  <c r="Q6" i="141"/>
  <c r="P6" i="141"/>
  <c r="O6" i="141"/>
  <c r="G6" i="141"/>
  <c r="A6" i="141"/>
  <c r="Q5" i="141"/>
  <c r="P5" i="141"/>
  <c r="G5" i="141"/>
  <c r="L164" i="153"/>
  <c r="K164" i="153"/>
  <c r="J164" i="153"/>
  <c r="I164" i="153"/>
  <c r="H164" i="153"/>
  <c r="G164" i="153"/>
  <c r="E164" i="153"/>
  <c r="D164" i="153"/>
  <c r="L163" i="153"/>
  <c r="K163" i="153"/>
  <c r="J163" i="153"/>
  <c r="I163" i="153"/>
  <c r="H163" i="153"/>
  <c r="G163" i="153"/>
  <c r="E163" i="153"/>
  <c r="D163" i="153"/>
  <c r="L162" i="153"/>
  <c r="K162" i="153"/>
  <c r="J162" i="153"/>
  <c r="I162" i="153"/>
  <c r="H162" i="153"/>
  <c r="G162" i="153"/>
  <c r="E162" i="153"/>
  <c r="D162" i="153"/>
  <c r="J161" i="153"/>
  <c r="I161" i="153"/>
  <c r="A161" i="153"/>
  <c r="J160" i="153"/>
  <c r="I160" i="153"/>
  <c r="A160" i="153"/>
  <c r="J159" i="153"/>
  <c r="I159" i="153"/>
  <c r="A159" i="153"/>
  <c r="J158" i="153"/>
  <c r="I158" i="153"/>
  <c r="A158" i="153"/>
  <c r="J157" i="153"/>
  <c r="I157" i="153"/>
  <c r="A157" i="153"/>
  <c r="J156" i="153"/>
  <c r="I156" i="153"/>
  <c r="A156" i="153"/>
  <c r="J155" i="153"/>
  <c r="I155" i="153"/>
  <c r="A155" i="153"/>
  <c r="J154" i="153"/>
  <c r="I154" i="153"/>
  <c r="A154" i="153"/>
  <c r="J153" i="153"/>
  <c r="I153" i="153"/>
  <c r="A153" i="153"/>
  <c r="J152" i="153"/>
  <c r="I152" i="153"/>
  <c r="A152" i="153"/>
  <c r="J151" i="153"/>
  <c r="I151" i="153"/>
  <c r="A151" i="153"/>
  <c r="J150" i="153"/>
  <c r="I150" i="153"/>
  <c r="C150" i="153"/>
  <c r="A150" i="153"/>
  <c r="J149" i="153"/>
  <c r="I149" i="153"/>
  <c r="A149" i="153"/>
  <c r="J148" i="153"/>
  <c r="I148" i="153"/>
  <c r="A148" i="153"/>
  <c r="J147" i="153"/>
  <c r="I147" i="153"/>
  <c r="A147" i="153"/>
  <c r="J146" i="153"/>
  <c r="I146" i="153"/>
  <c r="A146" i="153"/>
  <c r="J145" i="153"/>
  <c r="I145" i="153"/>
  <c r="A145" i="153"/>
  <c r="J144" i="153"/>
  <c r="I144" i="153"/>
  <c r="A144" i="153"/>
  <c r="J143" i="153"/>
  <c r="I143" i="153"/>
  <c r="A143" i="153"/>
  <c r="J142" i="153"/>
  <c r="I142" i="153"/>
  <c r="C142" i="153"/>
  <c r="A142" i="153"/>
  <c r="J141" i="153"/>
  <c r="I141" i="153"/>
  <c r="A141" i="153"/>
  <c r="J140" i="153"/>
  <c r="I140" i="153"/>
  <c r="A140" i="153"/>
  <c r="J139" i="153"/>
  <c r="I139" i="153"/>
  <c r="A139" i="153"/>
  <c r="J138" i="153"/>
  <c r="I138" i="153"/>
  <c r="A138" i="153"/>
  <c r="J137" i="153"/>
  <c r="I137" i="153"/>
  <c r="C137" i="153"/>
  <c r="A137" i="153"/>
  <c r="J136" i="153"/>
  <c r="I136" i="153"/>
  <c r="A136" i="153"/>
  <c r="J135" i="153"/>
  <c r="I135" i="153"/>
  <c r="A135" i="153"/>
  <c r="J134" i="153"/>
  <c r="I134" i="153"/>
  <c r="A134" i="153"/>
  <c r="J133" i="153"/>
  <c r="I133" i="153"/>
  <c r="A133" i="153"/>
  <c r="J132" i="153"/>
  <c r="I132" i="153"/>
  <c r="A132" i="153"/>
  <c r="J131" i="153"/>
  <c r="I131" i="153"/>
  <c r="A131" i="153"/>
  <c r="K130" i="153"/>
  <c r="J130" i="153"/>
  <c r="I130" i="153"/>
  <c r="A130" i="153"/>
  <c r="K129" i="153"/>
  <c r="J129" i="153"/>
  <c r="I129" i="153"/>
  <c r="A129" i="153"/>
  <c r="K128" i="153"/>
  <c r="J128" i="153"/>
  <c r="I128" i="153"/>
  <c r="A128" i="153"/>
  <c r="K127" i="153"/>
  <c r="J127" i="153"/>
  <c r="I127" i="153"/>
  <c r="A127" i="153"/>
  <c r="K126" i="153"/>
  <c r="J126" i="153"/>
  <c r="I126" i="153"/>
  <c r="A126" i="153"/>
  <c r="O125" i="153"/>
  <c r="K125" i="153"/>
  <c r="J125" i="153"/>
  <c r="I125" i="153"/>
  <c r="A125" i="153"/>
  <c r="K124" i="153"/>
  <c r="J124" i="153"/>
  <c r="I124" i="153"/>
  <c r="A124" i="153"/>
  <c r="K123" i="153"/>
  <c r="J123" i="153"/>
  <c r="I123" i="153"/>
  <c r="A123" i="153"/>
  <c r="O122" i="153"/>
  <c r="K122" i="153"/>
  <c r="J122" i="153"/>
  <c r="I122" i="153"/>
  <c r="A122" i="153"/>
  <c r="K121" i="153"/>
  <c r="J121" i="153"/>
  <c r="I121" i="153"/>
  <c r="A121" i="153"/>
  <c r="O120" i="153"/>
  <c r="K120" i="153"/>
  <c r="J120" i="153"/>
  <c r="I120" i="153"/>
  <c r="A120" i="153"/>
  <c r="Q119" i="153"/>
  <c r="O119" i="153"/>
  <c r="K119" i="153"/>
  <c r="J119" i="153"/>
  <c r="I119" i="153"/>
  <c r="A119" i="153"/>
  <c r="Q118" i="153"/>
  <c r="O118" i="153"/>
  <c r="K118" i="153"/>
  <c r="J118" i="153"/>
  <c r="I118" i="153"/>
  <c r="A118" i="153"/>
  <c r="P117" i="153"/>
  <c r="O117" i="153"/>
  <c r="K117" i="153"/>
  <c r="J117" i="153"/>
  <c r="I117" i="153"/>
  <c r="A117" i="153"/>
  <c r="S116" i="153"/>
  <c r="Q116" i="153"/>
  <c r="P116" i="153"/>
  <c r="K116" i="153"/>
  <c r="J116" i="153"/>
  <c r="I116" i="153"/>
  <c r="A116" i="153"/>
  <c r="S115" i="153"/>
  <c r="R115" i="153"/>
  <c r="Q115" i="153"/>
  <c r="P115" i="153"/>
  <c r="O115" i="153"/>
  <c r="K115" i="153"/>
  <c r="J115" i="153"/>
  <c r="I115" i="153"/>
  <c r="A115" i="153"/>
  <c r="O114" i="153"/>
  <c r="K114" i="153"/>
  <c r="J114" i="153"/>
  <c r="I114" i="153"/>
  <c r="A114" i="153"/>
  <c r="K113" i="153"/>
  <c r="J113" i="153"/>
  <c r="I113" i="153"/>
  <c r="A113" i="153"/>
  <c r="O112" i="153"/>
  <c r="K112" i="153"/>
  <c r="J112" i="153"/>
  <c r="I112" i="153"/>
  <c r="A112" i="153"/>
  <c r="P111" i="153"/>
  <c r="O111" i="153"/>
  <c r="K111" i="153"/>
  <c r="J111" i="153"/>
  <c r="I111" i="153"/>
  <c r="A111" i="153"/>
  <c r="Q110" i="153"/>
  <c r="P110" i="153"/>
  <c r="K110" i="153"/>
  <c r="J110" i="153"/>
  <c r="I110" i="153"/>
  <c r="A110" i="153"/>
  <c r="Q109" i="153"/>
  <c r="P109" i="153"/>
  <c r="O109" i="153"/>
  <c r="K109" i="153"/>
  <c r="J109" i="153"/>
  <c r="I109" i="153"/>
  <c r="A109" i="153"/>
  <c r="O108" i="153"/>
  <c r="K108" i="153"/>
  <c r="J108" i="153"/>
  <c r="I108" i="153"/>
  <c r="A108" i="153"/>
  <c r="P107" i="153"/>
  <c r="O107" i="153"/>
  <c r="K107" i="153"/>
  <c r="J107" i="153"/>
  <c r="I107" i="153"/>
  <c r="A107" i="153"/>
  <c r="O106" i="153"/>
  <c r="K106" i="153"/>
  <c r="J106" i="153"/>
  <c r="I106" i="153"/>
  <c r="A106" i="153"/>
  <c r="O105" i="153"/>
  <c r="K105" i="153"/>
  <c r="J105" i="153"/>
  <c r="I105" i="153"/>
  <c r="A105" i="153"/>
  <c r="O104" i="153"/>
  <c r="K104" i="153"/>
  <c r="J104" i="153"/>
  <c r="I104" i="153"/>
  <c r="A104" i="153"/>
  <c r="O103" i="153"/>
  <c r="K103" i="153"/>
  <c r="J103" i="153"/>
  <c r="I103" i="153"/>
  <c r="A103" i="153"/>
  <c r="K102" i="153"/>
  <c r="J102" i="153"/>
  <c r="I102" i="153"/>
  <c r="A102" i="153"/>
  <c r="O101" i="153"/>
  <c r="K101" i="153"/>
  <c r="J101" i="153"/>
  <c r="I101" i="153"/>
  <c r="A101" i="153"/>
  <c r="P100" i="153"/>
  <c r="O100" i="153"/>
  <c r="K100" i="153"/>
  <c r="J100" i="153"/>
  <c r="I100" i="153"/>
  <c r="A100" i="153"/>
  <c r="R99" i="153"/>
  <c r="Q99" i="153"/>
  <c r="P99" i="153"/>
  <c r="O99" i="153"/>
  <c r="K99" i="153"/>
  <c r="J99" i="153"/>
  <c r="I99" i="153"/>
  <c r="A99" i="153"/>
  <c r="R98" i="153"/>
  <c r="Q98" i="153"/>
  <c r="P98" i="153"/>
  <c r="O98" i="153"/>
  <c r="K98" i="153"/>
  <c r="J98" i="153"/>
  <c r="I98" i="153"/>
  <c r="A98" i="153"/>
  <c r="P97" i="153"/>
  <c r="O97" i="153"/>
  <c r="K97" i="153"/>
  <c r="J97" i="153"/>
  <c r="I97" i="153"/>
  <c r="A97" i="153"/>
  <c r="Q96" i="153"/>
  <c r="P96" i="153"/>
  <c r="K96" i="153"/>
  <c r="J96" i="153"/>
  <c r="I96" i="153"/>
  <c r="A96" i="153"/>
  <c r="P95" i="153"/>
  <c r="O95" i="153"/>
  <c r="K95" i="153"/>
  <c r="J95" i="153"/>
  <c r="I95" i="153"/>
  <c r="A95" i="153"/>
  <c r="Q94" i="153"/>
  <c r="P94" i="153"/>
  <c r="O94" i="153"/>
  <c r="K94" i="153"/>
  <c r="J94" i="153"/>
  <c r="I94" i="153"/>
  <c r="A94" i="153"/>
  <c r="Q93" i="153"/>
  <c r="P93" i="153"/>
  <c r="O93" i="153"/>
  <c r="K93" i="153"/>
  <c r="J93" i="153"/>
  <c r="I93" i="153"/>
  <c r="A93" i="153"/>
  <c r="Q92" i="153"/>
  <c r="P92" i="153"/>
  <c r="O92" i="153"/>
  <c r="K92" i="153"/>
  <c r="J92" i="153"/>
  <c r="I92" i="153"/>
  <c r="A92" i="153"/>
  <c r="P91" i="153"/>
  <c r="O91" i="153"/>
  <c r="K91" i="153"/>
  <c r="J91" i="153"/>
  <c r="I91" i="153"/>
  <c r="A91" i="153"/>
  <c r="J90" i="153"/>
  <c r="I90" i="153"/>
  <c r="A90" i="153"/>
  <c r="Q89" i="153"/>
  <c r="P89" i="153"/>
  <c r="O89" i="153"/>
  <c r="K89" i="153"/>
  <c r="J89" i="153"/>
  <c r="I89" i="153"/>
  <c r="A89" i="153"/>
  <c r="K88" i="153"/>
  <c r="J88" i="153"/>
  <c r="I88" i="153"/>
  <c r="A88" i="153"/>
  <c r="K87" i="153"/>
  <c r="J87" i="153"/>
  <c r="I87" i="153"/>
  <c r="A87" i="153"/>
  <c r="O86" i="153"/>
  <c r="K86" i="153"/>
  <c r="J86" i="153"/>
  <c r="I86" i="153"/>
  <c r="A86" i="153"/>
  <c r="K85" i="153"/>
  <c r="J85" i="153"/>
  <c r="I85" i="153"/>
  <c r="A85" i="153"/>
  <c r="K84" i="153"/>
  <c r="J84" i="153"/>
  <c r="I84" i="153"/>
  <c r="A84" i="153"/>
  <c r="K83" i="153"/>
  <c r="J83" i="153"/>
  <c r="I83" i="153"/>
  <c r="A83" i="153"/>
  <c r="O82" i="153"/>
  <c r="K82" i="153"/>
  <c r="J82" i="153"/>
  <c r="I82" i="153"/>
  <c r="C82" i="153"/>
  <c r="A82" i="153"/>
  <c r="K81" i="153"/>
  <c r="J81" i="153"/>
  <c r="I81" i="153"/>
  <c r="A81" i="153"/>
  <c r="J80" i="153"/>
  <c r="I80" i="153"/>
  <c r="C80" i="153"/>
  <c r="A80" i="153"/>
  <c r="O79" i="153"/>
  <c r="K79" i="153"/>
  <c r="J79" i="153"/>
  <c r="I79" i="153"/>
  <c r="C79" i="153"/>
  <c r="A79" i="153"/>
  <c r="P78" i="153"/>
  <c r="O78" i="153"/>
  <c r="K78" i="153"/>
  <c r="J78" i="153"/>
  <c r="I78" i="153"/>
  <c r="A78" i="153"/>
  <c r="K77" i="153"/>
  <c r="J77" i="153"/>
  <c r="I77" i="153"/>
  <c r="A77" i="153"/>
  <c r="J76" i="153"/>
  <c r="I76" i="153"/>
  <c r="A76" i="153"/>
  <c r="K75" i="153"/>
  <c r="J75" i="153"/>
  <c r="I75" i="153"/>
  <c r="A75" i="153"/>
  <c r="P74" i="153"/>
  <c r="J74" i="153"/>
  <c r="I74" i="153"/>
  <c r="A74" i="153"/>
  <c r="P73" i="153"/>
  <c r="O73" i="153"/>
  <c r="K73" i="153"/>
  <c r="J73" i="153"/>
  <c r="I73" i="153"/>
  <c r="A73" i="153"/>
  <c r="O72" i="153"/>
  <c r="K72" i="153"/>
  <c r="J72" i="153"/>
  <c r="I72" i="153"/>
  <c r="A72" i="153"/>
  <c r="P71" i="153"/>
  <c r="O71" i="153"/>
  <c r="K71" i="153"/>
  <c r="J71" i="153"/>
  <c r="I71" i="153"/>
  <c r="C71" i="153"/>
  <c r="A71" i="153"/>
  <c r="P70" i="153"/>
  <c r="O70" i="153"/>
  <c r="K70" i="153"/>
  <c r="J70" i="153"/>
  <c r="I70" i="153"/>
  <c r="A70" i="153"/>
  <c r="P69" i="153"/>
  <c r="O69" i="153"/>
  <c r="K69" i="153"/>
  <c r="J69" i="153"/>
  <c r="I69" i="153"/>
  <c r="C69" i="153"/>
  <c r="A69" i="153"/>
  <c r="O68" i="153"/>
  <c r="K68" i="153"/>
  <c r="J68" i="153"/>
  <c r="I68" i="153"/>
  <c r="C68" i="153"/>
  <c r="A68" i="153"/>
  <c r="J67" i="153"/>
  <c r="I67" i="153"/>
  <c r="C67" i="153"/>
  <c r="A67" i="153"/>
  <c r="P66" i="153"/>
  <c r="K66" i="153"/>
  <c r="J66" i="153"/>
  <c r="I66" i="153"/>
  <c r="C66" i="153"/>
  <c r="A66" i="153"/>
  <c r="P65" i="153"/>
  <c r="O65" i="153"/>
  <c r="K65" i="153"/>
  <c r="J65" i="153"/>
  <c r="I65" i="153"/>
  <c r="C65" i="153"/>
  <c r="A65" i="153"/>
  <c r="O64" i="153"/>
  <c r="K64" i="153"/>
  <c r="J64" i="153"/>
  <c r="I64" i="153"/>
  <c r="C64" i="153"/>
  <c r="A64" i="153"/>
  <c r="P63" i="153"/>
  <c r="O63" i="153"/>
  <c r="K63" i="153"/>
  <c r="J63" i="153"/>
  <c r="I63" i="153"/>
  <c r="C63" i="153"/>
  <c r="A63" i="153"/>
  <c r="K62" i="153"/>
  <c r="J62" i="153"/>
  <c r="I62" i="153"/>
  <c r="C62" i="153"/>
  <c r="A62" i="153"/>
  <c r="O61" i="153"/>
  <c r="K61" i="153"/>
  <c r="J61" i="153"/>
  <c r="I61" i="153"/>
  <c r="C61" i="153"/>
  <c r="A61" i="153"/>
  <c r="P60" i="153"/>
  <c r="O60" i="153"/>
  <c r="K60" i="153"/>
  <c r="J60" i="153"/>
  <c r="I60" i="153"/>
  <c r="C60" i="153"/>
  <c r="A60" i="153"/>
  <c r="Q59" i="153"/>
  <c r="P59" i="153"/>
  <c r="O59" i="153"/>
  <c r="K59" i="153"/>
  <c r="J59" i="153"/>
  <c r="I59" i="153"/>
  <c r="C59" i="153"/>
  <c r="A59" i="153"/>
  <c r="J58" i="153"/>
  <c r="I58" i="153"/>
  <c r="C58" i="153"/>
  <c r="A58" i="153"/>
  <c r="K57" i="153"/>
  <c r="J57" i="153"/>
  <c r="I57" i="153"/>
  <c r="C57" i="153"/>
  <c r="A57" i="153"/>
  <c r="P56" i="153"/>
  <c r="O56" i="153"/>
  <c r="K56" i="153"/>
  <c r="J56" i="153"/>
  <c r="I56" i="153"/>
  <c r="C56" i="153"/>
  <c r="A56" i="153"/>
  <c r="P55" i="153"/>
  <c r="O55" i="153"/>
  <c r="K55" i="153"/>
  <c r="J55" i="153"/>
  <c r="I55" i="153"/>
  <c r="A55" i="153"/>
  <c r="K54" i="153"/>
  <c r="J54" i="153"/>
  <c r="I54" i="153"/>
  <c r="C54" i="153"/>
  <c r="A54" i="153"/>
  <c r="P53" i="153"/>
  <c r="O53" i="153"/>
  <c r="K53" i="153"/>
  <c r="J53" i="153"/>
  <c r="I53" i="153"/>
  <c r="A53" i="153"/>
  <c r="P52" i="153"/>
  <c r="O52" i="153"/>
  <c r="K52" i="153"/>
  <c r="J52" i="153"/>
  <c r="I52" i="153"/>
  <c r="C52" i="153"/>
  <c r="A52" i="153"/>
  <c r="K51" i="153"/>
  <c r="J51" i="153"/>
  <c r="I51" i="153"/>
  <c r="C51" i="153"/>
  <c r="A51" i="153"/>
  <c r="K50" i="153"/>
  <c r="J50" i="153"/>
  <c r="I50" i="153"/>
  <c r="C50" i="153"/>
  <c r="A50" i="153"/>
  <c r="O49" i="153"/>
  <c r="K49" i="153"/>
  <c r="J49" i="153"/>
  <c r="I49" i="153"/>
  <c r="C49" i="153"/>
  <c r="A49" i="153"/>
  <c r="P48" i="153"/>
  <c r="O48" i="153"/>
  <c r="K48" i="153"/>
  <c r="J48" i="153"/>
  <c r="I48" i="153"/>
  <c r="C48" i="153"/>
  <c r="A48" i="153"/>
  <c r="O47" i="153"/>
  <c r="K47" i="153"/>
  <c r="J47" i="153"/>
  <c r="I47" i="153"/>
  <c r="C47" i="153"/>
  <c r="A47" i="153"/>
  <c r="O46" i="153"/>
  <c r="K46" i="153"/>
  <c r="J46" i="153"/>
  <c r="I46" i="153"/>
  <c r="A46" i="153"/>
  <c r="J45" i="153"/>
  <c r="I45" i="153"/>
  <c r="A45" i="153"/>
  <c r="K44" i="153"/>
  <c r="J44" i="153"/>
  <c r="I44" i="153"/>
  <c r="A44" i="153"/>
  <c r="K43" i="153"/>
  <c r="J43" i="153"/>
  <c r="I43" i="153"/>
  <c r="A43" i="153"/>
  <c r="O42" i="153"/>
  <c r="K42" i="153"/>
  <c r="J42" i="153"/>
  <c r="I42" i="153"/>
  <c r="C42" i="153"/>
  <c r="A42" i="153"/>
  <c r="P41" i="153"/>
  <c r="O41" i="153"/>
  <c r="K41" i="153"/>
  <c r="J41" i="153"/>
  <c r="I41" i="153"/>
  <c r="A41" i="153"/>
  <c r="P40" i="153"/>
  <c r="O40" i="153"/>
  <c r="K40" i="153"/>
  <c r="J40" i="153"/>
  <c r="I40" i="153"/>
  <c r="A40" i="153"/>
  <c r="P39" i="153"/>
  <c r="O39" i="153"/>
  <c r="K39" i="153"/>
  <c r="J39" i="153"/>
  <c r="I39" i="153"/>
  <c r="A39" i="153"/>
  <c r="P38" i="153"/>
  <c r="K38" i="153"/>
  <c r="J38" i="153"/>
  <c r="I38" i="153"/>
  <c r="C38" i="153"/>
  <c r="A38" i="153"/>
  <c r="K37" i="153"/>
  <c r="J37" i="153"/>
  <c r="I37" i="153"/>
  <c r="A37" i="153"/>
  <c r="P36" i="153"/>
  <c r="K36" i="153"/>
  <c r="J36" i="153"/>
  <c r="I36" i="153"/>
  <c r="A36" i="153"/>
  <c r="K35" i="153"/>
  <c r="J35" i="153"/>
  <c r="I35" i="153"/>
  <c r="A35" i="153"/>
  <c r="P34" i="153"/>
  <c r="O34" i="153"/>
  <c r="K34" i="153"/>
  <c r="J34" i="153"/>
  <c r="I34" i="153"/>
  <c r="A34" i="153"/>
  <c r="P33" i="153"/>
  <c r="O33" i="153"/>
  <c r="K33" i="153"/>
  <c r="J33" i="153"/>
  <c r="I33" i="153"/>
  <c r="A33" i="153"/>
  <c r="K32" i="153"/>
  <c r="J32" i="153"/>
  <c r="I32" i="153"/>
  <c r="A32" i="153"/>
  <c r="P31" i="153"/>
  <c r="J31" i="153"/>
  <c r="I31" i="153"/>
  <c r="A31" i="153"/>
  <c r="P30" i="153"/>
  <c r="O30" i="153"/>
  <c r="K30" i="153"/>
  <c r="J30" i="153"/>
  <c r="I30" i="153"/>
  <c r="A30" i="153"/>
  <c r="Q29" i="153"/>
  <c r="P29" i="153"/>
  <c r="O29" i="153"/>
  <c r="K29" i="153"/>
  <c r="J29" i="153"/>
  <c r="I29" i="153"/>
  <c r="A29" i="153"/>
  <c r="Q28" i="153"/>
  <c r="P28" i="153"/>
  <c r="O28" i="153"/>
  <c r="K28" i="153"/>
  <c r="J28" i="153"/>
  <c r="I28" i="153"/>
  <c r="A28" i="153"/>
  <c r="K27" i="153"/>
  <c r="J27" i="153"/>
  <c r="I27" i="153"/>
  <c r="A27" i="153"/>
  <c r="K26" i="153"/>
  <c r="J26" i="153"/>
  <c r="I26" i="153"/>
  <c r="A26" i="153"/>
  <c r="P25" i="153"/>
  <c r="O25" i="153"/>
  <c r="K25" i="153"/>
  <c r="J25" i="153"/>
  <c r="I25" i="153"/>
  <c r="A25" i="153"/>
  <c r="K24" i="153"/>
  <c r="J24" i="153"/>
  <c r="I24" i="153"/>
  <c r="A24" i="153"/>
  <c r="O23" i="153"/>
  <c r="J23" i="153"/>
  <c r="I23" i="153"/>
  <c r="A23" i="153"/>
  <c r="P22" i="153"/>
  <c r="O22" i="153"/>
  <c r="K22" i="153"/>
  <c r="J22" i="153"/>
  <c r="I22" i="153"/>
  <c r="A22" i="153"/>
  <c r="K21" i="153"/>
  <c r="J21" i="153"/>
  <c r="I21" i="153"/>
  <c r="A21" i="153"/>
  <c r="K20" i="153"/>
  <c r="J20" i="153"/>
  <c r="I20" i="153"/>
  <c r="A20" i="153"/>
  <c r="K19" i="153"/>
  <c r="J19" i="153"/>
  <c r="I19" i="153"/>
  <c r="A19" i="153"/>
  <c r="O18" i="153"/>
  <c r="K18" i="153"/>
  <c r="J18" i="153"/>
  <c r="I18" i="153"/>
  <c r="A18" i="153"/>
  <c r="P17" i="153"/>
  <c r="O17" i="153"/>
  <c r="K17" i="153"/>
  <c r="J17" i="153"/>
  <c r="I17" i="153"/>
  <c r="A17" i="153"/>
  <c r="Q16" i="153"/>
  <c r="P16" i="153"/>
  <c r="K16" i="153"/>
  <c r="J16" i="153"/>
  <c r="I16" i="153"/>
  <c r="A16" i="153"/>
  <c r="Q15" i="153"/>
  <c r="P15" i="153"/>
  <c r="K15" i="153"/>
  <c r="J15" i="153"/>
  <c r="I15" i="153"/>
  <c r="A15" i="153"/>
  <c r="R14" i="153"/>
  <c r="Q14" i="153"/>
  <c r="P14" i="153"/>
  <c r="O14" i="153"/>
  <c r="K14" i="153"/>
  <c r="J14" i="153"/>
  <c r="I14" i="153"/>
  <c r="A14" i="153"/>
  <c r="J13" i="153"/>
  <c r="I13" i="153"/>
  <c r="A13" i="153"/>
  <c r="J12" i="153"/>
  <c r="I12" i="153"/>
  <c r="A12" i="153"/>
  <c r="J11" i="153"/>
  <c r="I11" i="153"/>
  <c r="A11" i="153"/>
  <c r="J10" i="153"/>
  <c r="I10" i="153"/>
  <c r="A10" i="153"/>
  <c r="J9" i="153"/>
  <c r="I9" i="153"/>
  <c r="A9" i="153"/>
  <c r="J8" i="153"/>
  <c r="I8" i="153"/>
  <c r="C8" i="153"/>
  <c r="Y230" i="138"/>
  <c r="AB227" i="138"/>
  <c r="AB226" i="138"/>
  <c r="AA225" i="138"/>
  <c r="Y224" i="138"/>
  <c r="AA221" i="138"/>
  <c r="AA220" i="138"/>
  <c r="D219" i="138"/>
  <c r="C219" i="138"/>
  <c r="Y218" i="138"/>
  <c r="W218" i="138"/>
  <c r="L218" i="138"/>
  <c r="D218" i="138"/>
  <c r="C218" i="138"/>
  <c r="W217" i="138"/>
  <c r="V217" i="138"/>
  <c r="T217" i="138"/>
  <c r="S217" i="138"/>
  <c r="R217" i="138"/>
  <c r="M217" i="138"/>
  <c r="L217" i="138"/>
  <c r="K217" i="138"/>
  <c r="J217" i="138"/>
  <c r="I217" i="138"/>
  <c r="H217" i="138"/>
  <c r="G217" i="138"/>
  <c r="F217" i="138"/>
  <c r="E217" i="138"/>
  <c r="D217" i="138"/>
  <c r="C217" i="138"/>
  <c r="W216" i="138"/>
  <c r="V216" i="138"/>
  <c r="M216" i="138"/>
  <c r="W215" i="138"/>
  <c r="V215" i="138"/>
  <c r="M215" i="138"/>
  <c r="W214" i="138"/>
  <c r="V214" i="138"/>
  <c r="M214" i="138"/>
  <c r="W213" i="138"/>
  <c r="V213" i="138"/>
  <c r="M213" i="138"/>
  <c r="W212" i="138"/>
  <c r="V212" i="138"/>
  <c r="M212" i="138"/>
  <c r="W211" i="138"/>
  <c r="V211" i="138"/>
  <c r="M211" i="138"/>
  <c r="W210" i="138"/>
  <c r="V210" i="138"/>
  <c r="M210" i="138"/>
  <c r="W209" i="138"/>
  <c r="V209" i="138"/>
  <c r="M209" i="138"/>
  <c r="W208" i="138"/>
  <c r="V208" i="138"/>
  <c r="M208" i="138"/>
  <c r="W207" i="138"/>
  <c r="V207" i="138"/>
  <c r="M207" i="138"/>
  <c r="W206" i="138"/>
  <c r="V206" i="138"/>
  <c r="M206" i="138"/>
  <c r="W205" i="138"/>
  <c r="V205" i="138"/>
  <c r="M205" i="138"/>
  <c r="W204" i="138"/>
  <c r="V204" i="138"/>
  <c r="M204" i="138"/>
  <c r="W203" i="138"/>
  <c r="V203" i="138"/>
  <c r="M203" i="138"/>
  <c r="W202" i="138"/>
  <c r="V202" i="138"/>
  <c r="M202" i="138"/>
  <c r="W201" i="138"/>
  <c r="V201" i="138"/>
  <c r="M201" i="138"/>
  <c r="W200" i="138"/>
  <c r="V200" i="138"/>
  <c r="M200" i="138"/>
  <c r="W199" i="138"/>
  <c r="V199" i="138"/>
  <c r="M199" i="138"/>
  <c r="W198" i="138"/>
  <c r="V198" i="138"/>
  <c r="M198" i="138"/>
  <c r="W197" i="138"/>
  <c r="V197" i="138"/>
  <c r="M197" i="138"/>
  <c r="W196" i="138"/>
  <c r="V196" i="138"/>
  <c r="M196" i="138"/>
  <c r="W195" i="138"/>
  <c r="V195" i="138"/>
  <c r="M195" i="138"/>
  <c r="W194" i="138"/>
  <c r="V194" i="138"/>
  <c r="M194" i="138"/>
  <c r="W193" i="138"/>
  <c r="V193" i="138"/>
  <c r="M193" i="138"/>
  <c r="W192" i="138"/>
  <c r="V192" i="138"/>
  <c r="M192" i="138"/>
  <c r="W191" i="138"/>
  <c r="V191" i="138"/>
  <c r="M191" i="138"/>
  <c r="W190" i="138"/>
  <c r="V190" i="138"/>
  <c r="M190" i="138"/>
  <c r="W189" i="138"/>
  <c r="V189" i="138"/>
  <c r="M189" i="138"/>
  <c r="W188" i="138"/>
  <c r="V188" i="138"/>
  <c r="M188" i="138"/>
  <c r="W187" i="138"/>
  <c r="V187" i="138"/>
  <c r="M187" i="138"/>
  <c r="W186" i="138"/>
  <c r="V186" i="138"/>
  <c r="M186" i="138"/>
  <c r="W185" i="138"/>
  <c r="V185" i="138"/>
  <c r="M185" i="138"/>
  <c r="W184" i="138"/>
  <c r="V184" i="138"/>
  <c r="M184" i="138"/>
  <c r="W183" i="138"/>
  <c r="V183" i="138"/>
  <c r="M183" i="138"/>
  <c r="W182" i="138"/>
  <c r="V182" i="138"/>
  <c r="W181" i="138"/>
  <c r="V181" i="138"/>
  <c r="W180" i="138"/>
  <c r="V180" i="138"/>
  <c r="M180" i="138"/>
  <c r="W179" i="138"/>
  <c r="V179" i="138"/>
  <c r="M179" i="138"/>
  <c r="W178" i="138"/>
  <c r="V178" i="138"/>
  <c r="M178" i="138"/>
  <c r="W177" i="138"/>
  <c r="V177" i="138"/>
  <c r="M177" i="138"/>
  <c r="W176" i="138"/>
  <c r="V176" i="138"/>
  <c r="M176" i="138"/>
  <c r="W175" i="138"/>
  <c r="V175" i="138"/>
  <c r="M175" i="138"/>
  <c r="W174" i="138"/>
  <c r="V174" i="138"/>
  <c r="M174" i="138"/>
  <c r="W173" i="138"/>
  <c r="V173" i="138"/>
  <c r="M173" i="138"/>
  <c r="W172" i="138"/>
  <c r="V172" i="138"/>
  <c r="M172" i="138"/>
  <c r="W171" i="138"/>
  <c r="V171" i="138"/>
  <c r="M171" i="138"/>
  <c r="W170" i="138"/>
  <c r="V170" i="138"/>
  <c r="M170" i="138"/>
  <c r="W169" i="138"/>
  <c r="V169" i="138"/>
  <c r="M169" i="138"/>
  <c r="W168" i="138"/>
  <c r="V168" i="138"/>
  <c r="M168" i="138"/>
  <c r="W167" i="138"/>
  <c r="V167" i="138"/>
  <c r="M167" i="138"/>
  <c r="W166" i="138"/>
  <c r="V166" i="138"/>
  <c r="M166" i="138"/>
  <c r="W165" i="138"/>
  <c r="V165" i="138"/>
  <c r="M165" i="138"/>
  <c r="W164" i="138"/>
  <c r="V164" i="138"/>
  <c r="M164" i="138"/>
  <c r="W163" i="138"/>
  <c r="V163" i="138"/>
  <c r="M163" i="138"/>
  <c r="W162" i="138"/>
  <c r="V162" i="138"/>
  <c r="M162" i="138"/>
  <c r="W161" i="138"/>
  <c r="V161" i="138"/>
  <c r="M161" i="138"/>
  <c r="W160" i="138"/>
  <c r="V160" i="138"/>
  <c r="M160" i="138"/>
  <c r="W159" i="138"/>
  <c r="V159" i="138"/>
  <c r="M159" i="138"/>
  <c r="W158" i="138"/>
  <c r="V158" i="138"/>
  <c r="M158" i="138"/>
  <c r="W157" i="138"/>
  <c r="V157" i="138"/>
  <c r="M157" i="138"/>
  <c r="W156" i="138"/>
  <c r="V156" i="138"/>
  <c r="M156" i="138"/>
  <c r="W155" i="138"/>
  <c r="V155" i="138"/>
  <c r="M155" i="138"/>
  <c r="W154" i="138"/>
  <c r="V154" i="138"/>
  <c r="M154" i="138"/>
  <c r="W153" i="138"/>
  <c r="V153" i="138"/>
  <c r="M153" i="138"/>
  <c r="W152" i="138"/>
  <c r="V152" i="138"/>
  <c r="M152" i="138"/>
  <c r="W151" i="138"/>
  <c r="V151" i="138"/>
  <c r="M151" i="138"/>
  <c r="W150" i="138"/>
  <c r="V150" i="138"/>
  <c r="M150" i="138"/>
  <c r="W149" i="138"/>
  <c r="V149" i="138"/>
  <c r="M149" i="138"/>
  <c r="W148" i="138"/>
  <c r="V148" i="138"/>
  <c r="M148" i="138"/>
  <c r="W147" i="138"/>
  <c r="V147" i="138"/>
  <c r="M147" i="138"/>
  <c r="W146" i="138"/>
  <c r="V146" i="138"/>
  <c r="M146" i="138"/>
  <c r="W145" i="138"/>
  <c r="V145" i="138"/>
  <c r="M145" i="138"/>
  <c r="W144" i="138"/>
  <c r="V144" i="138"/>
  <c r="M144" i="138"/>
  <c r="W143" i="138"/>
  <c r="V143" i="138"/>
  <c r="M143" i="138"/>
  <c r="W142" i="138"/>
  <c r="V142" i="138"/>
  <c r="M142" i="138"/>
  <c r="W141" i="138"/>
  <c r="V141" i="138"/>
  <c r="M141" i="138"/>
  <c r="W140" i="138"/>
  <c r="V140" i="138"/>
  <c r="M140" i="138"/>
  <c r="W139" i="138"/>
  <c r="V139" i="138"/>
  <c r="M139" i="138"/>
  <c r="W138" i="138"/>
  <c r="V138" i="138"/>
  <c r="M138" i="138"/>
  <c r="W137" i="138"/>
  <c r="V137" i="138"/>
  <c r="M137" i="138"/>
  <c r="W136" i="138"/>
  <c r="V136" i="138"/>
  <c r="M136" i="138"/>
  <c r="W135" i="138"/>
  <c r="V135" i="138"/>
  <c r="M135" i="138"/>
  <c r="W134" i="138"/>
  <c r="V134" i="138"/>
  <c r="M134" i="138"/>
  <c r="W133" i="138"/>
  <c r="V133" i="138"/>
  <c r="M133" i="138"/>
  <c r="W132" i="138"/>
  <c r="V132" i="138"/>
  <c r="M132" i="138"/>
  <c r="W131" i="138"/>
  <c r="V131" i="138"/>
  <c r="M131" i="138"/>
  <c r="W130" i="138"/>
  <c r="V130" i="138"/>
  <c r="M130" i="138"/>
  <c r="W129" i="138"/>
  <c r="V129" i="138"/>
  <c r="M129" i="138"/>
  <c r="W128" i="138"/>
  <c r="V128" i="138"/>
  <c r="M128" i="138"/>
  <c r="W127" i="138"/>
  <c r="V127" i="138"/>
  <c r="M127" i="138"/>
  <c r="W126" i="138"/>
  <c r="V126" i="138"/>
  <c r="M126" i="138"/>
  <c r="W125" i="138"/>
  <c r="V125" i="138"/>
  <c r="M125" i="138"/>
  <c r="W124" i="138"/>
  <c r="V124" i="138"/>
  <c r="M124" i="138"/>
  <c r="W123" i="138"/>
  <c r="V123" i="138"/>
  <c r="M123" i="138"/>
  <c r="W122" i="138"/>
  <c r="V122" i="138"/>
  <c r="M122" i="138"/>
  <c r="W121" i="138"/>
  <c r="V121" i="138"/>
  <c r="M121" i="138"/>
  <c r="W120" i="138"/>
  <c r="M120" i="138"/>
  <c r="W119" i="138"/>
  <c r="V119" i="138"/>
  <c r="M119" i="138"/>
  <c r="W118" i="138"/>
  <c r="V118" i="138"/>
  <c r="M118" i="138"/>
  <c r="W117" i="138"/>
  <c r="V117" i="138"/>
  <c r="M117" i="138"/>
  <c r="W116" i="138"/>
  <c r="V116" i="138"/>
  <c r="M116" i="138"/>
  <c r="W115" i="138"/>
  <c r="V115" i="138"/>
  <c r="M115" i="138"/>
  <c r="W114" i="138"/>
  <c r="V114" i="138"/>
  <c r="M114" i="138"/>
  <c r="W113" i="138"/>
  <c r="V113" i="138"/>
  <c r="M113" i="138"/>
  <c r="W112" i="138"/>
  <c r="V112" i="138"/>
  <c r="M112" i="138"/>
  <c r="W111" i="138"/>
  <c r="V111" i="138"/>
  <c r="M111" i="138"/>
  <c r="W110" i="138"/>
  <c r="V110" i="138"/>
  <c r="M110" i="138"/>
  <c r="W109" i="138"/>
  <c r="V109" i="138"/>
  <c r="M109" i="138"/>
  <c r="W108" i="138"/>
  <c r="V108" i="138"/>
  <c r="M108" i="138"/>
  <c r="W107" i="138"/>
  <c r="V107" i="138"/>
  <c r="M107" i="138"/>
  <c r="W106" i="138"/>
  <c r="V106" i="138"/>
  <c r="M106" i="138"/>
  <c r="W105" i="138"/>
  <c r="V105" i="138"/>
  <c r="M105" i="138"/>
  <c r="W104" i="138"/>
  <c r="V104" i="138"/>
  <c r="M104" i="138"/>
  <c r="W103" i="138"/>
  <c r="V103" i="138"/>
  <c r="M103" i="138"/>
  <c r="W102" i="138"/>
  <c r="V102" i="138"/>
  <c r="M102" i="138"/>
  <c r="W101" i="138"/>
  <c r="V101" i="138"/>
  <c r="M101" i="138"/>
  <c r="W100" i="138"/>
  <c r="V100" i="138"/>
  <c r="M100" i="138"/>
  <c r="W99" i="138"/>
  <c r="V99" i="138"/>
  <c r="M99" i="138"/>
  <c r="W98" i="138"/>
  <c r="V98" i="138"/>
  <c r="M98" i="138"/>
  <c r="W97" i="138"/>
  <c r="V97" i="138"/>
  <c r="M97" i="138"/>
  <c r="W96" i="138"/>
  <c r="V96" i="138"/>
  <c r="M96" i="138"/>
  <c r="W95" i="138"/>
  <c r="V95" i="138"/>
  <c r="M95" i="138"/>
  <c r="W94" i="138"/>
  <c r="V94" i="138"/>
  <c r="M94" i="138"/>
  <c r="W93" i="138"/>
  <c r="V93" i="138"/>
  <c r="M93" i="138"/>
  <c r="W92" i="138"/>
  <c r="V92" i="138"/>
  <c r="M92" i="138"/>
  <c r="W91" i="138"/>
  <c r="V91" i="138"/>
  <c r="M91" i="138"/>
  <c r="W90" i="138"/>
  <c r="V90" i="138"/>
  <c r="M90" i="138"/>
  <c r="W89" i="138"/>
  <c r="V89" i="138"/>
  <c r="M89" i="138"/>
  <c r="W88" i="138"/>
  <c r="V88" i="138"/>
  <c r="M88" i="138"/>
  <c r="W87" i="138"/>
  <c r="V87" i="138"/>
  <c r="M87" i="138"/>
  <c r="W86" i="138"/>
  <c r="V86" i="138"/>
  <c r="M86" i="138"/>
  <c r="W85" i="138"/>
  <c r="V85" i="138"/>
  <c r="M85" i="138"/>
  <c r="W84" i="138"/>
  <c r="V84" i="138"/>
  <c r="M84" i="138"/>
  <c r="W83" i="138"/>
  <c r="V83" i="138"/>
  <c r="M83" i="138"/>
  <c r="W82" i="138"/>
  <c r="V82" i="138"/>
  <c r="M82" i="138"/>
  <c r="W81" i="138"/>
  <c r="V81" i="138"/>
  <c r="M81" i="138"/>
  <c r="W80" i="138"/>
  <c r="V80" i="138"/>
  <c r="M80" i="138"/>
  <c r="W79" i="138"/>
  <c r="V79" i="138"/>
  <c r="M79" i="138"/>
  <c r="Y78" i="138"/>
  <c r="W78" i="138"/>
  <c r="V78" i="138"/>
  <c r="M78" i="138"/>
  <c r="Y77" i="138"/>
  <c r="X77" i="138"/>
  <c r="W77" i="138"/>
  <c r="V77" i="138"/>
  <c r="M77" i="138"/>
  <c r="Y76" i="138"/>
  <c r="W76" i="138"/>
  <c r="V76" i="138"/>
  <c r="M76" i="138"/>
  <c r="W75" i="138"/>
  <c r="V75" i="138"/>
  <c r="M75" i="138"/>
  <c r="W74" i="138"/>
  <c r="V74" i="138"/>
  <c r="M74" i="138"/>
  <c r="W73" i="138"/>
  <c r="V73" i="138"/>
  <c r="M73" i="138"/>
  <c r="W72" i="138"/>
  <c r="V72" i="138"/>
  <c r="M72" i="138"/>
  <c r="W71" i="138"/>
  <c r="V71" i="138"/>
  <c r="M71" i="138"/>
  <c r="W70" i="138"/>
  <c r="V70" i="138"/>
  <c r="M70" i="138"/>
  <c r="W69" i="138"/>
  <c r="V69" i="138"/>
  <c r="M69" i="138"/>
  <c r="W68" i="138"/>
  <c r="V68" i="138"/>
  <c r="M68" i="138"/>
  <c r="W67" i="138"/>
  <c r="V67" i="138"/>
  <c r="M67" i="138"/>
  <c r="W66" i="138"/>
  <c r="V66" i="138"/>
  <c r="M66" i="138"/>
  <c r="W65" i="138"/>
  <c r="V65" i="138"/>
  <c r="M65" i="138"/>
  <c r="W64" i="138"/>
  <c r="V64" i="138"/>
  <c r="M64" i="138"/>
  <c r="W63" i="138"/>
  <c r="V63" i="138"/>
  <c r="M63" i="138"/>
  <c r="W62" i="138"/>
  <c r="V62" i="138"/>
  <c r="M62" i="138"/>
  <c r="W61" i="138"/>
  <c r="V61" i="138"/>
  <c r="M61" i="138"/>
  <c r="W60" i="138"/>
  <c r="V60" i="138"/>
  <c r="M60" i="138"/>
  <c r="W59" i="138"/>
  <c r="V59" i="138"/>
  <c r="M59" i="138"/>
  <c r="W58" i="138"/>
  <c r="V58" i="138"/>
  <c r="M58" i="138"/>
  <c r="W57" i="138"/>
  <c r="V57" i="138"/>
  <c r="M57" i="138"/>
  <c r="W56" i="138"/>
  <c r="V56" i="138"/>
  <c r="M56" i="138"/>
  <c r="W55" i="138"/>
  <c r="V55" i="138"/>
  <c r="M55" i="138"/>
  <c r="W54" i="138"/>
  <c r="V54" i="138"/>
  <c r="M54" i="138"/>
  <c r="W33" i="138"/>
  <c r="W32" i="138"/>
  <c r="M32" i="138"/>
  <c r="W31" i="138"/>
  <c r="M31" i="138"/>
  <c r="W30" i="138"/>
  <c r="M30" i="138"/>
  <c r="W29" i="138"/>
  <c r="M29" i="138"/>
  <c r="W27" i="138"/>
  <c r="M27" i="138"/>
  <c r="W26" i="138"/>
  <c r="M26" i="138"/>
  <c r="W25" i="138"/>
  <c r="M25" i="138"/>
  <c r="W24" i="138"/>
  <c r="R24" i="138"/>
  <c r="W23" i="138"/>
  <c r="Q22" i="138"/>
  <c r="W21" i="138"/>
  <c r="Q21" i="138"/>
  <c r="Y227" i="138" s="1"/>
  <c r="Y229" i="138" s="1"/>
  <c r="Y231" i="138" s="1"/>
  <c r="Y20" i="138"/>
  <c r="W20" i="138"/>
  <c r="W19" i="138"/>
  <c r="Q19" i="138"/>
  <c r="W18" i="138"/>
  <c r="Q18" i="138"/>
  <c r="W17" i="138"/>
  <c r="Q17" i="138"/>
  <c r="W16" i="138"/>
  <c r="Q16" i="138"/>
  <c r="W15" i="138"/>
  <c r="Q15" i="138"/>
  <c r="W14" i="138"/>
  <c r="Q14" i="138"/>
  <c r="Q217" i="138" s="1"/>
  <c r="E33" i="134" s="1"/>
  <c r="W13" i="138"/>
  <c r="W12" i="138"/>
  <c r="Q12" i="138"/>
  <c r="W10" i="138"/>
  <c r="M10" i="138"/>
  <c r="W9" i="138"/>
  <c r="M9" i="138"/>
  <c r="W8" i="138"/>
  <c r="C32" i="156"/>
  <c r="C31" i="156"/>
  <c r="G29" i="156"/>
  <c r="J28" i="156"/>
  <c r="C28" i="156"/>
  <c r="J27" i="156"/>
  <c r="I27" i="156"/>
  <c r="H27" i="156"/>
  <c r="G27" i="156"/>
  <c r="C27" i="156" s="1"/>
  <c r="G26" i="156"/>
  <c r="C26" i="156" s="1"/>
  <c r="G25" i="156"/>
  <c r="C25" i="156" s="1"/>
  <c r="G24" i="156"/>
  <c r="C24" i="156" s="1"/>
  <c r="C20" i="156"/>
  <c r="J17" i="156"/>
  <c r="I17" i="156"/>
  <c r="H17" i="156"/>
  <c r="G17" i="156"/>
  <c r="C17" i="156" s="1"/>
  <c r="G16" i="156"/>
  <c r="C16" i="156"/>
  <c r="J15" i="156"/>
  <c r="I15" i="156"/>
  <c r="C15" i="156"/>
  <c r="J14" i="156"/>
  <c r="I14" i="156"/>
  <c r="H14" i="156"/>
  <c r="C14" i="156" s="1"/>
  <c r="G14" i="156"/>
  <c r="J13" i="156"/>
  <c r="I13" i="156"/>
  <c r="H13" i="156"/>
  <c r="G13" i="156"/>
  <c r="C13" i="156" s="1"/>
  <c r="H12" i="156"/>
  <c r="C12" i="156" s="1"/>
  <c r="G12" i="156"/>
  <c r="J11" i="156"/>
  <c r="I11" i="156"/>
  <c r="H11" i="156"/>
  <c r="G11" i="156"/>
  <c r="C11" i="156"/>
  <c r="J10" i="156"/>
  <c r="I10" i="156"/>
  <c r="H10" i="156"/>
  <c r="G10" i="156"/>
  <c r="C10" i="156"/>
  <c r="K49" i="134"/>
  <c r="I48" i="134"/>
  <c r="K47" i="134"/>
  <c r="H39" i="134"/>
  <c r="I37" i="134"/>
  <c r="E37" i="134"/>
  <c r="J34" i="134"/>
  <c r="E32" i="134"/>
  <c r="J31" i="134"/>
  <c r="E30" i="134"/>
  <c r="J29" i="134"/>
  <c r="E29" i="134"/>
  <c r="E27" i="134"/>
  <c r="H25" i="134"/>
  <c r="E22" i="134"/>
  <c r="P55" i="147" s="1"/>
  <c r="D21" i="134"/>
  <c r="D20" i="134"/>
  <c r="E18" i="134"/>
  <c r="J17" i="134"/>
  <c r="J18" i="134" s="1"/>
  <c r="E13" i="134"/>
  <c r="E12" i="134"/>
  <c r="C28" i="149"/>
  <c r="C34" i="149" s="1"/>
  <c r="C26" i="149"/>
  <c r="C21" i="149"/>
  <c r="C16" i="149"/>
  <c r="C15" i="149"/>
  <c r="C14" i="149"/>
  <c r="C13" i="149"/>
  <c r="C12" i="149"/>
  <c r="C10" i="149"/>
  <c r="C9" i="149"/>
  <c r="C11" i="146" l="1"/>
  <c r="I29" i="156"/>
  <c r="E7" i="146"/>
  <c r="H7" i="146"/>
  <c r="H11" i="146" s="1"/>
  <c r="G7" i="146"/>
  <c r="F7" i="146"/>
  <c r="E38" i="134"/>
  <c r="C22" i="156"/>
  <c r="D33" i="156"/>
  <c r="N8" i="137"/>
  <c r="M8" i="137"/>
  <c r="L8" i="137"/>
  <c r="K8" i="146"/>
  <c r="H8" i="146"/>
  <c r="H29" i="156"/>
  <c r="V8" i="137"/>
  <c r="V10" i="137"/>
  <c r="Z16" i="137" s="1"/>
  <c r="AC31" i="137" s="1"/>
  <c r="D6" i="146"/>
  <c r="D11" i="146" s="1"/>
  <c r="E43" i="134"/>
  <c r="C71" i="137"/>
  <c r="C75" i="137" s="1"/>
  <c r="J29" i="156"/>
  <c r="F26" i="149"/>
  <c r="D22" i="137" s="1"/>
  <c r="D67" i="137" s="1"/>
  <c r="V9" i="137"/>
  <c r="Z13" i="137" s="1"/>
  <c r="AC29" i="137" s="1"/>
  <c r="AC34" i="137" s="1"/>
  <c r="C16" i="137"/>
  <c r="E8" i="137" s="1"/>
  <c r="S29" i="156" l="1"/>
  <c r="E67" i="137"/>
  <c r="E77" i="137"/>
  <c r="C29" i="156"/>
  <c r="E28" i="156" s="1"/>
  <c r="H8" i="137"/>
  <c r="F8" i="137"/>
  <c r="G8" i="137"/>
  <c r="M17" i="137" s="1"/>
  <c r="S17" i="137" s="1"/>
  <c r="W17" i="137"/>
  <c r="V16" i="137"/>
  <c r="W18" i="137" s="1"/>
  <c r="Z12" i="137"/>
  <c r="Z19" i="137" s="1"/>
  <c r="W30" i="137"/>
  <c r="E22" i="137"/>
  <c r="E33" i="156"/>
  <c r="E11" i="146"/>
  <c r="I7" i="146"/>
  <c r="C35" i="156" l="1"/>
  <c r="H40" i="134" s="1"/>
  <c r="H43" i="134" s="1"/>
  <c r="I44" i="134" s="1"/>
  <c r="X18" i="137"/>
  <c r="X17" i="137"/>
  <c r="X19" i="137"/>
  <c r="I47" i="134"/>
  <c r="H22" i="137"/>
  <c r="G22" i="137"/>
  <c r="G31" i="137" s="1"/>
  <c r="M31" i="137" s="1"/>
  <c r="S31" i="137" s="1"/>
  <c r="G44" i="137" s="1"/>
  <c r="M44" i="137" s="1"/>
  <c r="S44" i="137" s="1"/>
  <c r="G58" i="137" s="1"/>
  <c r="M58" i="137" s="1"/>
  <c r="S58" i="137" s="1"/>
  <c r="F22" i="137"/>
  <c r="W32" i="137"/>
  <c r="X32" i="137" s="1"/>
  <c r="I43" i="134"/>
  <c r="J41" i="134"/>
  <c r="Y18" i="137"/>
  <c r="L17" i="137"/>
  <c r="R17" i="137" s="1"/>
  <c r="W31" i="137"/>
  <c r="AA18" i="137"/>
  <c r="H67" i="137"/>
  <c r="H12" i="134" s="1"/>
  <c r="G67" i="137"/>
  <c r="H11" i="134" s="1"/>
  <c r="F67" i="137"/>
  <c r="F31" i="137" l="1"/>
  <c r="L31" i="137" s="1"/>
  <c r="R31" i="137" s="1"/>
  <c r="F44" i="137" s="1"/>
  <c r="L44" i="137" s="1"/>
  <c r="R44" i="137" s="1"/>
  <c r="F58" i="137" s="1"/>
  <c r="L58" i="137" s="1"/>
  <c r="R58" i="137" s="1"/>
  <c r="X31" i="137"/>
  <c r="X33" i="137"/>
  <c r="K44" i="134"/>
  <c r="K48" i="134"/>
  <c r="J47" i="134"/>
  <c r="H10" i="134"/>
  <c r="H13" i="134" s="1"/>
  <c r="J68" i="137"/>
  <c r="AA19" i="137"/>
  <c r="AB21" i="137"/>
  <c r="AA22" i="137" l="1"/>
  <c r="AA21" i="137"/>
  <c r="AB20" i="137"/>
  <c r="AA20" i="137"/>
</calcChain>
</file>

<file path=xl/sharedStrings.xml><?xml version="1.0" encoding="utf-8"?>
<sst xmlns="http://schemas.openxmlformats.org/spreadsheetml/2006/main" count="2108" uniqueCount="1186">
  <si>
    <t>BADAN USAHA MILIK DESA BUMDesa SEJAHTERA</t>
  </si>
  <si>
    <t>NERACA BUMDESA</t>
  </si>
  <si>
    <t>TANGGAL, 30 APRIL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</si>
  <si>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</si>
  <si>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</si>
  <si>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</si>
  <si>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</si>
  <si>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</si>
  <si>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</si>
  <si>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</si>
  <si>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</si>
  <si>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</si>
  <si>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</si>
  <si>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</si>
  <si>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</si>
  <si>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</si>
  <si>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</si>
  <si>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</si>
  <si>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</si>
  <si>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</si>
  <si>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</si>
  <si>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</si>
  <si>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</si>
  <si>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</si>
  <si>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</si>
  <si>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</si>
  <si>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</si>
  <si>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</si>
  <si>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</si>
  <si>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</si>
  <si>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</si>
  <si>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</si>
  <si>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</si>
  <si>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</si>
  <si>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</si>
  <si>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</si>
  <si>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</si>
  <si>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</si>
  <si>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</si>
  <si>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</si>
  <si>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</si>
  <si>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</si>
  <si>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</si>
  <si>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</si>
  <si>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</si>
  <si>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</si>
  <si>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</si>
  <si>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</si>
  <si>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</si>
  <si>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</si>
  <si>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</si>
  <si>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</si>
  <si>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</si>
  <si>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</si>
  <si>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</si>
  <si>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</si>
  <si>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</si>
  <si>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</si>
  <si>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</si>
  <si>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</si>
  <si>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</si>
  <si>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</si>
  <si>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</si>
  <si>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</si>
  <si>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</si>
  <si>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</si>
  <si>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</si>
  <si>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</si>
  <si>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</si>
  <si>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</si>
  <si>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</si>
  <si>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</si>
  <si>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</si>
  <si>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</si>
  <si>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</si>
  <si>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</si>
  <si>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</si>
  <si>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</si>
  <si>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</si>
  <si>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</si>
  <si>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</si>
  <si>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</si>
  <si>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</si>
  <si>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</si>
  <si>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</si>
  <si>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</si>
  <si>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</si>
  <si>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</si>
  <si>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</si>
  <si>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</si>
  <si>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</si>
  <si>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</si>
  <si>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</si>
  <si>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</si>
  <si>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</si>
  <si>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</si>
  <si>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</si>
  <si>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Ketahanan Pangan 2025</t>
  </si>
  <si>
    <t>3.2.10</t>
  </si>
  <si>
    <t>Ketahanan Pangan 2026</t>
  </si>
  <si>
    <t>1.4.10</t>
  </si>
  <si>
    <t>Piutang Sementara</t>
  </si>
  <si>
    <t>3.2.11</t>
  </si>
  <si>
    <t>Dari Kemendes 2023</t>
  </si>
  <si>
    <t>3.2.12</t>
  </si>
  <si>
    <t>Tabungan Masyarakat</t>
  </si>
  <si>
    <t>3.2.13</t>
  </si>
  <si>
    <t>Surplus ditahan</t>
  </si>
  <si>
    <t>3.2.14</t>
  </si>
  <si>
    <t>Surplus berjalan</t>
  </si>
  <si>
    <t>TOTAL AKTIVA</t>
  </si>
  <si>
    <t>JUMLAH</t>
  </si>
  <si>
    <t>Batupute, 30 APRIL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</si>
  <si>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</si>
  <si>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</si>
  <si>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</si>
  <si>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</si>
  <si>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</si>
  <si>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</si>
  <si>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</si>
  <si>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APRIL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</si>
  <si>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</si>
  <si>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</si>
  <si>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</si>
  <si>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</si>
  <si>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</si>
  <si>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</si>
  <si>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</si>
  <si>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</si>
  <si>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</si>
  <si>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</si>
  <si>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</si>
  <si>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</si>
  <si>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</si>
  <si>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</si>
  <si>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</si>
  <si>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</si>
  <si>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</si>
  <si>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</si>
  <si>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</si>
  <si>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</si>
  <si>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</si>
  <si>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</si>
  <si>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</si>
  <si>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</si>
  <si>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</si>
  <si>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</si>
  <si>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</si>
  <si>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</si>
  <si>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</si>
  <si>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</si>
  <si>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</si>
  <si>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</si>
  <si>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</si>
  <si>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</si>
  <si>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</si>
  <si>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</si>
  <si>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</si>
  <si>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</si>
  <si>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</si>
  <si>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</si>
  <si>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</si>
  <si>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</si>
  <si>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</si>
  <si>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Kegiatan Sosial</t>
  </si>
  <si>
    <t>5.1.6</t>
  </si>
  <si>
    <t>Beban Penyusutan</t>
  </si>
  <si>
    <t>6.</t>
  </si>
  <si>
    <t>Biaya  OPS</t>
  </si>
  <si>
    <t>6.1.1</t>
  </si>
  <si>
    <t>Pajak</t>
  </si>
  <si>
    <t>6.1.2</t>
  </si>
  <si>
    <t>Tunjangan Kerja</t>
  </si>
  <si>
    <t>Biaya Lain-Lain</t>
  </si>
  <si>
    <t>7.1</t>
  </si>
  <si>
    <t>Studi Banding</t>
  </si>
  <si>
    <t>LABA BERSIH BUMDes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</si>
  <si>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</si>
  <si>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</si>
  <si>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</si>
  <si>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</si>
  <si>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</si>
  <si>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</si>
  <si>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</si>
  <si>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</si>
  <si>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</si>
  <si>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</si>
  <si>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</si>
  <si>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</si>
  <si>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</si>
  <si>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</si>
  <si>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</si>
  <si>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</si>
  <si>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</si>
  <si>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</si>
  <si>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</si>
  <si>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</si>
  <si>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</si>
  <si>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Kegiatan Sosial ( Safari Ramadhan )</t>
  </si>
  <si>
    <t>5.1.7</t>
  </si>
  <si>
    <t>Pajak Penghasilan</t>
  </si>
  <si>
    <t>Bayar Gas Hilang</t>
  </si>
  <si>
    <t>KAS HARIAN BULAN APRIL 2026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</si>
  <si>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</si>
  <si>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</si>
  <si>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</si>
  <si>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</si>
  <si>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</si>
  <si>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</si>
  <si>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</si>
  <si>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</si>
  <si>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</si>
  <si>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</si>
  <si>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</si>
  <si>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</si>
  <si>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</si>
  <si>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</si>
  <si>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</si>
  <si>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</si>
  <si>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</si>
  <si>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</si>
  <si>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</si>
  <si>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</si>
  <si>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1-03-2026</t>
  </si>
  <si>
    <t>SALDO AKHIR BULAN FEBRUARI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</si>
  <si>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</si>
  <si>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</si>
  <si>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</si>
  <si>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</si>
  <si>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</si>
  <si>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</si>
  <si>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</si>
  <si>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</si>
  <si>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</si>
  <si>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</si>
  <si>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</si>
  <si>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</si>
  <si>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</si>
  <si>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</si>
  <si>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</si>
  <si>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TAHAP KEDUA LOMPO E TAHAP KEDUA</t>
  </si>
  <si>
    <t>Tambahan Pestisida</t>
  </si>
  <si>
    <t>Besi polos 25x12 10 btg</t>
  </si>
  <si>
    <t>Piutang Sementara baju</t>
  </si>
  <si>
    <t>Hilang materai</t>
  </si>
  <si>
    <t>Piutang Irma alisa</t>
  </si>
  <si>
    <t>uang baju</t>
  </si>
  <si>
    <t>tabungan bumdes</t>
  </si>
  <si>
    <t>Koperasi Merah putih</t>
  </si>
  <si>
    <t>BelI mesin potong rumput + GAS BAPAK PUTRI</t>
  </si>
  <si>
    <t>Talangan tukang</t>
  </si>
  <si>
    <t>Panjar pak malik</t>
  </si>
  <si>
    <t>Piutang sementara wawan gaji tukang</t>
  </si>
  <si>
    <t>Talangan pak desa</t>
  </si>
  <si>
    <t>Bidan mita</t>
  </si>
  <si>
    <t>Pengeluaran LPJ 2025</t>
  </si>
  <si>
    <t>Uang transport 2 kali ke makassar toko bengkel</t>
  </si>
  <si>
    <t>Mantanaince Molen</t>
  </si>
  <si>
    <t>Talangan desa di amel</t>
  </si>
  <si>
    <t>uci di amel</t>
  </si>
  <si>
    <t>Transport kemakassar untuk toko bengkel</t>
  </si>
  <si>
    <t>Pengeluaran Bank sampah</t>
  </si>
  <si>
    <t>transport pak desa menghadiri acara desa briliank dimks</t>
  </si>
  <si>
    <t>Pinjaman sementara ippang</t>
  </si>
  <si>
    <t>ria di amel</t>
  </si>
  <si>
    <t>Ebit Kurniawan</t>
  </si>
  <si>
    <t>Ebit Kurniawan di amel</t>
  </si>
  <si>
    <t>Kak inang</t>
  </si>
  <si>
    <t>kak ria di amel</t>
  </si>
  <si>
    <t>kak lina di amel</t>
  </si>
  <si>
    <t>irma</t>
  </si>
  <si>
    <t>Mantanaince Molen gommo</t>
  </si>
  <si>
    <t>2-4-2026</t>
  </si>
  <si>
    <t>Yusnita</t>
  </si>
  <si>
    <t>Heriani</t>
  </si>
  <si>
    <t>Ria</t>
  </si>
  <si>
    <t>Herawati</t>
  </si>
  <si>
    <t>Hasaruddin</t>
  </si>
  <si>
    <t>Arisman</t>
  </si>
  <si>
    <t>3-4-2026</t>
  </si>
  <si>
    <t>Solar untuk musim gaduh</t>
  </si>
  <si>
    <t>5-4-2026</t>
  </si>
  <si>
    <t>6-4-2026</t>
  </si>
  <si>
    <t>Jaharuddin</t>
  </si>
  <si>
    <t>Bayar pinjaman sementara fatmawati</t>
  </si>
  <si>
    <t>8-4-2026</t>
  </si>
  <si>
    <t>Saharuddin</t>
  </si>
  <si>
    <t>Wawan darmawan</t>
  </si>
  <si>
    <t>Beli mesin untuk bor air</t>
  </si>
  <si>
    <t>talangan uang makan</t>
  </si>
  <si>
    <t>Talangan posyandu mawar putih 1</t>
  </si>
  <si>
    <t>wifi kantor</t>
  </si>
  <si>
    <t>kak lina kue untuk tamu (kaur umum )</t>
  </si>
  <si>
    <t>Kak inang spanduk hari jadi</t>
  </si>
  <si>
    <t>9-4-2026</t>
  </si>
  <si>
    <t>Konsumsi rapat internal pemeringkatan</t>
  </si>
  <si>
    <t>10-4-2026</t>
  </si>
  <si>
    <t>Haslinda</t>
  </si>
  <si>
    <t>Muh. Nawir</t>
  </si>
  <si>
    <t>Muh. kurniawan</t>
  </si>
  <si>
    <t>13-4-2026</t>
  </si>
  <si>
    <t>Hj Hasna</t>
  </si>
  <si>
    <t>Sa'nang</t>
  </si>
  <si>
    <t>Darsiah</t>
  </si>
  <si>
    <t>Indah</t>
  </si>
  <si>
    <t>M. tang</t>
  </si>
  <si>
    <t>Yuliana</t>
  </si>
  <si>
    <t>Transport ambil uang tunai</t>
  </si>
  <si>
    <t>15-4-2026</t>
  </si>
  <si>
    <t>Beli materai untuk MOU petani</t>
  </si>
  <si>
    <t>Muh. Saing</t>
  </si>
  <si>
    <t>Motor muh. saing</t>
  </si>
  <si>
    <t>ATK</t>
  </si>
  <si>
    <t>Hj. muli</t>
  </si>
  <si>
    <t>debby</t>
  </si>
  <si>
    <t>sakriani</t>
  </si>
  <si>
    <t>Hasnawati</t>
  </si>
  <si>
    <t>Indah purnamasari</t>
  </si>
  <si>
    <t>16-4-2026</t>
  </si>
  <si>
    <t>17-4-2026</t>
  </si>
  <si>
    <t>18-4-2026</t>
  </si>
  <si>
    <t>19-4-2026</t>
  </si>
  <si>
    <t>20-4-2026</t>
  </si>
  <si>
    <t>Suci febrianti</t>
  </si>
  <si>
    <t>Apandi</t>
  </si>
  <si>
    <t>Nurmiah</t>
  </si>
  <si>
    <t>M.yusuf</t>
  </si>
  <si>
    <t>gas elpiji untuk galung jampu</t>
  </si>
  <si>
    <t xml:space="preserve">ongkos angkat mesin bor </t>
  </si>
  <si>
    <t>Pemasangan bor air</t>
  </si>
  <si>
    <t>21-4-2026</t>
  </si>
  <si>
    <t>22-4-2026</t>
  </si>
  <si>
    <t>23-4-2026</t>
  </si>
  <si>
    <t>24-4-2026</t>
  </si>
  <si>
    <t>Umar</t>
  </si>
  <si>
    <t>25-4-2026</t>
  </si>
  <si>
    <t>26-4-2026</t>
  </si>
  <si>
    <t>Ridayana</t>
  </si>
  <si>
    <t>Arifin 2</t>
  </si>
  <si>
    <t>27-4-2026</t>
  </si>
  <si>
    <t>Sewa molen</t>
  </si>
  <si>
    <t>Irma</t>
  </si>
  <si>
    <t>Sida</t>
  </si>
  <si>
    <t>Jayanti</t>
  </si>
  <si>
    <t>Talangan pembayaran tanah kopdes</t>
  </si>
  <si>
    <t>Direktur</t>
  </si>
  <si>
    <t>28-4-2026</t>
  </si>
  <si>
    <t>Muh nawir</t>
  </si>
  <si>
    <t>Muh tang</t>
  </si>
  <si>
    <t>Farida</t>
  </si>
  <si>
    <t>Hj rosnaeni</t>
  </si>
  <si>
    <t>transport untuk surat solar</t>
  </si>
  <si>
    <t>Talangan sewa mobil wawan</t>
  </si>
  <si>
    <t>beli solar lompo e</t>
  </si>
  <si>
    <t>gas lompo e</t>
  </si>
  <si>
    <t>biaya buat bendungan di lompo e</t>
  </si>
  <si>
    <t>Syahriani</t>
  </si>
  <si>
    <t>Nurlina</t>
  </si>
  <si>
    <t>Etta lina</t>
  </si>
  <si>
    <t>Riska</t>
  </si>
  <si>
    <t>Risna</t>
  </si>
  <si>
    <t xml:space="preserve">Haseng </t>
  </si>
  <si>
    <t>Hardiyanzah</t>
  </si>
  <si>
    <t>30-4-2026</t>
  </si>
  <si>
    <t>Sakriani</t>
  </si>
  <si>
    <t>Ariyanto</t>
  </si>
  <si>
    <t>Hj ira</t>
  </si>
  <si>
    <t>Hj ira indira</t>
  </si>
  <si>
    <t>Muhammad Nur</t>
  </si>
  <si>
    <t>Safari ramadhan</t>
  </si>
  <si>
    <t>Nurdaliah</t>
  </si>
  <si>
    <t>Amiruddin</t>
  </si>
  <si>
    <t>Suriani</t>
  </si>
  <si>
    <t>M. Irwan</t>
  </si>
  <si>
    <t>Irma alisa</t>
  </si>
  <si>
    <t>Sofyan</t>
  </si>
  <si>
    <t>Gaji pegawai</t>
  </si>
  <si>
    <t>Fatmawati</t>
  </si>
  <si>
    <t>Amelia</t>
  </si>
  <si>
    <t>Fitriani</t>
  </si>
  <si>
    <t>Idawati</t>
  </si>
  <si>
    <t>Taharuddin</t>
  </si>
  <si>
    <t>Hasniati</t>
  </si>
  <si>
    <t>Verawati</t>
  </si>
  <si>
    <t>Fitra</t>
  </si>
  <si>
    <t>Toko bengkel</t>
  </si>
  <si>
    <t>Keuntungan brilink</t>
  </si>
  <si>
    <t>feebank</t>
  </si>
  <si>
    <t>Karmila</t>
  </si>
  <si>
    <t>Yatti</t>
  </si>
  <si>
    <t>Hj. hamdana</t>
  </si>
  <si>
    <t>Nunu</t>
  </si>
  <si>
    <t>beli air gelas dikantor desa</t>
  </si>
  <si>
    <t>Nurul azmi</t>
  </si>
  <si>
    <t>Ameliah</t>
  </si>
  <si>
    <t>Dewi</t>
  </si>
  <si>
    <t>Wahida</t>
  </si>
  <si>
    <t xml:space="preserve">Rusli </t>
  </si>
  <si>
    <t>Nurfaidah</t>
  </si>
  <si>
    <t>M.akil</t>
  </si>
  <si>
    <t>Rahman</t>
  </si>
  <si>
    <t>Fitriani A</t>
  </si>
  <si>
    <t>Wellu</t>
  </si>
  <si>
    <t>Ramlah</t>
  </si>
  <si>
    <t>Hamdia</t>
  </si>
  <si>
    <t>Surianto</t>
  </si>
  <si>
    <t>Ancu</t>
  </si>
  <si>
    <t>Keuntungan gas LPG</t>
  </si>
  <si>
    <t>Tunjangan kerja</t>
  </si>
  <si>
    <t>Naharuddin</t>
  </si>
  <si>
    <t>Labeddu</t>
  </si>
  <si>
    <t>Diana</t>
  </si>
  <si>
    <t>Satria sinring</t>
  </si>
  <si>
    <t>St. masitoh</t>
  </si>
  <si>
    <t>Hj. rosniah</t>
  </si>
  <si>
    <t>Nurjanna</t>
  </si>
  <si>
    <t>Hj. hasna</t>
  </si>
  <si>
    <t>Fatimah haji</t>
  </si>
  <si>
    <t>Nahira</t>
  </si>
  <si>
    <t>Ratnawati (pokok)</t>
  </si>
  <si>
    <t>A. yuliah</t>
  </si>
  <si>
    <t>Pencairan Suci febrianti</t>
  </si>
  <si>
    <t>Nuryadin jafar</t>
  </si>
  <si>
    <t>Bahar</t>
  </si>
  <si>
    <t>Hj. hasrianti</t>
  </si>
  <si>
    <t>Mariani</t>
  </si>
  <si>
    <t>Biaya service printer (1-4-2026) kaur umum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</si>
  <si>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</si>
  <si>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</si>
  <si>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</si>
  <si>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</si>
  <si>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</si>
  <si>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</si>
  <si>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</si>
  <si>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</si>
  <si>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</si>
  <si>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</si>
  <si>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</si>
  <si>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 30 APRIL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</si>
  <si>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</si>
  <si>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</si>
  <si>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</si>
  <si>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</si>
  <si>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</si>
  <si>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</si>
  <si>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</si>
  <si>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</si>
  <si>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</si>
  <si>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</si>
  <si>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</si>
  <si>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</si>
  <si>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</si>
  <si>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</si>
  <si>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</si>
  <si>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Satria Sinring</t>
  </si>
  <si>
    <t>ST.Hasnah</t>
  </si>
  <si>
    <t>Sukmawati</t>
  </si>
  <si>
    <t>Hj.Nadira</t>
  </si>
  <si>
    <t>sdh bulan 4</t>
  </si>
  <si>
    <t>Indra Umi Rulianti</t>
  </si>
  <si>
    <t>Tumina</t>
  </si>
  <si>
    <t>stop bagi hasil</t>
  </si>
  <si>
    <t>Ratna S</t>
  </si>
  <si>
    <t>Fadillah</t>
  </si>
  <si>
    <t>Nurhayati Bahtiar</t>
  </si>
  <si>
    <t>Wahidah</t>
  </si>
  <si>
    <t>Sakka Batupute</t>
  </si>
  <si>
    <t>stp bagi hasil</t>
  </si>
  <si>
    <t>Aisyah</t>
  </si>
  <si>
    <t>15-07-2020</t>
  </si>
  <si>
    <t>A.Haerul</t>
  </si>
  <si>
    <t>22-10-2020</t>
  </si>
  <si>
    <t>usman</t>
  </si>
  <si>
    <t>11-01-2022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</si>
  <si>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</si>
  <si>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</si>
  <si>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</si>
  <si>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</si>
  <si>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</si>
  <si>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</si>
  <si>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</si>
  <si>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</si>
  <si>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</si>
  <si>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</si>
  <si>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</si>
  <si>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</si>
  <si>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</si>
  <si>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</si>
  <si>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Hj Rosniah</t>
  </si>
  <si>
    <t>stp sementara</t>
  </si>
  <si>
    <t>Iraja</t>
  </si>
  <si>
    <t>25-11-2022</t>
  </si>
  <si>
    <t>26-11-2022</t>
  </si>
  <si>
    <t>Suci Febrianti</t>
  </si>
  <si>
    <t>30-11-2022</t>
  </si>
  <si>
    <t>Roslaelah Damis</t>
  </si>
  <si>
    <t>03-12-2022</t>
  </si>
  <si>
    <t>Zulfikar</t>
  </si>
  <si>
    <t>06-12-2022</t>
  </si>
  <si>
    <t>Baharuddin</t>
  </si>
  <si>
    <t>07-12-2022</t>
  </si>
  <si>
    <t>I BAJI</t>
  </si>
  <si>
    <t>08-02-2023</t>
  </si>
  <si>
    <t>RAMLAH</t>
  </si>
  <si>
    <t>SURIANI</t>
  </si>
  <si>
    <t>MARIANI</t>
  </si>
  <si>
    <t>DASWATI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</si>
  <si>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</si>
  <si>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</si>
  <si>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</si>
  <si>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</si>
  <si>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</si>
  <si>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</si>
  <si>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</si>
  <si>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</si>
  <si>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</si>
  <si>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</si>
  <si>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</si>
  <si>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</si>
  <si>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</si>
  <si>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</si>
  <si>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</si>
  <si>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</si>
  <si>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</si>
  <si>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</si>
  <si>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</si>
  <si>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</si>
  <si>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</si>
  <si>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</si>
  <si>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</si>
  <si>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</si>
  <si>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</si>
  <si>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</si>
  <si>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</si>
  <si>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</si>
  <si>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</si>
  <si>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</si>
  <si>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</si>
  <si>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</si>
  <si>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</si>
  <si>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</si>
  <si>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</si>
  <si>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</si>
  <si>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</si>
  <si>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Mustika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</si>
  <si>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</si>
  <si>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</si>
  <si>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</si>
  <si>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</si>
  <si>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</si>
  <si>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</si>
  <si>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</si>
  <si>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</si>
  <si>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</si>
  <si>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</si>
  <si>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</si>
  <si>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Bustaman</t>
  </si>
  <si>
    <t>31-01-2024</t>
  </si>
  <si>
    <t>Nuryadin Jafar</t>
  </si>
  <si>
    <t>02-02-2024</t>
  </si>
  <si>
    <t>Faizal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</si>
  <si>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</si>
  <si>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</si>
  <si>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</si>
  <si>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</si>
  <si>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</si>
  <si>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</si>
  <si>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</si>
  <si>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</si>
  <si>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</si>
  <si>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</si>
  <si>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</si>
  <si>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</si>
  <si>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</si>
  <si>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</si>
  <si>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</si>
  <si>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</si>
  <si>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</si>
  <si>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</si>
  <si>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</si>
  <si>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</si>
  <si>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</si>
  <si>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</si>
  <si>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</si>
  <si>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</si>
  <si>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</si>
  <si>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</si>
  <si>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</si>
  <si>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</si>
  <si>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</si>
  <si>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</si>
  <si>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</si>
  <si>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</si>
  <si>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</si>
  <si>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</si>
  <si>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</si>
  <si>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</si>
  <si>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</si>
  <si>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Abd. Hannan</t>
  </si>
  <si>
    <t>16-4-2025</t>
  </si>
  <si>
    <t>Indah Purnamasari</t>
  </si>
  <si>
    <t>22-7-2025</t>
  </si>
  <si>
    <t>Fitriani Ujunge</t>
  </si>
  <si>
    <t>8-10-2025</t>
  </si>
  <si>
    <t>Hasanuddin</t>
  </si>
  <si>
    <t>10-11-2025</t>
  </si>
  <si>
    <t>Abd. Malik</t>
  </si>
  <si>
    <t>12-11-2025</t>
  </si>
  <si>
    <t>13-11-2025</t>
  </si>
  <si>
    <t>Hj. Rusnaeni</t>
  </si>
  <si>
    <t>20-11-2025</t>
  </si>
  <si>
    <t>Alipuddin</t>
  </si>
  <si>
    <t>19-1-2026</t>
  </si>
  <si>
    <t>Ardiansyah</t>
  </si>
  <si>
    <t>26-1-2026</t>
  </si>
  <si>
    <t>27-2-2026</t>
  </si>
  <si>
    <t>19-3-2026</t>
  </si>
  <si>
    <t>Umiarti</t>
  </si>
  <si>
    <t>Kusmala Dewi</t>
  </si>
  <si>
    <t>Rohani Salam</t>
  </si>
  <si>
    <t>Nasrul Suwandi</t>
  </si>
  <si>
    <t>Syahrir</t>
  </si>
  <si>
    <t>Rusmi</t>
  </si>
  <si>
    <t>Nurhayati Bale</t>
  </si>
  <si>
    <t>Hardiana</t>
  </si>
  <si>
    <t>Muhtar</t>
  </si>
  <si>
    <t>Nurdia</t>
  </si>
  <si>
    <t>17-11-2019</t>
  </si>
  <si>
    <t>Ratnawati</t>
  </si>
  <si>
    <t>DARMAWATI</t>
  </si>
  <si>
    <t>Mahrang</t>
  </si>
  <si>
    <t>Mariati Alimin</t>
  </si>
  <si>
    <t>H.Taha</t>
  </si>
  <si>
    <t>Rosmah</t>
  </si>
  <si>
    <t>Fatimah B</t>
  </si>
  <si>
    <t>Rusmiati</t>
  </si>
  <si>
    <t>31-01-2019</t>
  </si>
  <si>
    <t>Akriani Hakim</t>
  </si>
  <si>
    <t>Ariyanin Arifin</t>
  </si>
  <si>
    <t>Madong</t>
  </si>
  <si>
    <t>13-09-2020</t>
  </si>
  <si>
    <t>Busman</t>
  </si>
  <si>
    <t>Sennang</t>
  </si>
  <si>
    <t>12-10-2020</t>
  </si>
  <si>
    <t>Lis Sugiarti</t>
  </si>
  <si>
    <t>FITRIYANI/ANDIK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</si>
  <si>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</si>
  <si>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</si>
  <si>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</si>
  <si>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</si>
  <si>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</si>
  <si>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</si>
  <si>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</si>
  <si>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</si>
  <si>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</si>
  <si>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</si>
  <si>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</si>
  <si>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</si>
  <si>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</si>
  <si>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</si>
  <si>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</si>
  <si>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</si>
  <si>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</si>
  <si>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</si>
  <si>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APRIL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</si>
  <si>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</si>
  <si>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</si>
  <si>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</si>
  <si>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</si>
  <si>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</si>
  <si>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</si>
  <si>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</si>
  <si>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</si>
  <si>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</si>
  <si>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</si>
  <si>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</si>
  <si>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</si>
  <si>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</si>
  <si>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</si>
  <si>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</si>
  <si>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</si>
  <si>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</si>
  <si>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</si>
  <si>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</si>
  <si>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</si>
  <si>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</si>
  <si>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</si>
  <si>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</si>
  <si>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</si>
  <si>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</si>
  <si>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</si>
  <si>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</si>
  <si>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</si>
  <si>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</si>
  <si>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</si>
  <si>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</si>
  <si>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</si>
  <si>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</si>
  <si>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</si>
  <si>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</si>
  <si>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</si>
  <si>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</si>
  <si>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</si>
  <si>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</si>
  <si>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</si>
  <si>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</si>
  <si>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</si>
  <si>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</si>
  <si>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</si>
  <si>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</si>
  <si>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Kistang</t>
  </si>
  <si>
    <t>Perdagangan</t>
  </si>
  <si>
    <t>Wadang</t>
  </si>
  <si>
    <t>HP</t>
  </si>
  <si>
    <t>SUDARMIN Ujungge</t>
  </si>
  <si>
    <t>16-07-2023</t>
  </si>
  <si>
    <t>Agustang</t>
  </si>
  <si>
    <t>Barang</t>
  </si>
  <si>
    <t>02-12-2023</t>
  </si>
  <si>
    <t>Nurdalia 2</t>
  </si>
  <si>
    <t>SENG RUMAH</t>
  </si>
  <si>
    <t>26-02-2024</t>
  </si>
  <si>
    <t>Amiruddin T</t>
  </si>
  <si>
    <t>Sparepart Mobil</t>
  </si>
  <si>
    <t>Kosmetik</t>
  </si>
  <si>
    <t>Idris</t>
  </si>
  <si>
    <t>barang Bangunan</t>
  </si>
  <si>
    <t>Hera Prawati</t>
  </si>
  <si>
    <t>Genset</t>
  </si>
  <si>
    <t>03-07-2024</t>
  </si>
  <si>
    <t>Yusnita Zainal Arifin</t>
  </si>
  <si>
    <t>HP Samsung</t>
  </si>
  <si>
    <t>bulan 10 ditagih</t>
  </si>
  <si>
    <t>10-07-2024</t>
  </si>
  <si>
    <t>Irtika Adillah</t>
  </si>
  <si>
    <t>Laptop</t>
  </si>
  <si>
    <t>Motor Honda</t>
  </si>
  <si>
    <t>16-07-2024</t>
  </si>
  <si>
    <t>Nurul asmi/fatma</t>
  </si>
  <si>
    <t>19-07-2024</t>
  </si>
  <si>
    <t>Motor Yamaha</t>
  </si>
  <si>
    <t>24-07-2024</t>
  </si>
  <si>
    <t>Rusli</t>
  </si>
  <si>
    <t>Kredit HP</t>
  </si>
  <si>
    <t>11-10-2024</t>
  </si>
  <si>
    <t>Muh. Kurniawan, SE</t>
  </si>
  <si>
    <t>Kredit HP Samsung</t>
  </si>
  <si>
    <t>05-11-2024</t>
  </si>
  <si>
    <t>20-11-2024</t>
  </si>
  <si>
    <t>Kredit HP Oppo</t>
  </si>
  <si>
    <t>Syamsuddin</t>
  </si>
  <si>
    <t>Pupuk subsidi</t>
  </si>
  <si>
    <t>01-01-2025</t>
  </si>
  <si>
    <t>Bahan Bangunan</t>
  </si>
  <si>
    <t>11-01-2025</t>
  </si>
  <si>
    <t>Muh. Yusuf</t>
  </si>
  <si>
    <t>Hp samsung</t>
  </si>
  <si>
    <t>17-11-2025</t>
  </si>
  <si>
    <t>Muh.Tang</t>
  </si>
  <si>
    <t>21-7-2025</t>
  </si>
  <si>
    <t>HP Oppo A5x</t>
  </si>
  <si>
    <t>11-8-2025</t>
  </si>
  <si>
    <t>Tab</t>
  </si>
  <si>
    <t>29-8-2025</t>
  </si>
  <si>
    <t>Mansyur</t>
  </si>
  <si>
    <t>Jaring</t>
  </si>
  <si>
    <t>Damis</t>
  </si>
  <si>
    <t>Baju Selam</t>
  </si>
  <si>
    <t>Arif</t>
  </si>
  <si>
    <t>Kacamata+jaring</t>
  </si>
  <si>
    <t>4-8-2025</t>
  </si>
  <si>
    <t>Hj. Ira Indira</t>
  </si>
  <si>
    <t>HP VIvo</t>
  </si>
  <si>
    <t>19-9-2025</t>
  </si>
  <si>
    <t>7-12-2025</t>
  </si>
  <si>
    <t>15-12-2025</t>
  </si>
  <si>
    <t>Wawan Darmawan</t>
  </si>
  <si>
    <t>30-1-2026</t>
  </si>
  <si>
    <t>HP VIVO</t>
  </si>
  <si>
    <t>70000 bgi hasil</t>
  </si>
  <si>
    <t>13-2-2026</t>
  </si>
  <si>
    <t>Mila</t>
  </si>
  <si>
    <t>Jam AC</t>
  </si>
  <si>
    <t>13-3-2026</t>
  </si>
  <si>
    <t>Debby</t>
  </si>
  <si>
    <t>Hj.muli</t>
  </si>
  <si>
    <t>17-3-2026</t>
  </si>
  <si>
    <t>HP Vivo</t>
  </si>
  <si>
    <t>18-3-2026</t>
  </si>
  <si>
    <t>Infinix</t>
  </si>
  <si>
    <t>30-3-2026</t>
  </si>
  <si>
    <t>Jual Pecah belah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</si>
  <si>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</si>
  <si>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</si>
  <si>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</si>
  <si>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</si>
  <si>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</si>
  <si>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</si>
  <si>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</si>
  <si>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</si>
  <si>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</si>
  <si>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</si>
  <si>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</si>
  <si>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</si>
  <si>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</si>
  <si>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</si>
  <si>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</si>
  <si>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</si>
  <si>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</si>
  <si>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</si>
  <si>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</si>
  <si>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</si>
  <si>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</si>
  <si>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</si>
  <si>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</si>
  <si>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</si>
  <si>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</si>
  <si>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</si>
  <si>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</si>
  <si>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</si>
  <si>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</si>
  <si>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</si>
  <si>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KETAPANG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</si>
  <si>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</si>
  <si>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</si>
  <si>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</si>
  <si>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</si>
  <si>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</si>
  <si>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</si>
  <si>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</si>
  <si>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</si>
  <si>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</si>
  <si>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</si>
  <si>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</si>
  <si>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APRIL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</si>
  <si>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</si>
  <si>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</si>
  <si>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</si>
  <si>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</si>
  <si>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</si>
  <si>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</si>
  <si>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30/4/2025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</si>
  <si>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</si>
  <si>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</si>
  <si>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</si>
  <si>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</si>
  <si>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</si>
  <si>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</si>
  <si>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</si>
  <si>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</si>
  <si>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</si>
  <si>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</si>
  <si>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</si>
  <si>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</si>
  <si>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</si>
  <si>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</si>
  <si>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</si>
  <si>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</si>
  <si>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</si>
  <si>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</si>
  <si>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</si>
  <si>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</si>
  <si>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</si>
  <si>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</si>
  <si>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</si>
  <si>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</si>
  <si>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</si>
  <si>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</si>
  <si>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</si>
  <si>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</si>
  <si>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</si>
  <si>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</si>
  <si>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</si>
  <si>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</si>
  <si>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</si>
  <si>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</si>
  <si>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</si>
  <si>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</si>
  <si>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</si>
  <si>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</si>
  <si>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</si>
  <si>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</si>
  <si>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</si>
  <si>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</si>
  <si>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</si>
  <si>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</si>
  <si>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</si>
  <si>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</si>
  <si>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</si>
  <si>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</si>
  <si>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</si>
  <si>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</si>
  <si>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</si>
  <si>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</si>
  <si>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</si>
  <si>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</si>
  <si>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</si>
  <si>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</si>
  <si>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</si>
  <si>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</si>
  <si>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</si>
  <si>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</si>
  <si>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</si>
  <si>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</si>
  <si>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</si>
  <si>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</si>
  <si>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</si>
  <si>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</si>
  <si>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</si>
  <si>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</si>
  <si>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</si>
  <si>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</si>
  <si>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</si>
  <si>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</si>
  <si>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</si>
  <si>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</si>
  <si>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</si>
  <si>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</si>
  <si>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</si>
  <si>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</si>
  <si>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</si>
  <si>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</si>
  <si>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</si>
  <si>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</si>
  <si>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</si>
  <si>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</si>
  <si>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</si>
  <si>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</si>
  <si>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</si>
  <si>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</si>
  <si>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</si>
  <si>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</si>
  <si>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</si>
  <si>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</si>
  <si>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</si>
  <si>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</si>
  <si>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</si>
  <si>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</si>
  <si>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</si>
  <si>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</si>
  <si>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</si>
  <si>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</si>
  <si>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</si>
  <si>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</si>
  <si>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</si>
  <si>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</si>
  <si>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</si>
  <si>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</si>
  <si>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</si>
  <si>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</si>
  <si>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</si>
  <si>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</si>
  <si>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</si>
  <si>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</si>
  <si>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</si>
  <si>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</si>
  <si>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</si>
  <si>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</si>
  <si>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</si>
  <si>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</si>
  <si>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</si>
  <si>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</si>
  <si>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</si>
  <si>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</si>
  <si>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</si>
  <si>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</si>
  <si>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</si>
  <si>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</si>
  <si>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</si>
  <si>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</si>
  <si>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</si>
  <si>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</si>
  <si>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</si>
  <si>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</si>
  <si>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</si>
  <si>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</si>
  <si>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</si>
  <si>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</si>
  <si>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</si>
  <si>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MEI 2025</t>
  </si>
  <si>
    <t>Biaya motor pak malik ketapang</t>
  </si>
  <si>
    <t>beli tinta</t>
  </si>
  <si>
    <t>botol</t>
  </si>
  <si>
    <t>transport + makan ketapang</t>
  </si>
  <si>
    <t>beli solar untuk molen 10 liter</t>
  </si>
  <si>
    <t>transport ke lompo e ketapang</t>
  </si>
  <si>
    <t>DAFTAR INSENTIF PENGAWAS DAN PENASEHAT BUMDesa SEJAHTERA</t>
  </si>
  <si>
    <t>DESA BATUPUTE KECAMATAN SOPPENG RIAJA</t>
  </si>
  <si>
    <t>KABUPATEN BARRU</t>
  </si>
  <si>
    <t>BULAN : JANUARI 2025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</si>
  <si>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</si>
  <si>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</si>
  <si>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</si>
  <si>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</si>
  <si>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</si>
  <si>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</si>
  <si>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</si>
  <si>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</si>
  <si>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</si>
  <si>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2025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</si>
  <si>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</si>
  <si>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</si>
  <si>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</si>
  <si>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</si>
  <si>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</si>
  <si>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</si>
  <si>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</si>
  <si>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</si>
  <si>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</si>
  <si>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</si>
  <si>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</si>
  <si>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</si>
  <si>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</si>
  <si>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</si>
  <si>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</si>
  <si>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</si>
  <si>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</si>
  <si>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</si>
  <si>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</si>
  <si>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</si>
  <si>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</si>
  <si>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</si>
  <si>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</si>
  <si>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</si>
  <si>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</si>
  <si>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</si>
  <si>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</si>
  <si>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</si>
  <si>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</si>
  <si>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</si>
  <si>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</si>
  <si>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</si>
  <si>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</si>
  <si>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</si>
  <si>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</si>
  <si>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</si>
  <si>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</si>
  <si>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</si>
  <si>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</si>
  <si>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</si>
  <si>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</si>
  <si>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</si>
  <si>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</si>
  <si>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</si>
  <si>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</si>
  <si>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</si>
  <si>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</si>
  <si>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</si>
  <si>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</si>
  <si>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</si>
  <si>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</si>
  <si>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</si>
  <si>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</si>
  <si>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</si>
  <si>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</si>
  <si>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</si>
  <si>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</si>
  <si>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</si>
  <si>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</si>
  <si>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</si>
  <si>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</si>
  <si>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</si>
  <si>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</si>
  <si>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</si>
  <si>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</si>
  <si>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</si>
  <si>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</si>
  <si>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</si>
  <si>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</si>
  <si>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</si>
  <si>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</si>
  <si>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</si>
  <si>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</si>
  <si>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</si>
  <si>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</si>
  <si>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</si>
  <si>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</si>
  <si>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</si>
  <si>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</si>
  <si>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</si>
  <si>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</si>
  <si>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</si>
  <si>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</si>
  <si>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</si>
  <si>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</si>
  <si>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</si>
  <si>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</si>
  <si>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</si>
  <si>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</si>
  <si>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</si>
  <si>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90/90-14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</si>
  <si>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</si>
  <si>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</si>
  <si>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</si>
  <si>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</si>
  <si>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</si>
  <si>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</si>
  <si>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</si>
  <si>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</si>
  <si>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</si>
  <si>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</si>
  <si>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</si>
  <si>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</si>
  <si>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</si>
  <si>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</si>
  <si>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</si>
  <si>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</si>
  <si>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</si>
  <si>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</si>
  <si>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</si>
  <si>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</si>
  <si>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</si>
  <si>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</si>
  <si>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</si>
  <si>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</si>
  <si>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</si>
  <si>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</si>
  <si>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</si>
  <si>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</si>
  <si>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</si>
  <si>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</si>
  <si>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</si>
  <si>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</si>
  <si>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</si>
  <si>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</si>
  <si>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</si>
  <si>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</si>
  <si>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</si>
  <si>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</si>
  <si>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</si>
  <si>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</si>
  <si>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</si>
  <si>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</si>
  <si>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</si>
  <si>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</si>
  <si>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</si>
  <si>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</si>
  <si>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</si>
  <si>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</si>
  <si>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</si>
  <si>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</si>
  <si>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</si>
  <si>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</si>
  <si>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</si>
  <si>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</si>
  <si>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</si>
  <si>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</si>
  <si>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</si>
  <si>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</si>
  <si>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</si>
  <si>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</si>
  <si>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</si>
  <si>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</si>
  <si>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</si>
  <si>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250/275-21</t>
  </si>
  <si>
    <t>10/3/2026</t>
  </si>
  <si>
    <t>BAN DALAM 250/275-14</t>
  </si>
  <si>
    <t>BAN DALAM 250/275-17</t>
  </si>
  <si>
    <t>2/4/2026</t>
  </si>
  <si>
    <t>OLI SHOCK DEPAN</t>
  </si>
  <si>
    <t>LAMPU DEPAN LED</t>
  </si>
  <si>
    <t>VAN BELT MIO</t>
  </si>
  <si>
    <t>VAN BELT MIO J</t>
  </si>
  <si>
    <t>PENTIL TUBLES</t>
  </si>
  <si>
    <t>OLI YAMALUBE MATIC</t>
  </si>
  <si>
    <t>OLI MESRAN 1 LITER</t>
  </si>
  <si>
    <t>OLI SIEL SHOCK DEPAN</t>
  </si>
  <si>
    <t>PSG</t>
  </si>
  <si>
    <t>OLI SIEL SHOCK DEPAN CBR</t>
  </si>
  <si>
    <t>OLI SIEL SHOCK DEPAN N MAX</t>
  </si>
  <si>
    <t>OLI SIEL SHOCK DEPAN RXK</t>
  </si>
  <si>
    <t>OLI SIEL SHOCK DEPAN SCORPIO</t>
  </si>
  <si>
    <t>OLI SIEL SHOCK DEPAN SUZUKI</t>
  </si>
  <si>
    <t>OLI SIEL SHOCK DEPAN CRF</t>
  </si>
  <si>
    <t>OLI SIEL KLEP YAMAHA</t>
  </si>
  <si>
    <t>BUSI MATIC</t>
  </si>
  <si>
    <t>BUSI FU I50</t>
  </si>
  <si>
    <t>BUSI NINJA</t>
  </si>
  <si>
    <t>COLT STATER</t>
  </si>
  <si>
    <t>TALI GAS VESPA</t>
  </si>
  <si>
    <t>TALI KOPLENG VESPA</t>
  </si>
  <si>
    <t>BAN DALAM 250-17</t>
  </si>
  <si>
    <t>BAN DALAM 275-17</t>
  </si>
  <si>
    <t>BAN DALAM 250-14</t>
  </si>
  <si>
    <t>TALI REM BELAKANG</t>
  </si>
  <si>
    <t>MODAL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</si>
</sst>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7" formatCode="_(&quot;Rp&quot;* #,##0_);_(&quot;Rp&quot;* \(#,##0\);_(&quot;Rp&quot;* &quot;-&quot;_);_(@_)"/>
    <numFmt numFmtId="168" formatCode="_ * #,##0_ ;_ * \-#,##0_ ;_ * &quot;-&quot;_ ;_ @_ "/>
    <numFmt numFmtId="169" formatCode="_ * #,##0.00_ ;_ * \-#,##0.00_ ;_ * &quot;-&quot;??_ ;_ @_ "/>
    <numFmt numFmtId="170" formatCode="_-* #,##0_-;\-* #,##0_-;_-* &quot;-&quot;??_-;_-@_-"/>
    <numFmt numFmtId="171" formatCode="_(* #,##0_);_(* \(#,##0\);_(* &quot;-&quot;??_);_(@_)"/>
    <numFmt numFmtId="172" formatCode="_ * #,##0_ ;_ * \-#,##0_ ;_ * &quot;-&quot;??_ ;_ @_ "/>
    <numFmt numFmtId="173" formatCode="_(* #,##0.00_);_(* \(#,##0.00\);_(* &quot;-&quot;_);_(@_)"/>
    <numFmt numFmtId="174" formatCode="_(* #,##0.00000000_);_(* \(#,##0.00000000\);_(* &quot;-&quot;??_);_(@_)"/>
    <numFmt numFmtId="175" formatCode="0,000"/>
    <numFmt numFmtId="176" formatCode="[$-409]dd\-mmm\-yy;@"/>
    <numFmt numFmtId="177" formatCode="m/d/yyyy;@"/>
    <numFmt numFmtId="178" formatCode="_([$Rp-421]* #,##0_);_([$Rp-421]* \(#,##0\);_([$Rp-421]* &quot;-&quot;??_);_(@_)"/>
    <numFmt numFmtId="179" formatCode="0_ "/>
    <numFmt numFmtId="180" formatCode="_-[$Rp-421]* #,##0_-;\-[$Rp-421]* #,##0_-;_-[$Rp-421]* &quot;-&quot;??_-;_-@_-"/>
    <numFmt numFmtId="181" formatCode="_-[$Rp-3809]* #,##0_-;\-[$Rp-3809]* #,##0_-;_-[$Rp-3809]* &quot;-&quot;??_-;_-@_-"/>
  </numFmts>
  <fonts count="93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b/>
      <sz val="10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b/>
      <sz val="8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9"/>
      <name val="Calibri"/>
      <charset val="1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color rgb="FFFF0000"/>
      <name val="Calibri"/>
      <charset val="134"/>
    </font>
    <font>
      <sz val="10"/>
      <name val="Calibri"/>
      <charset val="134"/>
    </font>
    <font>
      <b/>
      <i/>
      <sz val="10"/>
      <color theme="1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b/>
      <u/>
      <sz val="11"/>
      <name val="Calibri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8">
    <xf numFmtId="0" fontId="0" fillId="0" borderId="0"/>
    <xf numFmtId="165" fontId="4" fillId="0" borderId="0" applyFont="0" applyFill="0" applyBorder="0" applyAlignment="0" applyProtection="0"/>
    <xf numFmtId="9" fontId="92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90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1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70" fontId="2" fillId="0" borderId="5" xfId="1" applyNumberFormat="1" applyFont="1" applyBorder="1" applyAlignment="1">
      <alignment vertical="center"/>
    </xf>
    <xf numFmtId="170" fontId="2" fillId="0" borderId="5" xfId="0" applyNumberFormat="1" applyFont="1" applyBorder="1" applyAlignment="1">
      <alignment horizontal="center" vertical="center"/>
    </xf>
    <xf numFmtId="170" fontId="2" fillId="0" borderId="5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0" fontId="6" fillId="0" borderId="5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70" fontId="3" fillId="0" borderId="5" xfId="1" applyNumberFormat="1" applyFont="1" applyBorder="1" applyAlignment="1">
      <alignment vertical="center"/>
    </xf>
    <xf numFmtId="170" fontId="3" fillId="0" borderId="5" xfId="1" applyNumberFormat="1" applyFont="1" applyBorder="1" applyAlignment="1">
      <alignment horizontal="center" vertical="center"/>
    </xf>
    <xf numFmtId="170" fontId="3" fillId="0" borderId="5" xfId="1" applyNumberFormat="1" applyFont="1" applyFill="1" applyBorder="1" applyAlignment="1">
      <alignment vertical="center"/>
    </xf>
    <xf numFmtId="170" fontId="3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0" fontId="3" fillId="0" borderId="1" xfId="1" applyNumberFormat="1" applyFont="1" applyFill="1" applyBorder="1" applyAlignment="1">
      <alignment horizontal="center" vertical="center"/>
    </xf>
    <xf numFmtId="170" fontId="5" fillId="0" borderId="5" xfId="1" applyNumberFormat="1" applyFont="1" applyFill="1" applyBorder="1" applyAlignment="1">
      <alignment horizontal="center" vertical="center"/>
    </xf>
    <xf numFmtId="170" fontId="6" fillId="0" borderId="5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71" fontId="3" fillId="0" borderId="5" xfId="1" applyNumberFormat="1" applyFont="1" applyFill="1" applyBorder="1" applyAlignment="1">
      <alignment horizontal="right" vertical="center"/>
    </xf>
    <xf numFmtId="171" fontId="2" fillId="0" borderId="5" xfId="1" applyNumberFormat="1" applyFont="1" applyFill="1" applyBorder="1" applyAlignment="1">
      <alignment horizontal="center" vertical="center"/>
    </xf>
    <xf numFmtId="171" fontId="3" fillId="0" borderId="1" xfId="1" applyNumberFormat="1" applyFont="1" applyFill="1" applyBorder="1" applyAlignment="1">
      <alignment horizontal="center" vertical="center"/>
    </xf>
    <xf numFmtId="170" fontId="4" fillId="0" borderId="0" xfId="0" applyNumberFormat="1" applyFont="1"/>
    <xf numFmtId="171" fontId="3" fillId="0" borderId="5" xfId="1" applyNumberFormat="1" applyFont="1" applyFill="1" applyBorder="1" applyAlignment="1">
      <alignment horizontal="center" vertical="center"/>
    </xf>
    <xf numFmtId="171" fontId="3" fillId="0" borderId="5" xfId="1" applyNumberFormat="1" applyFont="1" applyFill="1" applyBorder="1" applyAlignment="1">
      <alignment horizontal="left" vertical="center"/>
    </xf>
    <xf numFmtId="170" fontId="3" fillId="0" borderId="1" xfId="1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70" fontId="6" fillId="0" borderId="1" xfId="1" applyNumberFormat="1" applyFont="1" applyFill="1" applyBorder="1" applyAlignment="1">
      <alignment horizontal="center" vertical="center"/>
    </xf>
    <xf numFmtId="170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0" fontId="6" fillId="0" borderId="12" xfId="1" applyNumberFormat="1" applyFont="1" applyFill="1" applyBorder="1" applyAlignment="1">
      <alignment horizontal="center" vertical="center"/>
    </xf>
    <xf numFmtId="171" fontId="4" fillId="0" borderId="0" xfId="1" applyNumberFormat="1" applyFont="1" applyFill="1" applyAlignment="1"/>
    <xf numFmtId="171" fontId="7" fillId="0" borderId="0" xfId="0" applyNumberFormat="1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71" fontId="0" fillId="0" borderId="0" xfId="1" applyNumberFormat="1" applyFont="1" applyAlignment="1">
      <alignment horizontal="center" vertical="center"/>
    </xf>
    <xf numFmtId="171" fontId="0" fillId="0" borderId="0" xfId="1" applyNumberFormat="1" applyFont="1"/>
    <xf numFmtId="0" fontId="8" fillId="0" borderId="0" xfId="0" applyFont="1" applyAlignment="1">
      <alignment horizontal="center"/>
    </xf>
    <xf numFmtId="171" fontId="8" fillId="0" borderId="5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8" fillId="0" borderId="9" xfId="1" applyNumberFormat="1" applyFont="1" applyBorder="1" applyAlignment="1">
      <alignment horizontal="center" vertical="center" wrapText="1"/>
    </xf>
    <xf numFmtId="171" fontId="8" fillId="0" borderId="9" xfId="1" applyNumberFormat="1" applyFont="1" applyBorder="1" applyAlignment="1">
      <alignment horizontal="center" vertical="center"/>
    </xf>
    <xf numFmtId="9" fontId="8" fillId="0" borderId="5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1" fontId="4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horizontal="center" vertical="center"/>
    </xf>
    <xf numFmtId="0" fontId="0" fillId="0" borderId="5" xfId="0" applyBorder="1"/>
    <xf numFmtId="171" fontId="0" fillId="0" borderId="5" xfId="1" applyNumberFormat="1" applyFont="1" applyBorder="1"/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171" fontId="4" fillId="0" borderId="5" xfId="1" applyNumberFormat="1" applyFont="1" applyBorder="1" applyAlignment="1">
      <alignment horizontal="center" vertical="center"/>
    </xf>
    <xf numFmtId="171" fontId="4" fillId="0" borderId="5" xfId="1" applyNumberFormat="1" applyFont="1" applyBorder="1"/>
    <xf numFmtId="0" fontId="8" fillId="0" borderId="4" xfId="0" applyFont="1" applyBorder="1" applyAlignment="1">
      <alignment horizontal="center" vertical="center"/>
    </xf>
    <xf numFmtId="171" fontId="8" fillId="0" borderId="5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0" fillId="0" borderId="0" xfId="3" applyFont="1"/>
    <xf numFmtId="164" fontId="0" fillId="0" borderId="0" xfId="3" applyFont="1" applyAlignment="1">
      <alignment horizontal="left" vertical="center"/>
    </xf>
    <xf numFmtId="164" fontId="0" fillId="0" borderId="0" xfId="3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71" fontId="10" fillId="0" borderId="0" xfId="0" applyNumberFormat="1" applyFont="1"/>
    <xf numFmtId="171" fontId="4" fillId="6" borderId="5" xfId="1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7" borderId="0" xfId="0" applyNumberFormat="1" applyFill="1"/>
    <xf numFmtId="0" fontId="0" fillId="0" borderId="4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64" fontId="4" fillId="6" borderId="5" xfId="3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9" fontId="9" fillId="0" borderId="0" xfId="0" applyNumberFormat="1" applyFont="1"/>
    <xf numFmtId="9" fontId="12" fillId="0" borderId="0" xfId="0" applyNumberFormat="1" applyFont="1"/>
    <xf numFmtId="0" fontId="8" fillId="8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4" fontId="4" fillId="0" borderId="5" xfId="3" applyFont="1" applyBorder="1" applyAlignment="1">
      <alignment horizontal="center" vertical="center"/>
    </xf>
    <xf numFmtId="164" fontId="11" fillId="0" borderId="5" xfId="3" applyFont="1" applyBorder="1" applyAlignment="1">
      <alignment horizontal="center" vertical="center"/>
    </xf>
    <xf numFmtId="1" fontId="4" fillId="0" borderId="5" xfId="3" applyNumberFormat="1" applyFont="1" applyBorder="1" applyAlignment="1">
      <alignment horizontal="center" vertical="center"/>
    </xf>
    <xf numFmtId="164" fontId="4" fillId="0" borderId="5" xfId="3" applyFont="1" applyBorder="1" applyAlignment="1">
      <alignment vertical="center"/>
    </xf>
    <xf numFmtId="0" fontId="11" fillId="9" borderId="5" xfId="0" applyFont="1" applyFill="1" applyBorder="1" applyAlignment="1">
      <alignment horizontal="center" vertical="center"/>
    </xf>
    <xf numFmtId="164" fontId="11" fillId="10" borderId="5" xfId="3" applyFont="1" applyFill="1" applyBorder="1" applyAlignment="1">
      <alignment horizontal="center" vertical="center"/>
    </xf>
    <xf numFmtId="164" fontId="4" fillId="0" borderId="0" xfId="3" applyFont="1"/>
    <xf numFmtId="1" fontId="4" fillId="0" borderId="5" xfId="1" applyNumberFormat="1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171" fontId="8" fillId="6" borderId="5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4" fontId="4" fillId="0" borderId="0" xfId="0" applyNumberFormat="1" applyFont="1"/>
    <xf numFmtId="171" fontId="4" fillId="0" borderId="5" xfId="1" applyNumberFormat="1" applyBorder="1" applyAlignment="1">
      <alignment vertical="center"/>
    </xf>
    <xf numFmtId="164" fontId="11" fillId="9" borderId="5" xfId="0" applyNumberFormat="1" applyFont="1" applyFill="1" applyBorder="1" applyAlignment="1">
      <alignment horizontal="center" vertical="center"/>
    </xf>
    <xf numFmtId="0" fontId="4" fillId="0" borderId="0" xfId="25">
      <alignment vertical="center"/>
    </xf>
    <xf numFmtId="0" fontId="8" fillId="0" borderId="0" xfId="25" applyFont="1" applyAlignment="1">
      <alignment horizontal="center" vertical="center"/>
    </xf>
    <xf numFmtId="9" fontId="8" fillId="8" borderId="5" xfId="25" applyNumberFormat="1" applyFont="1" applyFill="1" applyBorder="1">
      <alignment vertical="center"/>
    </xf>
    <xf numFmtId="0" fontId="2" fillId="0" borderId="5" xfId="25" applyFont="1" applyBorder="1" applyAlignment="1">
      <alignment horizontal="center" vertical="center"/>
    </xf>
    <xf numFmtId="172" fontId="2" fillId="0" borderId="5" xfId="16" applyNumberFormat="1" applyFont="1" applyBorder="1">
      <alignment vertical="center"/>
    </xf>
    <xf numFmtId="172" fontId="4" fillId="0" borderId="0" xfId="16" applyNumberFormat="1" applyBorder="1">
      <alignment vertical="center"/>
    </xf>
    <xf numFmtId="172" fontId="4" fillId="0" borderId="0" xfId="25" applyNumberFormat="1">
      <alignment vertical="center"/>
    </xf>
    <xf numFmtId="0" fontId="2" fillId="0" borderId="5" xfId="25" applyFont="1" applyBorder="1">
      <alignment vertical="center"/>
    </xf>
    <xf numFmtId="0" fontId="1" fillId="0" borderId="5" xfId="25" applyFont="1" applyBorder="1">
      <alignment vertical="center"/>
    </xf>
    <xf numFmtId="0" fontId="4" fillId="0" borderId="0" xfId="25" applyAlignment="1">
      <alignment horizontal="center" vertical="center"/>
    </xf>
    <xf numFmtId="0" fontId="4" fillId="0" borderId="0" xfId="25" applyAlignment="1"/>
    <xf numFmtId="0" fontId="4" fillId="0" borderId="0" xfId="25" applyAlignment="1">
      <alignment horizontal="center"/>
    </xf>
    <xf numFmtId="164" fontId="0" fillId="0" borderId="0" xfId="8" applyNumberFormat="1" applyFont="1" applyAlignment="1"/>
    <xf numFmtId="0" fontId="9" fillId="0" borderId="0" xfId="25" applyFont="1" applyAlignment="1"/>
    <xf numFmtId="0" fontId="8" fillId="0" borderId="0" xfId="25" applyFont="1">
      <alignment vertical="center"/>
    </xf>
    <xf numFmtId="172" fontId="4" fillId="0" borderId="0" xfId="16" applyNumberFormat="1">
      <alignment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8" fillId="0" borderId="5" xfId="0" applyFont="1" applyBorder="1"/>
    <xf numFmtId="0" fontId="14" fillId="0" borderId="0" xfId="22" applyFont="1" applyAlignment="1">
      <alignment horizontal="left" vertical="center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left" vertical="top"/>
    </xf>
    <xf numFmtId="0" fontId="18" fillId="0" borderId="0" xfId="22" applyAlignment="1">
      <alignment horizontal="center" vertical="top"/>
    </xf>
    <xf numFmtId="0" fontId="18" fillId="0" borderId="0" xfId="22" applyAlignment="1">
      <alignment horizontal="left" vertical="center"/>
    </xf>
    <xf numFmtId="0" fontId="18" fillId="0" borderId="0" xfId="22" applyAlignment="1">
      <alignment horizontal="center" vertical="center"/>
    </xf>
    <xf numFmtId="0" fontId="18" fillId="0" borderId="0" xfId="22" applyAlignment="1">
      <alignment horizontal="left" vertical="top"/>
    </xf>
    <xf numFmtId="0" fontId="19" fillId="0" borderId="0" xfId="22" applyFont="1" applyAlignment="1">
      <alignment horizontal="left" vertical="top"/>
    </xf>
    <xf numFmtId="0" fontId="20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top"/>
    </xf>
    <xf numFmtId="1" fontId="19" fillId="0" borderId="0" xfId="22" applyNumberFormat="1" applyFont="1" applyAlignment="1">
      <alignment horizontal="center" vertical="center"/>
    </xf>
    <xf numFmtId="173" fontId="0" fillId="0" borderId="0" xfId="7" applyNumberFormat="1" applyFont="1" applyAlignment="1">
      <alignment horizontal="left" vertical="top"/>
    </xf>
    <xf numFmtId="1" fontId="0" fillId="0" borderId="0" xfId="7" applyNumberFormat="1" applyFont="1" applyAlignment="1">
      <alignment horizontal="center" vertical="top"/>
    </xf>
    <xf numFmtId="174" fontId="0" fillId="0" borderId="0" xfId="15" applyNumberFormat="1" applyFont="1" applyAlignment="1">
      <alignment horizontal="center" vertical="top"/>
    </xf>
    <xf numFmtId="1" fontId="21" fillId="0" borderId="0" xfId="7" applyNumberFormat="1" applyFont="1" applyAlignment="1">
      <alignment horizontal="center" vertical="top"/>
    </xf>
    <xf numFmtId="0" fontId="14" fillId="0" borderId="0" xfId="22" applyFont="1" applyAlignment="1">
      <alignment horizontal="center" vertical="center"/>
    </xf>
    <xf numFmtId="0" fontId="22" fillId="0" borderId="0" xfId="22" applyFont="1" applyAlignment="1">
      <alignment horizontal="left" vertical="center"/>
    </xf>
    <xf numFmtId="1" fontId="22" fillId="0" borderId="0" xfId="22" applyNumberFormat="1" applyFont="1" applyAlignment="1">
      <alignment horizontal="left" vertical="center"/>
    </xf>
    <xf numFmtId="1" fontId="22" fillId="0" borderId="0" xfId="22" applyNumberFormat="1" applyFont="1" applyAlignment="1">
      <alignment horizontal="center" vertical="center"/>
    </xf>
    <xf numFmtId="173" fontId="14" fillId="0" borderId="0" xfId="7" applyNumberFormat="1" applyFont="1" applyAlignment="1">
      <alignment horizontal="left" vertical="center"/>
    </xf>
    <xf numFmtId="1" fontId="14" fillId="0" borderId="0" xfId="7" applyNumberFormat="1" applyFont="1" applyAlignment="1">
      <alignment horizontal="center" vertical="center"/>
    </xf>
    <xf numFmtId="174" fontId="14" fillId="0" borderId="0" xfId="15" applyNumberFormat="1" applyFont="1" applyAlignment="1">
      <alignment horizontal="center" vertical="center"/>
    </xf>
    <xf numFmtId="0" fontId="23" fillId="0" borderId="0" xfId="22" applyFont="1" applyAlignment="1">
      <alignment horizontal="left" vertical="center" wrapText="1"/>
    </xf>
    <xf numFmtId="0" fontId="23" fillId="0" borderId="0" xfId="22" applyFont="1" applyAlignment="1">
      <alignment horizontal="left" vertical="center"/>
    </xf>
    <xf numFmtId="0" fontId="23" fillId="0" borderId="0" xfId="22" applyFont="1" applyAlignment="1">
      <alignment horizontal="center" vertical="center" wrapText="1"/>
    </xf>
    <xf numFmtId="171" fontId="23" fillId="0" borderId="0" xfId="22" applyNumberFormat="1" applyFont="1" applyAlignment="1">
      <alignment vertical="center" wrapText="1"/>
    </xf>
    <xf numFmtId="0" fontId="22" fillId="0" borderId="0" xfId="22" applyFont="1" applyAlignment="1">
      <alignment horizontal="left" vertical="center" wrapText="1"/>
    </xf>
    <xf numFmtId="1" fontId="23" fillId="0" borderId="0" xfId="22" applyNumberFormat="1" applyFont="1" applyAlignment="1">
      <alignment horizontal="center" vertical="center" wrapText="1"/>
    </xf>
    <xf numFmtId="0" fontId="23" fillId="0" borderId="0" xfId="22" applyFont="1" applyAlignment="1">
      <alignment vertical="center" wrapText="1"/>
    </xf>
    <xf numFmtId="174" fontId="23" fillId="0" borderId="0" xfId="15" applyNumberFormat="1" applyFont="1" applyAlignment="1">
      <alignment horizontal="center" vertical="center" wrapText="1"/>
    </xf>
    <xf numFmtId="1" fontId="22" fillId="0" borderId="0" xfId="22" applyNumberFormat="1" applyFont="1" applyAlignment="1">
      <alignment horizontal="center" vertical="center" wrapText="1"/>
    </xf>
    <xf numFmtId="0" fontId="23" fillId="0" borderId="17" xfId="22" applyFont="1" applyBorder="1" applyAlignment="1">
      <alignment horizontal="left" vertical="center" wrapText="1"/>
    </xf>
    <xf numFmtId="173" fontId="22" fillId="0" borderId="0" xfId="7" applyNumberFormat="1" applyFont="1" applyAlignment="1">
      <alignment horizontal="left" vertical="center"/>
    </xf>
    <xf numFmtId="0" fontId="23" fillId="0" borderId="19" xfId="22" applyFont="1" applyBorder="1" applyAlignment="1">
      <alignment horizontal="left" vertical="center"/>
    </xf>
    <xf numFmtId="0" fontId="23" fillId="0" borderId="19" xfId="22" applyFont="1" applyBorder="1" applyAlignment="1">
      <alignment horizontal="center" vertical="center" wrapText="1"/>
    </xf>
    <xf numFmtId="0" fontId="14" fillId="0" borderId="19" xfId="22" applyFont="1" applyBorder="1" applyAlignment="1">
      <alignment horizontal="left" vertical="center" wrapText="1"/>
    </xf>
    <xf numFmtId="0" fontId="22" fillId="0" borderId="19" xfId="22" applyFont="1" applyBorder="1" applyAlignment="1">
      <alignment horizontal="left" vertical="center" wrapText="1"/>
    </xf>
    <xf numFmtId="0" fontId="23" fillId="11" borderId="22" xfId="22" applyFont="1" applyFill="1" applyBorder="1" applyAlignment="1">
      <alignment horizontal="center" vertical="center" wrapText="1"/>
    </xf>
    <xf numFmtId="1" fontId="23" fillId="0" borderId="0" xfId="22" applyNumberFormat="1" applyFont="1" applyAlignment="1">
      <alignment horizontal="left" vertical="center" wrapText="1"/>
    </xf>
    <xf numFmtId="173" fontId="15" fillId="0" borderId="0" xfId="7" applyNumberFormat="1" applyFont="1" applyAlignment="1">
      <alignment horizontal="center" vertical="center"/>
    </xf>
    <xf numFmtId="0" fontId="23" fillId="5" borderId="28" xfId="22" applyFont="1" applyFill="1" applyBorder="1" applyAlignment="1">
      <alignment horizontal="center" vertical="center" wrapText="1"/>
    </xf>
    <xf numFmtId="1" fontId="16" fillId="0" borderId="31" xfId="22" applyNumberFormat="1" applyFont="1" applyBorder="1" applyAlignment="1">
      <alignment horizontal="center" vertical="center" shrinkToFit="1"/>
    </xf>
    <xf numFmtId="0" fontId="24" fillId="0" borderId="3" xfId="22" applyFont="1" applyBorder="1" applyAlignment="1">
      <alignment vertical="center"/>
    </xf>
    <xf numFmtId="1" fontId="25" fillId="12" borderId="2" xfId="22" applyNumberFormat="1" applyFont="1" applyFill="1" applyBorder="1" applyAlignment="1" applyProtection="1">
      <alignment horizontal="center" vertical="center"/>
      <protection locked="0"/>
    </xf>
    <xf numFmtId="0" fontId="26" fillId="0" borderId="3" xfId="22" applyFont="1" applyBorder="1" applyAlignment="1">
      <alignment horizontal="center" vertical="center"/>
    </xf>
    <xf numFmtId="175" fontId="25" fillId="12" borderId="5" xfId="22" applyNumberFormat="1" applyFont="1" applyFill="1" applyBorder="1" applyAlignment="1" applyProtection="1">
      <alignment horizontal="right" vertical="center"/>
      <protection locked="0"/>
    </xf>
    <xf numFmtId="164" fontId="27" fillId="0" borderId="32" xfId="14" applyNumberFormat="1" applyFont="1" applyBorder="1" applyAlignment="1">
      <alignment horizontal="right" vertical="center" shrinkToFit="1"/>
    </xf>
    <xf numFmtId="164" fontId="27" fillId="0" borderId="28" xfId="14" applyNumberFormat="1" applyFont="1" applyBorder="1" applyAlignment="1">
      <alignment horizontal="right" vertical="center" shrinkToFit="1"/>
    </xf>
    <xf numFmtId="171" fontId="28" fillId="0" borderId="32" xfId="15" applyNumberFormat="1" applyFont="1" applyFill="1" applyBorder="1" applyAlignment="1">
      <alignment horizontal="right" vertical="center" shrinkToFit="1"/>
    </xf>
    <xf numFmtId="9" fontId="28" fillId="0" borderId="0" xfId="27" applyFont="1" applyFill="1" applyBorder="1" applyAlignment="1">
      <alignment horizontal="center" vertical="center"/>
    </xf>
    <xf numFmtId="1" fontId="28" fillId="0" borderId="0" xfId="27" applyNumberFormat="1" applyFont="1" applyFill="1" applyBorder="1" applyAlignment="1">
      <alignment horizontal="center" vertical="center"/>
    </xf>
    <xf numFmtId="1" fontId="16" fillId="0" borderId="0" xfId="7" applyNumberFormat="1" applyFont="1" applyFill="1" applyAlignment="1">
      <alignment horizontal="center" vertical="center"/>
    </xf>
    <xf numFmtId="173" fontId="16" fillId="0" borderId="0" xfId="7" applyNumberFormat="1" applyFont="1" applyFill="1" applyAlignment="1">
      <alignment horizontal="left" vertical="center"/>
    </xf>
    <xf numFmtId="174" fontId="16" fillId="0" borderId="0" xfId="15" applyNumberFormat="1" applyFont="1" applyFill="1" applyAlignment="1">
      <alignment horizontal="center" vertical="center"/>
    </xf>
    <xf numFmtId="0" fontId="25" fillId="12" borderId="5" xfId="22" applyFont="1" applyFill="1" applyBorder="1" applyAlignment="1" applyProtection="1">
      <alignment horizontal="right" vertical="center"/>
      <protection locked="0"/>
    </xf>
    <xf numFmtId="0" fontId="24" fillId="12" borderId="2" xfId="22" applyFont="1" applyFill="1" applyBorder="1" applyAlignment="1">
      <alignment horizontal="center" vertical="center"/>
    </xf>
    <xf numFmtId="0" fontId="17" fillId="0" borderId="33" xfId="22" applyFont="1" applyBorder="1" applyAlignment="1">
      <alignment horizontal="center" vertical="center"/>
    </xf>
    <xf numFmtId="164" fontId="17" fillId="0" borderId="33" xfId="7" applyFont="1" applyFill="1" applyBorder="1" applyAlignment="1">
      <alignment horizontal="center" vertical="center" shrinkToFit="1"/>
    </xf>
    <xf numFmtId="164" fontId="17" fillId="0" borderId="33" xfId="22" applyNumberFormat="1" applyFont="1" applyBorder="1" applyAlignment="1">
      <alignment horizontal="center" vertical="center"/>
    </xf>
    <xf numFmtId="171" fontId="17" fillId="0" borderId="33" xfId="15" applyNumberFormat="1" applyFont="1" applyBorder="1" applyAlignment="1">
      <alignment horizontal="right" vertical="center" shrinkToFit="1"/>
    </xf>
    <xf numFmtId="171" fontId="17" fillId="0" borderId="33" xfId="15" applyNumberFormat="1" applyFont="1" applyBorder="1" applyAlignment="1">
      <alignment horizontal="right" vertical="center"/>
    </xf>
    <xf numFmtId="9" fontId="17" fillId="0" borderId="0" xfId="27" applyFont="1" applyFill="1" applyBorder="1" applyAlignment="1">
      <alignment horizontal="center" vertical="center"/>
    </xf>
    <xf numFmtId="1" fontId="17" fillId="0" borderId="0" xfId="27" applyNumberFormat="1" applyFont="1" applyFill="1" applyBorder="1" applyAlignment="1">
      <alignment horizontal="center" vertical="center"/>
    </xf>
    <xf numFmtId="1" fontId="17" fillId="0" borderId="0" xfId="7" applyNumberFormat="1" applyFont="1" applyAlignment="1">
      <alignment horizontal="center" vertical="center"/>
    </xf>
    <xf numFmtId="173" fontId="17" fillId="0" borderId="0" xfId="7" applyNumberFormat="1" applyFont="1" applyAlignment="1">
      <alignment horizontal="left" vertical="center"/>
    </xf>
    <xf numFmtId="174" fontId="17" fillId="0" borderId="0" xfId="15" applyNumberFormat="1" applyFont="1" applyAlignment="1">
      <alignment horizontal="center" vertical="center"/>
    </xf>
    <xf numFmtId="164" fontId="22" fillId="0" borderId="0" xfId="7" applyFont="1" applyAlignment="1">
      <alignment horizontal="left" vertical="center"/>
    </xf>
    <xf numFmtId="164" fontId="28" fillId="0" borderId="0" xfId="22" applyNumberFormat="1" applyFont="1" applyAlignment="1">
      <alignment horizontal="left" vertical="center"/>
    </xf>
    <xf numFmtId="164" fontId="22" fillId="0" borderId="0" xfId="22" applyNumberFormat="1" applyFont="1" applyAlignment="1">
      <alignment horizontal="left" vertical="center"/>
    </xf>
    <xf numFmtId="0" fontId="15" fillId="0" borderId="0" xfId="22" applyFont="1" applyAlignment="1">
      <alignment horizontal="center" vertical="top"/>
    </xf>
    <xf numFmtId="0" fontId="15" fillId="0" borderId="0" xfId="22" applyFont="1" applyAlignment="1">
      <alignment horizontal="left" vertical="center"/>
    </xf>
    <xf numFmtId="0" fontId="22" fillId="0" borderId="0" xfId="22" applyFont="1" applyAlignment="1">
      <alignment horizontal="left" vertical="top"/>
    </xf>
    <xf numFmtId="0" fontId="29" fillId="0" borderId="0" xfId="22" applyFont="1" applyAlignment="1">
      <alignment horizontal="left" vertical="top"/>
    </xf>
    <xf numFmtId="1" fontId="22" fillId="0" borderId="0" xfId="22" applyNumberFormat="1" applyFont="1" applyAlignment="1">
      <alignment horizontal="left" vertical="top"/>
    </xf>
    <xf numFmtId="173" fontId="15" fillId="0" borderId="0" xfId="7" applyNumberFormat="1" applyFont="1" applyAlignment="1">
      <alignment horizontal="left" vertical="top"/>
    </xf>
    <xf numFmtId="1" fontId="15" fillId="0" borderId="0" xfId="7" applyNumberFormat="1" applyFont="1" applyAlignment="1">
      <alignment horizontal="center" vertical="top"/>
    </xf>
    <xf numFmtId="174" fontId="15" fillId="0" borderId="0" xfId="15" applyNumberFormat="1" applyFont="1" applyAlignment="1">
      <alignment horizontal="center" vertical="top"/>
    </xf>
    <xf numFmtId="1" fontId="29" fillId="0" borderId="0" xfId="7" applyNumberFormat="1" applyFont="1" applyAlignment="1">
      <alignment horizontal="center" vertical="top"/>
    </xf>
    <xf numFmtId="0" fontId="30" fillId="0" borderId="0" xfId="21" applyFont="1"/>
    <xf numFmtId="0" fontId="31" fillId="0" borderId="0" xfId="21" applyFont="1"/>
    <xf numFmtId="0" fontId="32" fillId="0" borderId="0" xfId="21" applyFont="1" applyAlignment="1">
      <alignment wrapText="1"/>
    </xf>
    <xf numFmtId="0" fontId="33" fillId="0" borderId="0" xfId="21" applyFont="1" applyAlignment="1">
      <alignment horizontal="center" vertical="center" wrapText="1"/>
    </xf>
    <xf numFmtId="0" fontId="34" fillId="0" borderId="0" xfId="21" applyFont="1"/>
    <xf numFmtId="0" fontId="35" fillId="0" borderId="0" xfId="21" applyFont="1"/>
    <xf numFmtId="0" fontId="32" fillId="0" borderId="0" xfId="21" applyFont="1"/>
    <xf numFmtId="0" fontId="36" fillId="0" borderId="0" xfId="21" applyFont="1" applyAlignment="1">
      <alignment horizontal="center"/>
    </xf>
    <xf numFmtId="0" fontId="35" fillId="0" borderId="0" xfId="21" applyFont="1" applyAlignment="1">
      <alignment horizontal="left"/>
    </xf>
    <xf numFmtId="17" fontId="35" fillId="0" borderId="0" xfId="21" applyNumberFormat="1" applyFont="1"/>
    <xf numFmtId="0" fontId="35" fillId="0" borderId="5" xfId="21" applyFont="1" applyBorder="1" applyAlignment="1">
      <alignment horizontal="center" vertical="center" wrapText="1"/>
    </xf>
    <xf numFmtId="0" fontId="35" fillId="6" borderId="5" xfId="21" applyFont="1" applyFill="1" applyBorder="1" applyAlignment="1">
      <alignment horizontal="center" vertical="center" wrapText="1"/>
    </xf>
    <xf numFmtId="0" fontId="37" fillId="0" borderId="5" xfId="21" applyFont="1" applyBorder="1" applyAlignment="1">
      <alignment horizontal="center" vertical="center" wrapText="1"/>
    </xf>
    <xf numFmtId="0" fontId="34" fillId="0" borderId="41" xfId="21" applyFont="1" applyBorder="1" applyAlignment="1">
      <alignment horizontal="center" vertical="center" wrapText="1"/>
    </xf>
    <xf numFmtId="0" fontId="34" fillId="0" borderId="6" xfId="21" applyFont="1" applyBorder="1" applyAlignment="1">
      <alignment horizontal="center" vertical="center" wrapText="1"/>
    </xf>
    <xf numFmtId="0" fontId="34" fillId="0" borderId="1" xfId="21" applyFont="1" applyBorder="1" applyAlignment="1">
      <alignment horizontal="center" vertical="center" wrapText="1"/>
    </xf>
    <xf numFmtId="0" fontId="38" fillId="0" borderId="1" xfId="21" applyFont="1" applyBorder="1" applyAlignment="1">
      <alignment horizontal="center" vertical="center" wrapText="1"/>
    </xf>
    <xf numFmtId="0" fontId="34" fillId="0" borderId="13" xfId="21" applyFont="1" applyBorder="1" applyAlignment="1">
      <alignment horizontal="center" vertical="center" wrapText="1"/>
    </xf>
    <xf numFmtId="0" fontId="34" fillId="0" borderId="42" xfId="21" applyFont="1" applyBorder="1" applyAlignment="1">
      <alignment horizontal="center" vertical="center" wrapText="1"/>
    </xf>
    <xf numFmtId="0" fontId="31" fillId="0" borderId="43" xfId="21" applyFont="1" applyBorder="1"/>
    <xf numFmtId="0" fontId="31" fillId="0" borderId="37" xfId="21" applyFont="1" applyBorder="1"/>
    <xf numFmtId="0" fontId="31" fillId="0" borderId="44" xfId="21" applyFont="1" applyBorder="1"/>
    <xf numFmtId="0" fontId="39" fillId="0" borderId="44" xfId="21" applyFont="1" applyBorder="1" applyAlignment="1">
      <alignment horizontal="center" vertical="center" wrapText="1"/>
    </xf>
    <xf numFmtId="0" fontId="31" fillId="0" borderId="36" xfId="21" applyFont="1" applyBorder="1"/>
    <xf numFmtId="0" fontId="31" fillId="0" borderId="45" xfId="21" applyFont="1" applyBorder="1"/>
    <xf numFmtId="0" fontId="40" fillId="0" borderId="46" xfId="21" applyFont="1" applyBorder="1" applyAlignment="1">
      <alignment horizontal="center"/>
    </xf>
    <xf numFmtId="0" fontId="40" fillId="0" borderId="4" xfId="21" applyFont="1" applyBorder="1"/>
    <xf numFmtId="14" fontId="40" fillId="0" borderId="5" xfId="21" applyNumberFormat="1" applyFont="1" applyBorder="1" applyAlignment="1">
      <alignment horizontal="center" vertical="center"/>
    </xf>
    <xf numFmtId="0" fontId="41" fillId="0" borderId="5" xfId="21" applyFont="1" applyBorder="1" applyAlignment="1">
      <alignment horizontal="center" vertical="center" wrapText="1"/>
    </xf>
    <xf numFmtId="0" fontId="40" fillId="0" borderId="5" xfId="21" applyFont="1" applyBorder="1" applyAlignment="1">
      <alignment horizontal="center"/>
    </xf>
    <xf numFmtId="164" fontId="40" fillId="0" borderId="5" xfId="5" applyFont="1" applyFill="1" applyBorder="1"/>
    <xf numFmtId="164" fontId="40" fillId="0" borderId="5" xfId="5" applyFont="1" applyFill="1" applyBorder="1" applyAlignment="1">
      <alignment horizontal="center" readingOrder="1"/>
    </xf>
    <xf numFmtId="164" fontId="40" fillId="13" borderId="9" xfId="12" applyNumberFormat="1" applyFont="1" applyFill="1" applyBorder="1" applyAlignment="1">
      <alignment wrapText="1"/>
    </xf>
    <xf numFmtId="164" fontId="40" fillId="0" borderId="2" xfId="5" applyFont="1" applyFill="1" applyBorder="1"/>
    <xf numFmtId="164" fontId="40" fillId="0" borderId="47" xfId="5" applyFont="1" applyFill="1" applyBorder="1"/>
    <xf numFmtId="164" fontId="42" fillId="0" borderId="2" xfId="5" applyFont="1" applyFill="1" applyBorder="1"/>
    <xf numFmtId="164" fontId="34" fillId="0" borderId="2" xfId="5" applyFont="1" applyFill="1" applyBorder="1"/>
    <xf numFmtId="164" fontId="34" fillId="0" borderId="5" xfId="5" applyFont="1" applyFill="1" applyBorder="1"/>
    <xf numFmtId="14" fontId="40" fillId="0" borderId="5" xfId="21" applyNumberFormat="1" applyFont="1" applyBorder="1" applyAlignment="1">
      <alignment horizontal="center"/>
    </xf>
    <xf numFmtId="0" fontId="43" fillId="0" borderId="1" xfId="21" applyFont="1" applyBorder="1"/>
    <xf numFmtId="176" fontId="43" fillId="0" borderId="1" xfId="21" applyNumberFormat="1" applyFont="1" applyBorder="1" applyAlignment="1">
      <alignment horizontal="center"/>
    </xf>
    <xf numFmtId="0" fontId="43" fillId="0" borderId="1" xfId="21" applyFont="1" applyBorder="1" applyAlignment="1">
      <alignment horizontal="center"/>
    </xf>
    <xf numFmtId="164" fontId="43" fillId="0" borderId="13" xfId="5" applyFont="1" applyFill="1" applyBorder="1"/>
    <xf numFmtId="164" fontId="43" fillId="6" borderId="8" xfId="5" applyFont="1" applyFill="1" applyBorder="1" applyAlignment="1">
      <alignment horizontal="center" vertical="center" readingOrder="1"/>
    </xf>
    <xf numFmtId="164" fontId="43" fillId="0" borderId="5" xfId="5" applyFont="1" applyFill="1" applyBorder="1"/>
    <xf numFmtId="164" fontId="44" fillId="0" borderId="48" xfId="5" applyFont="1" applyFill="1" applyBorder="1"/>
    <xf numFmtId="164" fontId="34" fillId="0" borderId="48" xfId="5" applyFont="1" applyFill="1" applyBorder="1"/>
    <xf numFmtId="0" fontId="34" fillId="0" borderId="1" xfId="21" applyFont="1" applyBorder="1"/>
    <xf numFmtId="176" fontId="34" fillId="0" borderId="1" xfId="21" applyNumberFormat="1" applyFont="1" applyBorder="1" applyAlignment="1">
      <alignment horizontal="center"/>
    </xf>
    <xf numFmtId="0" fontId="34" fillId="0" borderId="1" xfId="21" applyFont="1" applyBorder="1" applyAlignment="1">
      <alignment horizontal="center"/>
    </xf>
    <xf numFmtId="164" fontId="34" fillId="0" borderId="1" xfId="5" applyFont="1" applyFill="1" applyBorder="1"/>
    <xf numFmtId="164" fontId="34" fillId="0" borderId="1" xfId="5" applyFont="1" applyFill="1" applyBorder="1" applyAlignment="1">
      <alignment horizontal="center" vertical="center" readingOrder="1"/>
    </xf>
    <xf numFmtId="0" fontId="44" fillId="0" borderId="1" xfId="21" applyFont="1" applyBorder="1"/>
    <xf numFmtId="164" fontId="45" fillId="14" borderId="1" xfId="5" applyFont="1" applyFill="1" applyBorder="1"/>
    <xf numFmtId="164" fontId="46" fillId="0" borderId="5" xfId="5" applyFont="1" applyFill="1" applyBorder="1"/>
    <xf numFmtId="164" fontId="34" fillId="0" borderId="49" xfId="5" applyFont="1" applyFill="1" applyBorder="1"/>
    <xf numFmtId="14" fontId="34" fillId="0" borderId="1" xfId="21" applyNumberFormat="1" applyFont="1" applyBorder="1" applyAlignment="1">
      <alignment horizontal="center"/>
    </xf>
    <xf numFmtId="0" fontId="34" fillId="15" borderId="1" xfId="21" applyFont="1" applyFill="1" applyBorder="1"/>
    <xf numFmtId="177" fontId="34" fillId="15" borderId="1" xfId="21" applyNumberFormat="1" applyFont="1" applyFill="1" applyBorder="1" applyAlignment="1">
      <alignment horizontal="center"/>
    </xf>
    <xf numFmtId="0" fontId="41" fillId="15" borderId="5" xfId="21" applyFont="1" applyFill="1" applyBorder="1" applyAlignment="1">
      <alignment horizontal="center" vertical="center" wrapText="1"/>
    </xf>
    <xf numFmtId="0" fontId="34" fillId="15" borderId="1" xfId="21" applyFont="1" applyFill="1" applyBorder="1" applyAlignment="1">
      <alignment horizontal="center"/>
    </xf>
    <xf numFmtId="164" fontId="34" fillId="15" borderId="1" xfId="5" applyFont="1" applyFill="1" applyBorder="1"/>
    <xf numFmtId="164" fontId="34" fillId="15" borderId="1" xfId="5" applyFont="1" applyFill="1" applyBorder="1" applyAlignment="1">
      <alignment horizontal="center" vertical="center" readingOrder="1"/>
    </xf>
    <xf numFmtId="164" fontId="40" fillId="15" borderId="9" xfId="12" applyNumberFormat="1" applyFont="1" applyFill="1" applyBorder="1" applyAlignment="1">
      <alignment wrapText="1"/>
    </xf>
    <xf numFmtId="164" fontId="40" fillId="15" borderId="2" xfId="5" applyFont="1" applyFill="1" applyBorder="1"/>
    <xf numFmtId="164" fontId="34" fillId="15" borderId="13" xfId="5" applyFont="1" applyFill="1" applyBorder="1"/>
    <xf numFmtId="164" fontId="40" fillId="15" borderId="47" xfId="5" applyFont="1" applyFill="1" applyBorder="1"/>
    <xf numFmtId="0" fontId="34" fillId="15" borderId="5" xfId="21" applyFont="1" applyFill="1" applyBorder="1"/>
    <xf numFmtId="177" fontId="34" fillId="15" borderId="5" xfId="21" applyNumberFormat="1" applyFont="1" applyFill="1" applyBorder="1" applyAlignment="1">
      <alignment horizontal="center"/>
    </xf>
    <xf numFmtId="0" fontId="34" fillId="15" borderId="5" xfId="21" applyFont="1" applyFill="1" applyBorder="1" applyAlignment="1">
      <alignment horizontal="center"/>
    </xf>
    <xf numFmtId="164" fontId="34" fillId="15" borderId="5" xfId="5" applyFont="1" applyFill="1" applyBorder="1"/>
    <xf numFmtId="164" fontId="34" fillId="15" borderId="5" xfId="5" applyFont="1" applyFill="1" applyBorder="1" applyAlignment="1">
      <alignment horizontal="center" vertical="center" readingOrder="1"/>
    </xf>
    <xf numFmtId="164" fontId="34" fillId="0" borderId="7" xfId="5" applyFont="1" applyFill="1" applyBorder="1"/>
    <xf numFmtId="164" fontId="47" fillId="15" borderId="5" xfId="5" applyFont="1" applyFill="1" applyBorder="1"/>
    <xf numFmtId="0" fontId="34" fillId="0" borderId="5" xfId="21" applyFont="1" applyBorder="1"/>
    <xf numFmtId="177" fontId="34" fillId="0" borderId="5" xfId="21" applyNumberFormat="1" applyFont="1" applyBorder="1" applyAlignment="1">
      <alignment horizontal="center"/>
    </xf>
    <xf numFmtId="0" fontId="34" fillId="0" borderId="5" xfId="21" applyFont="1" applyBorder="1" applyAlignment="1">
      <alignment horizontal="center"/>
    </xf>
    <xf numFmtId="164" fontId="34" fillId="0" borderId="5" xfId="5" applyFont="1" applyFill="1" applyBorder="1" applyAlignment="1">
      <alignment horizontal="center" vertical="center" readingOrder="1"/>
    </xf>
    <xf numFmtId="164" fontId="47" fillId="0" borderId="5" xfId="5" applyFont="1" applyFill="1" applyBorder="1"/>
    <xf numFmtId="164" fontId="34" fillId="0" borderId="0" xfId="21" applyNumberFormat="1" applyFont="1"/>
    <xf numFmtId="164" fontId="40" fillId="15" borderId="5" xfId="5" applyFont="1" applyFill="1" applyBorder="1"/>
    <xf numFmtId="164" fontId="40" fillId="13" borderId="5" xfId="12" applyNumberFormat="1" applyFont="1" applyFill="1" applyBorder="1" applyAlignment="1">
      <alignment wrapText="1"/>
    </xf>
    <xf numFmtId="164" fontId="40" fillId="0" borderId="50" xfId="5" applyFont="1" applyFill="1" applyBorder="1"/>
    <xf numFmtId="0" fontId="40" fillId="0" borderId="5" xfId="21" applyFont="1" applyBorder="1" applyAlignment="1">
      <alignment horizontal="left" vertical="center"/>
    </xf>
    <xf numFmtId="0" fontId="40" fillId="0" borderId="5" xfId="21" applyFont="1" applyBorder="1"/>
    <xf numFmtId="164" fontId="35" fillId="0" borderId="7" xfId="5" applyFont="1" applyFill="1" applyBorder="1"/>
    <xf numFmtId="0" fontId="40" fillId="0" borderId="4" xfId="21" applyFont="1" applyBorder="1" applyAlignment="1">
      <alignment horizontal="center"/>
    </xf>
    <xf numFmtId="0" fontId="40" fillId="0" borderId="4" xfId="21" applyFont="1" applyBorder="1" applyAlignment="1">
      <alignment horizontal="center" vertical="center"/>
    </xf>
    <xf numFmtId="0" fontId="40" fillId="0" borderId="4" xfId="21" applyFont="1" applyBorder="1" applyAlignment="1">
      <alignment horizontal="left" vertical="center"/>
    </xf>
    <xf numFmtId="0" fontId="41" fillId="0" borderId="5" xfId="21" applyFont="1" applyBorder="1" applyAlignment="1">
      <alignment horizontal="left" vertical="center" wrapText="1"/>
    </xf>
    <xf numFmtId="0" fontId="40" fillId="0" borderId="5" xfId="21" applyFont="1" applyBorder="1" applyAlignment="1">
      <alignment horizontal="left"/>
    </xf>
    <xf numFmtId="164" fontId="40" fillId="0" borderId="5" xfId="5" applyFont="1" applyFill="1" applyBorder="1" applyAlignment="1">
      <alignment horizontal="left"/>
    </xf>
    <xf numFmtId="164" fontId="34" fillId="0" borderId="5" xfId="5" applyFont="1" applyFill="1" applyBorder="1" applyAlignment="1">
      <alignment horizontal="left"/>
    </xf>
    <xf numFmtId="164" fontId="48" fillId="0" borderId="5" xfId="5" applyFont="1" applyFill="1" applyBorder="1"/>
    <xf numFmtId="0" fontId="48" fillId="0" borderId="5" xfId="21" applyFont="1" applyBorder="1" applyAlignment="1">
      <alignment horizontal="center" vertical="center"/>
    </xf>
    <xf numFmtId="0" fontId="48" fillId="0" borderId="5" xfId="21" applyFont="1" applyBorder="1" applyAlignment="1">
      <alignment vertical="center"/>
    </xf>
    <xf numFmtId="0" fontId="49" fillId="0" borderId="5" xfId="21" applyFont="1" applyBorder="1" applyAlignment="1">
      <alignment horizontal="center" vertical="center" wrapText="1"/>
    </xf>
    <xf numFmtId="0" fontId="48" fillId="0" borderId="5" xfId="21" applyFont="1" applyBorder="1"/>
    <xf numFmtId="164" fontId="35" fillId="0" borderId="5" xfId="5" applyFont="1" applyFill="1" applyBorder="1"/>
    <xf numFmtId="164" fontId="48" fillId="0" borderId="50" xfId="5" applyFont="1" applyFill="1" applyBorder="1"/>
    <xf numFmtId="164" fontId="35" fillId="0" borderId="49" xfId="5" applyFont="1" applyFill="1" applyBorder="1"/>
    <xf numFmtId="164" fontId="34" fillId="0" borderId="0" xfId="5" applyFont="1" applyFill="1" applyBorder="1"/>
    <xf numFmtId="171" fontId="34" fillId="0" borderId="0" xfId="12" applyNumberFormat="1" applyFont="1"/>
    <xf numFmtId="178" fontId="50" fillId="0" borderId="0" xfId="0" applyNumberFormat="1" applyFont="1" applyAlignment="1">
      <alignment vertical="center"/>
    </xf>
    <xf numFmtId="164" fontId="51" fillId="0" borderId="0" xfId="21" applyNumberFormat="1" applyFont="1"/>
    <xf numFmtId="165" fontId="51" fillId="0" borderId="0" xfId="21" applyNumberFormat="1" applyFont="1"/>
    <xf numFmtId="0" fontId="51" fillId="0" borderId="0" xfId="21" applyFont="1"/>
    <xf numFmtId="164" fontId="32" fillId="0" borderId="51" xfId="5" applyFont="1" applyFill="1" applyBorder="1"/>
    <xf numFmtId="164" fontId="32" fillId="0" borderId="0" xfId="5" applyFont="1" applyFill="1" applyBorder="1"/>
    <xf numFmtId="164" fontId="32" fillId="0" borderId="0" xfId="21" applyNumberFormat="1" applyFont="1"/>
    <xf numFmtId="0" fontId="52" fillId="0" borderId="0" xfId="21" applyFont="1"/>
    <xf numFmtId="165" fontId="52" fillId="0" borderId="0" xfId="21" applyNumberFormat="1" applyFont="1"/>
    <xf numFmtId="171" fontId="32" fillId="0" borderId="0" xfId="12" applyNumberFormat="1" applyFont="1" applyBorder="1"/>
    <xf numFmtId="165" fontId="32" fillId="0" borderId="0" xfId="21" applyNumberFormat="1" applyFont="1"/>
    <xf numFmtId="164" fontId="52" fillId="0" borderId="0" xfId="21" applyNumberFormat="1" applyFont="1"/>
    <xf numFmtId="0" fontId="37" fillId="0" borderId="0" xfId="21" applyFont="1"/>
    <xf numFmtId="165" fontId="37" fillId="0" borderId="0" xfId="12" applyFont="1" applyBorder="1"/>
    <xf numFmtId="164" fontId="37" fillId="0" borderId="0" xfId="21" applyNumberFormat="1" applyFont="1"/>
    <xf numFmtId="0" fontId="32" fillId="0" borderId="0" xfId="21" applyFont="1" applyAlignment="1">
      <alignment horizontal="center" vertical="center"/>
    </xf>
    <xf numFmtId="164" fontId="53" fillId="0" borderId="0" xfId="21" applyNumberFormat="1" applyFont="1"/>
    <xf numFmtId="0" fontId="53" fillId="0" borderId="0" xfId="21" applyFont="1"/>
    <xf numFmtId="171" fontId="37" fillId="0" borderId="0" xfId="12" applyNumberFormat="1" applyFont="1" applyBorder="1" applyAlignment="1"/>
    <xf numFmtId="0" fontId="32" fillId="0" borderId="0" xfId="21" applyFont="1" applyAlignment="1">
      <alignment horizontal="left"/>
    </xf>
    <xf numFmtId="0" fontId="32" fillId="0" borderId="0" xfId="21" applyFont="1" applyAlignment="1">
      <alignment horizontal="centerContinuous"/>
    </xf>
    <xf numFmtId="0" fontId="32" fillId="0" borderId="0" xfId="21" applyFont="1" applyAlignment="1">
      <alignment horizontal="center"/>
    </xf>
    <xf numFmtId="0" fontId="32" fillId="0" borderId="0" xfId="21" applyFont="1" applyAlignment="1" applyProtection="1">
      <alignment horizontal="center" vertical="center"/>
      <protection hidden="1"/>
    </xf>
    <xf numFmtId="164" fontId="54" fillId="0" borderId="0" xfId="24" applyNumberFormat="1" applyFont="1"/>
    <xf numFmtId="165" fontId="37" fillId="0" borderId="0" xfId="21" applyNumberFormat="1" applyFont="1"/>
    <xf numFmtId="0" fontId="55" fillId="0" borderId="0" xfId="21" applyFont="1"/>
    <xf numFmtId="0" fontId="32" fillId="0" borderId="0" xfId="21" applyFont="1" applyAlignment="1" applyProtection="1">
      <alignment vertical="center"/>
      <protection hidden="1"/>
    </xf>
    <xf numFmtId="0" fontId="37" fillId="0" borderId="0" xfId="21" applyFont="1" applyAlignment="1">
      <alignment horizontal="center"/>
    </xf>
    <xf numFmtId="171" fontId="56" fillId="0" borderId="0" xfId="21" applyNumberFormat="1" applyFont="1" applyAlignment="1">
      <alignment horizontal="center" vertical="center"/>
    </xf>
    <xf numFmtId="164" fontId="57" fillId="0" borderId="0" xfId="5" applyFont="1" applyFill="1" applyBorder="1"/>
    <xf numFmtId="0" fontId="58" fillId="0" borderId="0" xfId="21" applyFont="1" applyAlignment="1">
      <alignment horizontal="center" vertical="center"/>
    </xf>
    <xf numFmtId="0" fontId="56" fillId="0" borderId="0" xfId="21" applyFont="1" applyAlignment="1">
      <alignment horizontal="center" vertical="center"/>
    </xf>
    <xf numFmtId="164" fontId="60" fillId="0" borderId="0" xfId="21" applyNumberFormat="1" applyFont="1"/>
    <xf numFmtId="0" fontId="61" fillId="0" borderId="0" xfId="21" applyFont="1" applyAlignment="1">
      <alignment horizontal="center" vertical="center"/>
    </xf>
    <xf numFmtId="0" fontId="32" fillId="0" borderId="0" xfId="21" applyFont="1" applyAlignment="1">
      <alignment vertical="center"/>
    </xf>
    <xf numFmtId="0" fontId="48" fillId="0" borderId="5" xfId="21" applyFont="1" applyBorder="1" applyAlignment="1">
      <alignment horizontal="center"/>
    </xf>
    <xf numFmtId="0" fontId="35" fillId="0" borderId="5" xfId="21" applyFont="1" applyBorder="1"/>
    <xf numFmtId="164" fontId="48" fillId="13" borderId="5" xfId="12" applyNumberFormat="1" applyFont="1" applyFill="1" applyBorder="1" applyAlignment="1">
      <alignment wrapText="1"/>
    </xf>
    <xf numFmtId="164" fontId="32" fillId="0" borderId="7" xfId="5" applyFont="1" applyFill="1" applyBorder="1"/>
    <xf numFmtId="164" fontId="32" fillId="0" borderId="49" xfId="5" applyFont="1" applyFill="1" applyBorder="1"/>
    <xf numFmtId="164" fontId="62" fillId="0" borderId="0" xfId="21" applyNumberFormat="1" applyFont="1"/>
    <xf numFmtId="0" fontId="4" fillId="0" borderId="0" xfId="24"/>
    <xf numFmtId="0" fontId="8" fillId="0" borderId="0" xfId="24" applyFont="1"/>
    <xf numFmtId="0" fontId="4" fillId="16" borderId="63" xfId="24" applyFill="1" applyBorder="1"/>
    <xf numFmtId="164" fontId="0" fillId="16" borderId="63" xfId="9" applyFont="1" applyFill="1" applyBorder="1"/>
    <xf numFmtId="0" fontId="2" fillId="0" borderId="64" xfId="24" applyFont="1" applyBorder="1" applyAlignment="1">
      <alignment horizontal="center"/>
    </xf>
    <xf numFmtId="0" fontId="2" fillId="0" borderId="65" xfId="24" applyFont="1" applyBorder="1"/>
    <xf numFmtId="14" fontId="2" fillId="0" borderId="11" xfId="24" applyNumberFormat="1" applyFont="1" applyBorder="1" applyAlignment="1">
      <alignment horizontal="center" vertical="center"/>
    </xf>
    <xf numFmtId="164" fontId="2" fillId="0" borderId="65" xfId="9" applyFont="1" applyBorder="1" applyAlignment="1">
      <alignment horizontal="center"/>
    </xf>
    <xf numFmtId="164" fontId="4" fillId="0" borderId="0" xfId="24" applyNumberFormat="1"/>
    <xf numFmtId="0" fontId="2" fillId="0" borderId="66" xfId="24" applyFont="1" applyBorder="1" applyAlignment="1">
      <alignment horizontal="center"/>
    </xf>
    <xf numFmtId="0" fontId="2" fillId="0" borderId="67" xfId="24" applyFont="1" applyBorder="1"/>
    <xf numFmtId="14" fontId="2" fillId="0" borderId="3" xfId="24" applyNumberFormat="1" applyFont="1" applyBorder="1" applyAlignment="1">
      <alignment horizontal="center" vertical="center"/>
    </xf>
    <xf numFmtId="164" fontId="2" fillId="0" borderId="67" xfId="9" applyFont="1" applyBorder="1" applyAlignment="1">
      <alignment horizontal="center"/>
    </xf>
    <xf numFmtId="171" fontId="2" fillId="0" borderId="67" xfId="17" applyNumberFormat="1" applyFont="1" applyBorder="1" applyAlignment="1">
      <alignment horizontal="center"/>
    </xf>
    <xf numFmtId="164" fontId="2" fillId="0" borderId="63" xfId="24" applyNumberFormat="1" applyFont="1" applyBorder="1"/>
    <xf numFmtId="0" fontId="1" fillId="0" borderId="0" xfId="24" applyFont="1" applyAlignment="1">
      <alignment horizontal="left" vertical="center"/>
    </xf>
    <xf numFmtId="164" fontId="2" fillId="0" borderId="0" xfId="24" applyNumberFormat="1" applyFont="1"/>
    <xf numFmtId="0" fontId="4" fillId="0" borderId="0" xfId="24" applyAlignment="1">
      <alignment horizontal="center"/>
    </xf>
    <xf numFmtId="0" fontId="9" fillId="0" borderId="0" xfId="24" applyFont="1"/>
    <xf numFmtId="178" fontId="4" fillId="0" borderId="0" xfId="24" applyNumberFormat="1"/>
    <xf numFmtId="0" fontId="9" fillId="0" borderId="0" xfId="24" applyFont="1" applyAlignment="1">
      <alignment horizontal="center"/>
    </xf>
    <xf numFmtId="0" fontId="2" fillId="0" borderId="0" xfId="19" applyFont="1"/>
    <xf numFmtId="0" fontId="63" fillId="0" borderId="0" xfId="19" applyFont="1" applyAlignment="1">
      <alignment horizontal="center" vertical="center"/>
    </xf>
    <xf numFmtId="0" fontId="64" fillId="0" borderId="0" xfId="19" applyFont="1" applyAlignment="1">
      <alignment vertical="center"/>
    </xf>
    <xf numFmtId="0" fontId="63" fillId="0" borderId="0" xfId="19" applyFont="1" applyAlignment="1">
      <alignment vertical="center"/>
    </xf>
    <xf numFmtId="0" fontId="64" fillId="0" borderId="0" xfId="19" applyFont="1"/>
    <xf numFmtId="0" fontId="4" fillId="0" borderId="0" xfId="19" applyAlignment="1">
      <alignment horizontal="center" vertical="center"/>
    </xf>
    <xf numFmtId="0" fontId="4" fillId="0" borderId="0" xfId="19"/>
    <xf numFmtId="0" fontId="1" fillId="0" borderId="0" xfId="19" applyFont="1" applyAlignment="1">
      <alignment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/>
    </xf>
    <xf numFmtId="0" fontId="65" fillId="0" borderId="10" xfId="19" applyFont="1" applyBorder="1" applyAlignment="1">
      <alignment horizontal="center" vertical="center"/>
    </xf>
    <xf numFmtId="0" fontId="63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vertical="center"/>
    </xf>
    <xf numFmtId="172" fontId="12" fillId="0" borderId="5" xfId="10" applyNumberFormat="1" applyFont="1" applyBorder="1" applyAlignment="1">
      <alignment vertical="center"/>
    </xf>
    <xf numFmtId="172" fontId="12" fillId="0" borderId="5" xfId="10" applyNumberFormat="1" applyFont="1" applyBorder="1" applyAlignment="1">
      <alignment horizontal="center" vertical="center"/>
    </xf>
    <xf numFmtId="172" fontId="64" fillId="0" borderId="0" xfId="19" applyNumberFormat="1" applyFont="1" applyAlignment="1">
      <alignment vertical="center"/>
    </xf>
    <xf numFmtId="169" fontId="64" fillId="0" borderId="0" xfId="10" applyFont="1" applyAlignment="1">
      <alignment vertical="center"/>
    </xf>
    <xf numFmtId="0" fontId="65" fillId="0" borderId="5" xfId="19" applyFont="1" applyBorder="1" applyAlignment="1">
      <alignment vertical="center"/>
    </xf>
    <xf numFmtId="172" fontId="65" fillId="0" borderId="5" xfId="10" applyNumberFormat="1" applyFont="1" applyBorder="1" applyAlignment="1">
      <alignment vertical="center"/>
    </xf>
    <xf numFmtId="172" fontId="63" fillId="0" borderId="0" xfId="19" applyNumberFormat="1" applyFont="1" applyAlignment="1">
      <alignment vertical="center"/>
    </xf>
    <xf numFmtId="172" fontId="63" fillId="0" borderId="0" xfId="10" applyNumberFormat="1" applyFont="1" applyBorder="1" applyAlignment="1">
      <alignment vertical="center"/>
    </xf>
    <xf numFmtId="0" fontId="65" fillId="0" borderId="0" xfId="19" applyFont="1" applyAlignment="1">
      <alignment horizontal="center" vertical="center"/>
    </xf>
    <xf numFmtId="0" fontId="65" fillId="0" borderId="0" xfId="19" applyFont="1" applyAlignment="1">
      <alignment vertical="center"/>
    </xf>
    <xf numFmtId="172" fontId="65" fillId="0" borderId="0" xfId="10" applyNumberFormat="1" applyFont="1" applyBorder="1" applyAlignment="1">
      <alignment vertical="center"/>
    </xf>
    <xf numFmtId="172" fontId="63" fillId="0" borderId="0" xfId="10" applyNumberFormat="1" applyFont="1" applyAlignment="1">
      <alignment vertical="center"/>
    </xf>
    <xf numFmtId="0" fontId="65" fillId="0" borderId="3" xfId="19" applyFont="1" applyBorder="1" applyAlignment="1">
      <alignment vertical="center"/>
    </xf>
    <xf numFmtId="0" fontId="65" fillId="0" borderId="4" xfId="19" applyFont="1" applyBorder="1" applyAlignment="1">
      <alignment vertical="center"/>
    </xf>
    <xf numFmtId="0" fontId="65" fillId="0" borderId="5" xfId="19" applyFont="1" applyBorder="1" applyAlignment="1">
      <alignment horizontal="center" vertical="center" wrapText="1"/>
    </xf>
    <xf numFmtId="172" fontId="64" fillId="0" borderId="0" xfId="10" applyNumberFormat="1" applyFont="1" applyAlignment="1"/>
    <xf numFmtId="172" fontId="63" fillId="0" borderId="0" xfId="19" applyNumberFormat="1" applyFont="1" applyAlignment="1">
      <alignment horizontal="center" vertical="center"/>
    </xf>
    <xf numFmtId="172" fontId="65" fillId="0" borderId="0" xfId="19" applyNumberFormat="1" applyFont="1" applyAlignment="1">
      <alignment vertical="center"/>
    </xf>
    <xf numFmtId="0" fontId="64" fillId="0" borderId="0" xfId="19" applyFont="1" applyAlignment="1">
      <alignment horizontal="center" vertical="center"/>
    </xf>
    <xf numFmtId="9" fontId="64" fillId="0" borderId="0" xfId="26" applyFont="1" applyAlignment="1"/>
    <xf numFmtId="172" fontId="12" fillId="0" borderId="48" xfId="10" applyNumberFormat="1" applyFont="1" applyBorder="1" applyAlignment="1">
      <alignment horizontal="center" vertical="center"/>
    </xf>
    <xf numFmtId="172" fontId="64" fillId="0" borderId="0" xfId="10" applyNumberFormat="1" applyFont="1" applyBorder="1" applyAlignment="1"/>
    <xf numFmtId="172" fontId="12" fillId="0" borderId="9" xfId="10" applyNumberFormat="1" applyFont="1" applyBorder="1" applyAlignment="1">
      <alignment horizontal="center" vertical="center"/>
    </xf>
    <xf numFmtId="172" fontId="65" fillId="0" borderId="48" xfId="10" applyNumberFormat="1" applyFont="1" applyBorder="1" applyAlignment="1">
      <alignment vertical="center"/>
    </xf>
    <xf numFmtId="172" fontId="4" fillId="0" borderId="0" xfId="19" applyNumberFormat="1"/>
    <xf numFmtId="172" fontId="0" fillId="0" borderId="0" xfId="10" applyNumberFormat="1" applyFont="1" applyAlignment="1"/>
    <xf numFmtId="0" fontId="4" fillId="0" borderId="0" xfId="23"/>
    <xf numFmtId="0" fontId="4" fillId="6" borderId="0" xfId="23" applyFill="1"/>
    <xf numFmtId="0" fontId="8" fillId="0" borderId="0" xfId="23" applyFont="1"/>
    <xf numFmtId="0" fontId="12" fillId="0" borderId="0" xfId="23" applyFont="1"/>
    <xf numFmtId="0" fontId="8" fillId="0" borderId="0" xfId="23" applyFont="1" applyAlignment="1">
      <alignment horizontal="center" vertical="center"/>
    </xf>
    <xf numFmtId="0" fontId="8" fillId="0" borderId="0" xfId="23" applyFont="1" applyAlignment="1">
      <alignment vertical="center"/>
    </xf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5" fillId="18" borderId="5" xfId="23" applyFont="1" applyFill="1" applyBorder="1" applyAlignment="1">
      <alignment horizontal="center" wrapText="1"/>
    </xf>
    <xf numFmtId="164" fontId="12" fillId="0" borderId="0" xfId="23" applyNumberFormat="1" applyFont="1"/>
    <xf numFmtId="0" fontId="12" fillId="6" borderId="5" xfId="23" applyFont="1" applyFill="1" applyBorder="1" applyAlignment="1">
      <alignment horizontal="center"/>
    </xf>
    <xf numFmtId="14" fontId="12" fillId="6" borderId="5" xfId="0" applyNumberFormat="1" applyFont="1" applyFill="1" applyBorder="1"/>
    <xf numFmtId="0" fontId="66" fillId="6" borderId="5" xfId="0" applyFont="1" applyFill="1" applyBorder="1"/>
    <xf numFmtId="0" fontId="67" fillId="6" borderId="5" xfId="0" applyFont="1" applyFill="1" applyBorder="1"/>
    <xf numFmtId="164" fontId="67" fillId="6" borderId="5" xfId="3" applyFont="1" applyFill="1" applyBorder="1"/>
    <xf numFmtId="0" fontId="67" fillId="6" borderId="5" xfId="0" applyFont="1" applyFill="1" applyBorder="1" applyAlignment="1">
      <alignment horizontal="center" vertical="center"/>
    </xf>
    <xf numFmtId="164" fontId="12" fillId="0" borderId="0" xfId="6" applyFont="1"/>
    <xf numFmtId="0" fontId="12" fillId="6" borderId="5" xfId="0" applyFont="1" applyFill="1" applyBorder="1"/>
    <xf numFmtId="0" fontId="67" fillId="0" borderId="5" xfId="0" applyFont="1" applyBorder="1"/>
    <xf numFmtId="164" fontId="67" fillId="0" borderId="5" xfId="3" applyFont="1" applyFill="1" applyBorder="1"/>
    <xf numFmtId="0" fontId="67" fillId="0" borderId="5" xfId="0" applyFont="1" applyBorder="1" applyAlignment="1">
      <alignment horizontal="center" vertical="center"/>
    </xf>
    <xf numFmtId="0" fontId="12" fillId="0" borderId="5" xfId="0" applyFont="1" applyBorder="1"/>
    <xf numFmtId="164" fontId="12" fillId="0" borderId="5" xfId="3" applyFont="1" applyFill="1" applyBorder="1"/>
    <xf numFmtId="0" fontId="12" fillId="0" borderId="5" xfId="0" applyFont="1" applyBorder="1" applyAlignment="1">
      <alignment horizontal="center" vertical="center"/>
    </xf>
    <xf numFmtId="171" fontId="12" fillId="0" borderId="0" xfId="13" applyNumberFormat="1" applyFont="1"/>
    <xf numFmtId="0" fontId="66" fillId="0" borderId="5" xfId="0" applyFont="1" applyBorder="1"/>
    <xf numFmtId="164" fontId="66" fillId="0" borderId="5" xfId="3" applyFont="1" applyFill="1" applyBorder="1"/>
    <xf numFmtId="0" fontId="66" fillId="0" borderId="5" xfId="0" applyFont="1" applyBorder="1" applyAlignment="1">
      <alignment horizontal="center" vertical="center"/>
    </xf>
    <xf numFmtId="0" fontId="66" fillId="15" borderId="5" xfId="0" applyFont="1" applyFill="1" applyBorder="1"/>
    <xf numFmtId="164" fontId="66" fillId="15" borderId="5" xfId="3" applyFont="1" applyFill="1" applyBorder="1"/>
    <xf numFmtId="164" fontId="67" fillId="15" borderId="5" xfId="3" applyFont="1" applyFill="1" applyBorder="1"/>
    <xf numFmtId="0" fontId="66" fillId="15" borderId="5" xfId="0" applyFont="1" applyFill="1" applyBorder="1" applyAlignment="1">
      <alignment horizontal="center" vertical="center"/>
    </xf>
    <xf numFmtId="0" fontId="67" fillId="15" borderId="5" xfId="0" applyFont="1" applyFill="1" applyBorder="1" applyAlignment="1">
      <alignment horizontal="center" vertical="center"/>
    </xf>
    <xf numFmtId="0" fontId="12" fillId="0" borderId="5" xfId="23" applyFont="1" applyBorder="1" applyAlignment="1">
      <alignment horizontal="center"/>
    </xf>
    <xf numFmtId="0" fontId="67" fillId="15" borderId="5" xfId="0" applyFont="1" applyFill="1" applyBorder="1"/>
    <xf numFmtId="0" fontId="12" fillId="15" borderId="5" xfId="0" applyFont="1" applyFill="1" applyBorder="1"/>
    <xf numFmtId="164" fontId="12" fillId="15" borderId="5" xfId="3" applyFont="1" applyFill="1" applyBorder="1"/>
    <xf numFmtId="0" fontId="12" fillId="15" borderId="5" xfId="0" applyFont="1" applyFill="1" applyBorder="1" applyAlignment="1">
      <alignment horizontal="center" vertical="center"/>
    </xf>
    <xf numFmtId="171" fontId="12" fillId="0" borderId="0" xfId="23" applyNumberFormat="1" applyFont="1"/>
    <xf numFmtId="164" fontId="4" fillId="0" borderId="0" xfId="23" applyNumberFormat="1"/>
    <xf numFmtId="164" fontId="8" fillId="0" borderId="0" xfId="23" applyNumberFormat="1" applyFont="1"/>
    <xf numFmtId="0" fontId="12" fillId="0" borderId="5" xfId="23" applyFont="1" applyBorder="1" applyAlignment="1">
      <alignment horizontal="left" vertical="center"/>
    </xf>
    <xf numFmtId="0" fontId="12" fillId="15" borderId="5" xfId="23" applyFont="1" applyFill="1" applyBorder="1" applyAlignment="1">
      <alignment horizontal="left" vertical="center"/>
    </xf>
    <xf numFmtId="164" fontId="12" fillId="15" borderId="5" xfId="6" applyFont="1" applyFill="1" applyBorder="1" applyAlignment="1">
      <alignment horizontal="left" vertical="center"/>
    </xf>
    <xf numFmtId="164" fontId="67" fillId="15" borderId="5" xfId="3" applyFont="1" applyFill="1" applyBorder="1" applyAlignment="1">
      <alignment horizontal="left"/>
    </xf>
    <xf numFmtId="0" fontId="12" fillId="15" borderId="5" xfId="23" applyFont="1" applyFill="1" applyBorder="1" applyAlignment="1">
      <alignment horizontal="center" vertical="center"/>
    </xf>
    <xf numFmtId="164" fontId="12" fillId="0" borderId="5" xfId="6" applyFont="1" applyFill="1" applyBorder="1" applyAlignment="1">
      <alignment horizontal="left" vertical="center"/>
    </xf>
    <xf numFmtId="164" fontId="67" fillId="0" borderId="5" xfId="3" applyFont="1" applyFill="1" applyBorder="1" applyAlignment="1">
      <alignment horizontal="left"/>
    </xf>
    <xf numFmtId="0" fontId="12" fillId="0" borderId="5" xfId="23" applyFont="1" applyBorder="1" applyAlignment="1">
      <alignment horizontal="center" vertical="center"/>
    </xf>
    <xf numFmtId="164" fontId="66" fillId="0" borderId="0" xfId="23" applyNumberFormat="1" applyFont="1"/>
    <xf numFmtId="164" fontId="12" fillId="15" borderId="5" xfId="6" applyFont="1" applyFill="1" applyBorder="1" applyAlignment="1">
      <alignment vertical="center"/>
    </xf>
    <xf numFmtId="0" fontId="12" fillId="6" borderId="5" xfId="23" applyFont="1" applyFill="1" applyBorder="1" applyAlignment="1">
      <alignment horizontal="center" vertical="center"/>
    </xf>
    <xf numFmtId="0" fontId="68" fillId="15" borderId="5" xfId="23" applyFont="1" applyFill="1" applyBorder="1" applyAlignment="1">
      <alignment horizontal="center" vertical="center"/>
    </xf>
    <xf numFmtId="0" fontId="12" fillId="6" borderId="5" xfId="23" applyFont="1" applyFill="1" applyBorder="1" applyAlignment="1">
      <alignment horizontal="left" vertical="center"/>
    </xf>
    <xf numFmtId="164" fontId="12" fillId="6" borderId="5" xfId="6" applyFont="1" applyFill="1" applyBorder="1" applyAlignment="1">
      <alignment vertical="center"/>
    </xf>
    <xf numFmtId="0" fontId="68" fillId="6" borderId="5" xfId="23" applyFont="1" applyFill="1" applyBorder="1" applyAlignment="1">
      <alignment horizontal="center" vertical="center"/>
    </xf>
    <xf numFmtId="164" fontId="68" fillId="6" borderId="5" xfId="6" applyFont="1" applyFill="1" applyBorder="1" applyAlignment="1">
      <alignment vertical="center"/>
    </xf>
    <xf numFmtId="164" fontId="69" fillId="6" borderId="5" xfId="3" applyFont="1" applyFill="1" applyBorder="1"/>
    <xf numFmtId="171" fontId="4" fillId="0" borderId="0" xfId="1" applyNumberFormat="1" applyFont="1" applyFill="1" applyBorder="1" applyAlignment="1" applyProtection="1"/>
    <xf numFmtId="171" fontId="4" fillId="0" borderId="0" xfId="23" applyNumberFormat="1"/>
    <xf numFmtId="171" fontId="0" fillId="0" borderId="0" xfId="13" applyNumberFormat="1" applyFont="1"/>
    <xf numFmtId="164" fontId="0" fillId="0" borderId="0" xfId="6" applyFont="1"/>
    <xf numFmtId="0" fontId="9" fillId="0" borderId="0" xfId="23" applyFont="1" applyAlignment="1">
      <alignment horizontal="left"/>
    </xf>
    <xf numFmtId="0" fontId="9" fillId="0" borderId="0" xfId="23" applyFont="1"/>
    <xf numFmtId="0" fontId="9" fillId="0" borderId="0" xfId="23" applyFont="1" applyAlignment="1">
      <alignment horizontal="center"/>
    </xf>
    <xf numFmtId="164" fontId="70" fillId="0" borderId="0" xfId="6" applyFont="1" applyAlignment="1">
      <alignment horizontal="center"/>
    </xf>
    <xf numFmtId="0" fontId="0" fillId="0" borderId="0" xfId="0" applyAlignment="1">
      <alignment horizontal="left"/>
    </xf>
    <xf numFmtId="0" fontId="4" fillId="15" borderId="44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71" fillId="6" borderId="5" xfId="0" applyFont="1" applyFill="1" applyBorder="1"/>
    <xf numFmtId="164" fontId="0" fillId="0" borderId="5" xfId="3" applyFont="1" applyFill="1" applyBorder="1" applyAlignment="1">
      <alignment vertical="center"/>
    </xf>
    <xf numFmtId="164" fontId="0" fillId="6" borderId="5" xfId="3" applyFont="1" applyFill="1" applyBorder="1" applyAlignment="1">
      <alignment horizontal="left" vertical="center"/>
    </xf>
    <xf numFmtId="171" fontId="0" fillId="0" borderId="5" xfId="1" applyNumberFormat="1" applyFont="1" applyFill="1" applyBorder="1" applyAlignment="1">
      <alignment vertical="center"/>
    </xf>
    <xf numFmtId="164" fontId="0" fillId="6" borderId="5" xfId="3" applyFont="1" applyFill="1" applyBorder="1"/>
    <xf numFmtId="164" fontId="0" fillId="6" borderId="5" xfId="3" applyFont="1" applyFill="1" applyBorder="1" applyAlignment="1">
      <alignment horizontal="left"/>
    </xf>
    <xf numFmtId="0" fontId="71" fillId="6" borderId="5" xfId="0" applyFont="1" applyFill="1" applyBorder="1" applyAlignment="1">
      <alignment vertical="center"/>
    </xf>
    <xf numFmtId="164" fontId="0" fillId="6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left" vertical="center"/>
    </xf>
    <xf numFmtId="164" fontId="0" fillId="6" borderId="5" xfId="3" applyFont="1" applyFill="1" applyBorder="1" applyAlignment="1">
      <alignment vertical="center"/>
    </xf>
    <xf numFmtId="164" fontId="4" fillId="6" borderId="5" xfId="3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>
      <alignment vertical="center"/>
    </xf>
    <xf numFmtId="171" fontId="0" fillId="6" borderId="5" xfId="1" applyNumberFormat="1" applyFont="1" applyFill="1" applyBorder="1" applyAlignment="1">
      <alignment vertical="center"/>
    </xf>
    <xf numFmtId="0" fontId="71" fillId="0" borderId="5" xfId="0" applyFont="1" applyBorder="1" applyAlignment="1">
      <alignment horizontal="left" vertical="center"/>
    </xf>
    <xf numFmtId="164" fontId="0" fillId="0" borderId="5" xfId="3" applyFont="1" applyFill="1" applyBorder="1" applyAlignment="1">
      <alignment horizontal="left" vertical="center"/>
    </xf>
    <xf numFmtId="171" fontId="4" fillId="0" borderId="5" xfId="1" applyNumberFormat="1" applyFont="1" applyBorder="1" applyAlignment="1">
      <alignment horizontal="left" vertical="center"/>
    </xf>
    <xf numFmtId="0" fontId="71" fillId="6" borderId="5" xfId="0" applyFont="1" applyFill="1" applyBorder="1" applyAlignment="1">
      <alignment horizontal="left" vertical="center"/>
    </xf>
    <xf numFmtId="164" fontId="0" fillId="6" borderId="5" xfId="0" applyNumberFormat="1" applyFill="1" applyBorder="1"/>
    <xf numFmtId="164" fontId="72" fillId="6" borderId="5" xfId="0" applyNumberFormat="1" applyFont="1" applyFill="1" applyBorder="1" applyAlignment="1">
      <alignment horizontal="left"/>
    </xf>
    <xf numFmtId="164" fontId="0" fillId="0" borderId="0" xfId="0" applyNumberFormat="1"/>
    <xf numFmtId="0" fontId="71" fillId="0" borderId="5" xfId="0" applyFont="1" applyBorder="1" applyAlignment="1">
      <alignment vertical="center"/>
    </xf>
    <xf numFmtId="164" fontId="0" fillId="0" borderId="5" xfId="0" applyNumberFormat="1" applyBorder="1"/>
    <xf numFmtId="164" fontId="0" fillId="0" borderId="5" xfId="0" applyNumberFormat="1" applyBorder="1" applyAlignment="1">
      <alignment horizontal="left"/>
    </xf>
    <xf numFmtId="0" fontId="8" fillId="6" borderId="5" xfId="0" applyFont="1" applyFill="1" applyBorder="1" applyAlignment="1">
      <alignment vertical="center"/>
    </xf>
    <xf numFmtId="171" fontId="4" fillId="6" borderId="5" xfId="1" applyNumberFormat="1" applyFont="1" applyFill="1" applyBorder="1" applyAlignment="1">
      <alignment horizontal="left" vertical="center"/>
    </xf>
    <xf numFmtId="164" fontId="73" fillId="6" borderId="5" xfId="0" applyNumberFormat="1" applyFont="1" applyFill="1" applyBorder="1" applyAlignment="1">
      <alignment horizontal="left"/>
    </xf>
    <xf numFmtId="164" fontId="0" fillId="6" borderId="5" xfId="0" applyNumberFormat="1" applyFill="1" applyBorder="1" applyAlignment="1">
      <alignment horizontal="left"/>
    </xf>
    <xf numFmtId="164" fontId="0" fillId="6" borderId="5" xfId="3" applyFont="1" applyFill="1" applyBorder="1" applyAlignment="1">
      <alignment horizontal="center"/>
    </xf>
    <xf numFmtId="0" fontId="8" fillId="6" borderId="5" xfId="0" applyFont="1" applyFill="1" applyBorder="1"/>
    <xf numFmtId="164" fontId="73" fillId="6" borderId="0" xfId="0" applyNumberFormat="1" applyFont="1" applyFill="1"/>
    <xf numFmtId="179" fontId="0" fillId="0" borderId="0" xfId="0" applyNumberFormat="1"/>
    <xf numFmtId="164" fontId="74" fillId="6" borderId="5" xfId="3" applyFont="1" applyFill="1" applyBorder="1" applyAlignment="1">
      <alignment horizontal="left"/>
    </xf>
    <xf numFmtId="164" fontId="73" fillId="6" borderId="5" xfId="3" applyFont="1" applyFill="1" applyBorder="1" applyAlignment="1">
      <alignment horizontal="left"/>
    </xf>
    <xf numFmtId="171" fontId="0" fillId="0" borderId="5" xfId="1" applyNumberFormat="1" applyFont="1" applyFill="1" applyBorder="1" applyAlignment="1">
      <alignment horizontal="left" vertical="top"/>
    </xf>
    <xf numFmtId="164" fontId="0" fillId="6" borderId="5" xfId="3" applyFont="1" applyFill="1" applyBorder="1" applyAlignment="1">
      <alignment horizontal="center" vertical="center"/>
    </xf>
    <xf numFmtId="0" fontId="8" fillId="6" borderId="9" xfId="0" applyFont="1" applyFill="1" applyBorder="1"/>
    <xf numFmtId="164" fontId="0" fillId="6" borderId="9" xfId="3" applyFont="1" applyFill="1" applyBorder="1" applyAlignment="1">
      <alignment horizontal="left" vertical="center"/>
    </xf>
    <xf numFmtId="171" fontId="4" fillId="0" borderId="9" xfId="1" applyNumberFormat="1" applyFont="1" applyBorder="1" applyAlignment="1">
      <alignment vertical="center"/>
    </xf>
    <xf numFmtId="171" fontId="4" fillId="0" borderId="9" xfId="1" applyNumberFormat="1" applyFont="1" applyBorder="1" applyAlignment="1">
      <alignment horizontal="center" vertical="center"/>
    </xf>
    <xf numFmtId="171" fontId="0" fillId="0" borderId="9" xfId="1" applyNumberFormat="1" applyFont="1" applyFill="1" applyBorder="1" applyAlignment="1">
      <alignment vertical="center"/>
    </xf>
    <xf numFmtId="164" fontId="0" fillId="6" borderId="14" xfId="3" applyFont="1" applyFill="1" applyBorder="1" applyAlignment="1">
      <alignment horizontal="center"/>
    </xf>
    <xf numFmtId="171" fontId="0" fillId="6" borderId="9" xfId="1" applyNumberFormat="1" applyFont="1" applyFill="1" applyBorder="1" applyAlignment="1">
      <alignment horizontal="center" vertical="center"/>
    </xf>
    <xf numFmtId="0" fontId="8" fillId="6" borderId="10" xfId="0" applyFont="1" applyFill="1" applyBorder="1"/>
    <xf numFmtId="0" fontId="8" fillId="6" borderId="4" xfId="0" applyFont="1" applyFill="1" applyBorder="1"/>
    <xf numFmtId="164" fontId="0" fillId="6" borderId="2" xfId="3" applyFont="1" applyFill="1" applyBorder="1" applyAlignment="1">
      <alignment horizontal="center"/>
    </xf>
    <xf numFmtId="171" fontId="4" fillId="0" borderId="5" xfId="1" applyNumberFormat="1" applyFont="1" applyFill="1" applyBorder="1" applyAlignment="1">
      <alignment vertical="center"/>
    </xf>
    <xf numFmtId="14" fontId="4" fillId="0" borderId="9" xfId="3" applyNumberFormat="1" applyFont="1" applyFill="1" applyBorder="1" applyAlignment="1">
      <alignment vertical="center"/>
    </xf>
    <xf numFmtId="171" fontId="0" fillId="0" borderId="9" xfId="1" applyNumberFormat="1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164" fontId="0" fillId="0" borderId="9" xfId="3" applyFont="1" applyFill="1" applyBorder="1" applyAlignment="1">
      <alignment horizontal="left" vertical="center"/>
    </xf>
    <xf numFmtId="171" fontId="4" fillId="0" borderId="14" xfId="1" applyNumberFormat="1" applyFont="1" applyBorder="1" applyAlignment="1">
      <alignment vertical="center"/>
    </xf>
    <xf numFmtId="171" fontId="7" fillId="0" borderId="5" xfId="1" applyNumberFormat="1" applyFont="1" applyBorder="1" applyAlignment="1">
      <alignment horizontal="left" vertical="center"/>
    </xf>
    <xf numFmtId="0" fontId="75" fillId="0" borderId="5" xfId="0" applyFont="1" applyBorder="1" applyAlignment="1">
      <alignment horizontal="left" vertical="center"/>
    </xf>
    <xf numFmtId="0" fontId="75" fillId="6" borderId="5" xfId="0" applyFont="1" applyFill="1" applyBorder="1" applyAlignment="1">
      <alignment vertical="center"/>
    </xf>
    <xf numFmtId="0" fontId="75" fillId="6" borderId="5" xfId="0" applyFont="1" applyFill="1" applyBorder="1"/>
    <xf numFmtId="171" fontId="0" fillId="6" borderId="5" xfId="1" applyNumberFormat="1" applyFont="1" applyFill="1" applyBorder="1"/>
    <xf numFmtId="171" fontId="0" fillId="6" borderId="5" xfId="1" applyNumberFormat="1" applyFont="1" applyFill="1" applyBorder="1" applyAlignment="1">
      <alignment horizontal="left"/>
    </xf>
    <xf numFmtId="0" fontId="75" fillId="6" borderId="5" xfId="0" applyFont="1" applyFill="1" applyBorder="1" applyAlignment="1">
      <alignment horizontal="left" vertical="center"/>
    </xf>
    <xf numFmtId="164" fontId="76" fillId="6" borderId="5" xfId="3" applyFont="1" applyFill="1" applyBorder="1" applyAlignment="1">
      <alignment horizontal="left" vertical="center"/>
    </xf>
    <xf numFmtId="164" fontId="0" fillId="6" borderId="5" xfId="3" applyFont="1" applyFill="1" applyBorder="1" applyAlignment="1">
      <alignment horizontal="center" vertical="top"/>
    </xf>
    <xf numFmtId="164" fontId="0" fillId="6" borderId="5" xfId="3" applyFont="1" applyFill="1" applyBorder="1" applyAlignment="1">
      <alignment horizontal="left" vertical="top"/>
    </xf>
    <xf numFmtId="171" fontId="10" fillId="0" borderId="5" xfId="1" applyNumberFormat="1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164" fontId="8" fillId="6" borderId="9" xfId="3" applyFont="1" applyFill="1" applyBorder="1"/>
    <xf numFmtId="171" fontId="11" fillId="6" borderId="9" xfId="0" applyNumberFormat="1" applyFont="1" applyFill="1" applyBorder="1" applyAlignment="1">
      <alignment horizontal="left" vertical="center"/>
    </xf>
    <xf numFmtId="164" fontId="8" fillId="6" borderId="9" xfId="3" applyFont="1" applyFill="1" applyBorder="1" applyAlignment="1">
      <alignment horizontal="center" vertical="center"/>
    </xf>
    <xf numFmtId="164" fontId="8" fillId="6" borderId="9" xfId="3" applyFont="1" applyFill="1" applyBorder="1" applyAlignment="1">
      <alignment vertical="center"/>
    </xf>
    <xf numFmtId="164" fontId="8" fillId="6" borderId="9" xfId="0" applyNumberFormat="1" applyFont="1" applyFill="1" applyBorder="1" applyAlignment="1">
      <alignment vertical="center"/>
    </xf>
    <xf numFmtId="164" fontId="8" fillId="6" borderId="14" xfId="3" applyFont="1" applyFill="1" applyBorder="1" applyAlignment="1">
      <alignment horizontal="center" vertical="center"/>
    </xf>
    <xf numFmtId="164" fontId="8" fillId="6" borderId="5" xfId="3" applyFont="1" applyFill="1" applyBorder="1"/>
    <xf numFmtId="171" fontId="11" fillId="6" borderId="5" xfId="0" applyNumberFormat="1" applyFont="1" applyFill="1" applyBorder="1" applyAlignment="1">
      <alignment horizontal="left" vertical="center" wrapText="1"/>
    </xf>
    <xf numFmtId="164" fontId="8" fillId="6" borderId="5" xfId="3" applyFont="1" applyFill="1" applyBorder="1" applyAlignment="1">
      <alignment horizontal="center" vertical="center"/>
    </xf>
    <xf numFmtId="164" fontId="8" fillId="6" borderId="5" xfId="3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164" fontId="8" fillId="6" borderId="2" xfId="3" applyFont="1" applyFill="1" applyBorder="1" applyAlignment="1">
      <alignment horizontal="center" vertical="center"/>
    </xf>
    <xf numFmtId="164" fontId="8" fillId="6" borderId="5" xfId="3" applyFont="1" applyFill="1" applyBorder="1" applyAlignment="1">
      <alignment horizontal="left" vertical="center"/>
    </xf>
    <xf numFmtId="164" fontId="8" fillId="6" borderId="71" xfId="3" applyFont="1" applyFill="1" applyBorder="1"/>
    <xf numFmtId="171" fontId="11" fillId="6" borderId="71" xfId="0" applyNumberFormat="1" applyFont="1" applyFill="1" applyBorder="1" applyAlignment="1">
      <alignment horizontal="left" vertical="center"/>
    </xf>
    <xf numFmtId="164" fontId="8" fillId="6" borderId="71" xfId="3" applyFont="1" applyFill="1" applyBorder="1" applyAlignment="1">
      <alignment horizontal="center" vertical="center"/>
    </xf>
    <xf numFmtId="164" fontId="8" fillId="0" borderId="71" xfId="0" applyNumberFormat="1" applyFont="1" applyBorder="1" applyAlignment="1">
      <alignment vertical="center"/>
    </xf>
    <xf numFmtId="164" fontId="8" fillId="6" borderId="71" xfId="0" applyNumberFormat="1" applyFont="1" applyFill="1" applyBorder="1" applyAlignment="1">
      <alignment vertical="center"/>
    </xf>
    <xf numFmtId="164" fontId="8" fillId="6" borderId="72" xfId="3" applyFont="1" applyFill="1" applyBorder="1" applyAlignment="1">
      <alignment horizontal="center" vertical="center"/>
    </xf>
    <xf numFmtId="164" fontId="0" fillId="6" borderId="71" xfId="3" applyFont="1" applyFill="1" applyBorder="1" applyAlignment="1">
      <alignment horizontal="left"/>
    </xf>
    <xf numFmtId="164" fontId="8" fillId="0" borderId="0" xfId="3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3" applyFont="1" applyAlignment="1">
      <alignment horizontal="left" vertical="center"/>
    </xf>
    <xf numFmtId="164" fontId="0" fillId="6" borderId="0" xfId="3" applyFont="1" applyFill="1" applyBorder="1" applyAlignment="1">
      <alignment horizontal="left"/>
    </xf>
    <xf numFmtId="164" fontId="0" fillId="0" borderId="0" xfId="3" applyFont="1" applyAlignment="1">
      <alignment horizontal="left"/>
    </xf>
    <xf numFmtId="0" fontId="77" fillId="0" borderId="0" xfId="0" applyFont="1" applyAlignment="1">
      <alignment horizontal="left"/>
    </xf>
    <xf numFmtId="0" fontId="4" fillId="0" borderId="0" xfId="20"/>
    <xf numFmtId="0" fontId="8" fillId="0" borderId="0" xfId="20" applyFont="1"/>
    <xf numFmtId="0" fontId="12" fillId="0" borderId="0" xfId="20" applyFont="1"/>
    <xf numFmtId="164" fontId="8" fillId="0" borderId="0" xfId="3" applyFont="1" applyAlignment="1"/>
    <xf numFmtId="0" fontId="4" fillId="0" borderId="0" xfId="20" applyAlignment="1">
      <alignment horizontal="center"/>
    </xf>
    <xf numFmtId="0" fontId="65" fillId="21" borderId="5" xfId="20" applyFont="1" applyFill="1" applyBorder="1" applyAlignment="1">
      <alignment horizontal="center" vertical="center" wrapText="1"/>
    </xf>
    <xf numFmtId="0" fontId="65" fillId="21" borderId="5" xfId="20" applyFont="1" applyFill="1" applyBorder="1" applyAlignment="1">
      <alignment horizontal="center" vertical="center"/>
    </xf>
    <xf numFmtId="0" fontId="65" fillId="12" borderId="5" xfId="20" applyFont="1" applyFill="1" applyBorder="1" applyAlignment="1">
      <alignment horizontal="center" vertical="center" wrapText="1"/>
    </xf>
    <xf numFmtId="0" fontId="65" fillId="12" borderId="5" xfId="20" applyFont="1" applyFill="1" applyBorder="1" applyAlignment="1">
      <alignment horizontal="center" vertical="center"/>
    </xf>
    <xf numFmtId="0" fontId="65" fillId="6" borderId="5" xfId="20" applyFont="1" applyFill="1" applyBorder="1" applyAlignment="1">
      <alignment vertical="center"/>
    </xf>
    <xf numFmtId="0" fontId="65" fillId="6" borderId="5" xfId="20" applyFont="1" applyFill="1" applyBorder="1" applyAlignment="1">
      <alignment horizontal="left" vertical="center"/>
    </xf>
    <xf numFmtId="171" fontId="4" fillId="6" borderId="3" xfId="1" applyNumberFormat="1" applyFont="1" applyFill="1" applyBorder="1" applyAlignment="1">
      <alignment horizontal="center" vertical="center"/>
    </xf>
    <xf numFmtId="171" fontId="8" fillId="6" borderId="3" xfId="1" applyNumberFormat="1" applyFont="1" applyFill="1" applyBorder="1" applyAlignment="1">
      <alignment horizontal="center" vertical="center"/>
    </xf>
    <xf numFmtId="171" fontId="75" fillId="0" borderId="67" xfId="1" applyNumberFormat="1" applyFont="1" applyFill="1" applyBorder="1" applyAlignment="1">
      <alignment horizontal="center"/>
    </xf>
    <xf numFmtId="171" fontId="4" fillId="0" borderId="0" xfId="20" applyNumberFormat="1"/>
    <xf numFmtId="0" fontId="12" fillId="6" borderId="5" xfId="20" applyFont="1" applyFill="1" applyBorder="1" applyAlignment="1">
      <alignment horizontal="left" vertical="center"/>
    </xf>
    <xf numFmtId="171" fontId="75" fillId="0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vertical="center"/>
    </xf>
    <xf numFmtId="171" fontId="8" fillId="0" borderId="5" xfId="1" applyNumberFormat="1" applyFont="1" applyFill="1" applyBorder="1" applyAlignment="1">
      <alignment vertical="center"/>
    </xf>
    <xf numFmtId="171" fontId="7" fillId="0" borderId="0" xfId="20" applyNumberFormat="1" applyFont="1"/>
    <xf numFmtId="0" fontId="12" fillId="15" borderId="5" xfId="0" applyFont="1" applyFill="1" applyBorder="1" applyAlignment="1">
      <alignment vertical="center"/>
    </xf>
    <xf numFmtId="171" fontId="4" fillId="15" borderId="5" xfId="1" applyNumberFormat="1" applyFont="1" applyFill="1" applyBorder="1" applyAlignment="1">
      <alignment vertical="center"/>
    </xf>
    <xf numFmtId="171" fontId="0" fillId="15" borderId="5" xfId="1" applyNumberFormat="1" applyFont="1" applyFill="1" applyBorder="1" applyAlignment="1">
      <alignment vertical="center"/>
    </xf>
    <xf numFmtId="171" fontId="8" fillId="15" borderId="5" xfId="1" applyNumberFormat="1" applyFont="1" applyFill="1" applyBorder="1" applyAlignment="1">
      <alignment horizontal="center" vertical="center"/>
    </xf>
    <xf numFmtId="171" fontId="8" fillId="15" borderId="5" xfId="1" applyNumberFormat="1" applyFont="1" applyFill="1" applyBorder="1" applyAlignment="1">
      <alignment vertical="center"/>
    </xf>
    <xf numFmtId="171" fontId="75" fillId="15" borderId="5" xfId="1" applyNumberFormat="1" applyFont="1" applyFill="1" applyBorder="1" applyAlignment="1">
      <alignment horizontal="center"/>
    </xf>
    <xf numFmtId="171" fontId="0" fillId="0" borderId="0" xfId="1" applyNumberFormat="1" applyFont="1" applyBorder="1"/>
    <xf numFmtId="171" fontId="0" fillId="0" borderId="0" xfId="1" applyNumberFormat="1" applyFont="1" applyFill="1" applyBorder="1"/>
    <xf numFmtId="171" fontId="2" fillId="0" borderId="0" xfId="1" applyNumberFormat="1" applyFont="1" applyAlignment="1">
      <alignment horizontal="center"/>
    </xf>
    <xf numFmtId="0" fontId="65" fillId="6" borderId="1" xfId="2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0" fontId="12" fillId="15" borderId="5" xfId="0" applyFont="1" applyFill="1" applyBorder="1" applyAlignment="1">
      <alignment horizontal="left" vertical="center"/>
    </xf>
    <xf numFmtId="171" fontId="75" fillId="15" borderId="5" xfId="1" applyNumberFormat="1" applyFont="1" applyFill="1" applyBorder="1" applyAlignment="1">
      <alignment vertical="center"/>
    </xf>
    <xf numFmtId="171" fontId="0" fillId="0" borderId="0" xfId="1" applyNumberFormat="1" applyFont="1" applyFill="1"/>
    <xf numFmtId="0" fontId="12" fillId="0" borderId="5" xfId="0" applyFont="1" applyBorder="1" applyAlignment="1">
      <alignment horizontal="left" vertical="center"/>
    </xf>
    <xf numFmtId="171" fontId="8" fillId="0" borderId="5" xfId="1" applyNumberFormat="1" applyFont="1" applyFill="1" applyBorder="1" applyAlignment="1">
      <alignment horizontal="center" vertical="center"/>
    </xf>
    <xf numFmtId="171" fontId="75" fillId="0" borderId="5" xfId="1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20" applyFont="1" applyBorder="1" applyAlignment="1">
      <alignment vertical="center"/>
    </xf>
    <xf numFmtId="14" fontId="12" fillId="0" borderId="9" xfId="0" applyNumberFormat="1" applyFont="1" applyBorder="1" applyAlignment="1">
      <alignment horizontal="center" vertical="center"/>
    </xf>
    <xf numFmtId="0" fontId="4" fillId="0" borderId="5" xfId="20" applyBorder="1"/>
    <xf numFmtId="0" fontId="12" fillId="0" borderId="5" xfId="20" applyFont="1" applyBorder="1"/>
    <xf numFmtId="171" fontId="4" fillId="0" borderId="5" xfId="1" applyNumberFormat="1" applyFont="1" applyFill="1" applyBorder="1" applyAlignment="1" applyProtection="1"/>
    <xf numFmtId="172" fontId="4" fillId="0" borderId="5" xfId="1" applyNumberFormat="1" applyFill="1" applyBorder="1" applyAlignment="1">
      <alignment vertical="center"/>
    </xf>
    <xf numFmtId="0" fontId="12" fillId="0" borderId="4" xfId="20" applyFont="1" applyBorder="1" applyAlignment="1">
      <alignment vertical="center"/>
    </xf>
    <xf numFmtId="171" fontId="0" fillId="0" borderId="5" xfId="1" applyNumberFormat="1" applyFont="1" applyFill="1" applyBorder="1"/>
    <xf numFmtId="0" fontId="12" fillId="15" borderId="5" xfId="20" applyFont="1" applyFill="1" applyBorder="1" applyAlignment="1">
      <alignment vertical="center"/>
    </xf>
    <xf numFmtId="171" fontId="8" fillId="0" borderId="0" xfId="20" applyNumberFormat="1" applyFont="1"/>
    <xf numFmtId="171" fontId="7" fillId="0" borderId="5" xfId="1" applyNumberFormat="1" applyFont="1" applyFill="1" applyBorder="1" applyAlignment="1">
      <alignment vertical="center"/>
    </xf>
    <xf numFmtId="171" fontId="7" fillId="15" borderId="5" xfId="1" applyNumberFormat="1" applyFont="1" applyFill="1" applyBorder="1" applyAlignment="1">
      <alignment vertical="center"/>
    </xf>
    <xf numFmtId="0" fontId="65" fillId="0" borderId="5" xfId="20" applyFont="1" applyBorder="1" applyAlignment="1">
      <alignment vertical="center"/>
    </xf>
    <xf numFmtId="171" fontId="12" fillId="0" borderId="5" xfId="20" applyNumberFormat="1" applyFont="1" applyBorder="1" applyAlignment="1">
      <alignment vertical="center"/>
    </xf>
    <xf numFmtId="0" fontId="67" fillId="0" borderId="5" xfId="20" applyFont="1" applyBorder="1" applyAlignment="1">
      <alignment vertical="center"/>
    </xf>
    <xf numFmtId="0" fontId="12" fillId="0" borderId="0" xfId="20" applyFont="1" applyAlignment="1">
      <alignment vertical="center"/>
    </xf>
    <xf numFmtId="171" fontId="0" fillId="0" borderId="0" xfId="1" applyNumberFormat="1" applyFont="1" applyBorder="1" applyAlignment="1">
      <alignment vertical="center"/>
    </xf>
    <xf numFmtId="171" fontId="8" fillId="0" borderId="0" xfId="1" applyNumberFormat="1" applyFont="1" applyBorder="1" applyAlignment="1">
      <alignment vertical="center"/>
    </xf>
    <xf numFmtId="171" fontId="4" fillId="0" borderId="0" xfId="1" applyNumberFormat="1" applyFont="1" applyBorder="1" applyAlignment="1">
      <alignment vertical="center"/>
    </xf>
    <xf numFmtId="171" fontId="0" fillId="0" borderId="0" xfId="1" applyNumberFormat="1" applyFont="1" applyAlignment="1">
      <alignment vertical="center"/>
    </xf>
    <xf numFmtId="171" fontId="8" fillId="0" borderId="0" xfId="1" applyNumberFormat="1" applyFont="1" applyAlignment="1">
      <alignment vertical="center"/>
    </xf>
    <xf numFmtId="171" fontId="4" fillId="0" borderId="0" xfId="1" applyNumberFormat="1" applyFont="1" applyAlignment="1">
      <alignment vertical="center"/>
    </xf>
    <xf numFmtId="171" fontId="8" fillId="0" borderId="0" xfId="1" applyNumberFormat="1" applyFont="1" applyFill="1" applyBorder="1" applyAlignment="1" applyProtection="1"/>
    <xf numFmtId="0" fontId="9" fillId="0" borderId="0" xfId="20" applyFont="1"/>
    <xf numFmtId="0" fontId="78" fillId="0" borderId="0" xfId="20" applyFont="1" applyAlignment="1">
      <alignment horizontal="center"/>
    </xf>
    <xf numFmtId="0" fontId="9" fillId="0" borderId="0" xfId="20" applyFont="1" applyAlignment="1">
      <alignment horizontal="center"/>
    </xf>
    <xf numFmtId="0" fontId="12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77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9" fontId="65" fillId="0" borderId="0" xfId="20" applyNumberFormat="1" applyFont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5" xfId="0" applyFont="1" applyFill="1" applyBorder="1"/>
    <xf numFmtId="167" fontId="0" fillId="0" borderId="0" xfId="4" applyFont="1" applyAlignment="1"/>
    <xf numFmtId="178" fontId="71" fillId="0" borderId="5" xfId="0" applyNumberFormat="1" applyFont="1" applyBorder="1"/>
    <xf numFmtId="171" fontId="0" fillId="0" borderId="0" xfId="1" applyNumberFormat="1" applyFont="1" applyAlignment="1"/>
    <xf numFmtId="178" fontId="0" fillId="0" borderId="0" xfId="0" applyNumberFormat="1"/>
    <xf numFmtId="178" fontId="79" fillId="0" borderId="5" xfId="24" applyNumberFormat="1" applyFont="1" applyBorder="1"/>
    <xf numFmtId="178" fontId="8" fillId="0" borderId="5" xfId="0" applyNumberFormat="1" applyFont="1" applyBorder="1"/>
    <xf numFmtId="180" fontId="0" fillId="0" borderId="0" xfId="0" applyNumberFormat="1"/>
    <xf numFmtId="178" fontId="8" fillId="0" borderId="5" xfId="3" applyNumberFormat="1" applyFont="1" applyBorder="1"/>
    <xf numFmtId="0" fontId="4" fillId="0" borderId="5" xfId="0" applyFont="1" applyBorder="1"/>
    <xf numFmtId="167" fontId="8" fillId="0" borderId="5" xfId="4" applyFont="1" applyBorder="1" applyAlignment="1"/>
    <xf numFmtId="171" fontId="8" fillId="0" borderId="0" xfId="1" applyNumberFormat="1" applyFont="1" applyBorder="1" applyAlignment="1"/>
    <xf numFmtId="178" fontId="8" fillId="22" borderId="5" xfId="0" applyNumberFormat="1" applyFont="1" applyFill="1" applyBorder="1"/>
    <xf numFmtId="0" fontId="8" fillId="0" borderId="5" xfId="0" applyFont="1" applyBorder="1" applyAlignment="1">
      <alignment horizontal="center"/>
    </xf>
    <xf numFmtId="171" fontId="7" fillId="0" borderId="0" xfId="1" applyNumberFormat="1" applyFont="1"/>
    <xf numFmtId="171" fontId="0" fillId="0" borderId="0" xfId="1" applyNumberFormat="1" applyFont="1" applyAlignment="1">
      <alignment horizontal="left"/>
    </xf>
    <xf numFmtId="178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 vertical="center"/>
    </xf>
    <xf numFmtId="178" fontId="8" fillId="6" borderId="5" xfId="0" applyNumberFormat="1" applyFont="1" applyFill="1" applyBorder="1"/>
    <xf numFmtId="0" fontId="11" fillId="0" borderId="0" xfId="0" applyFont="1"/>
    <xf numFmtId="0" fontId="8" fillId="0" borderId="0" xfId="24" applyFont="1" applyAlignment="1">
      <alignment vertical="center"/>
    </xf>
    <xf numFmtId="0" fontId="8" fillId="12" borderId="5" xfId="24" applyFont="1" applyFill="1" applyBorder="1" applyAlignment="1">
      <alignment horizontal="center"/>
    </xf>
    <xf numFmtId="0" fontId="8" fillId="12" borderId="5" xfId="24" applyFont="1" applyFill="1" applyBorder="1"/>
    <xf numFmtId="0" fontId="8" fillId="6" borderId="0" xfId="24" applyFont="1" applyFill="1"/>
    <xf numFmtId="171" fontId="0" fillId="0" borderId="0" xfId="17" applyNumberFormat="1" applyFont="1" applyAlignment="1"/>
    <xf numFmtId="1" fontId="4" fillId="0" borderId="0" xfId="24" applyNumberFormat="1"/>
    <xf numFmtId="0" fontId="8" fillId="0" borderId="5" xfId="24" applyFont="1" applyBorder="1"/>
    <xf numFmtId="0" fontId="4" fillId="0" borderId="5" xfId="24" applyBorder="1"/>
    <xf numFmtId="167" fontId="0" fillId="0" borderId="0" xfId="18" applyFont="1" applyAlignment="1"/>
    <xf numFmtId="178" fontId="71" fillId="0" borderId="5" xfId="24" applyNumberFormat="1" applyFont="1" applyBorder="1"/>
    <xf numFmtId="171" fontId="0" fillId="0" borderId="0" xfId="17" applyNumberFormat="1" applyFont="1"/>
    <xf numFmtId="164" fontId="0" fillId="0" borderId="0" xfId="9" applyFont="1" applyAlignment="1"/>
    <xf numFmtId="178" fontId="8" fillId="0" borderId="5" xfId="24" applyNumberFormat="1" applyFont="1" applyBorder="1"/>
    <xf numFmtId="180" fontId="8" fillId="0" borderId="5" xfId="17" applyNumberFormat="1" applyFont="1" applyBorder="1"/>
    <xf numFmtId="178" fontId="8" fillId="0" borderId="5" xfId="9" applyNumberFormat="1" applyFont="1" applyBorder="1"/>
    <xf numFmtId="167" fontId="8" fillId="0" borderId="5" xfId="18" applyFont="1" applyBorder="1" applyAlignment="1"/>
    <xf numFmtId="164" fontId="8" fillId="0" borderId="0" xfId="9" applyFont="1" applyBorder="1" applyAlignment="1"/>
    <xf numFmtId="178" fontId="8" fillId="23" borderId="5" xfId="24" applyNumberFormat="1" applyFont="1" applyFill="1" applyBorder="1"/>
    <xf numFmtId="164" fontId="0" fillId="0" borderId="0" xfId="9" applyFont="1" applyBorder="1" applyAlignment="1"/>
    <xf numFmtId="164" fontId="0" fillId="0" borderId="0" xfId="9" applyFont="1" applyFill="1" applyBorder="1" applyAlignment="1">
      <alignment horizontal="center"/>
    </xf>
    <xf numFmtId="0" fontId="8" fillId="0" borderId="5" xfId="24" applyFont="1" applyBorder="1" applyAlignment="1">
      <alignment horizontal="center"/>
    </xf>
    <xf numFmtId="9" fontId="0" fillId="0" borderId="0" xfId="18" applyNumberFormat="1" applyFont="1" applyAlignment="1">
      <alignment horizontal="center" vertical="center"/>
    </xf>
    <xf numFmtId="9" fontId="7" fillId="0" borderId="0" xfId="24" applyNumberFormat="1" applyFont="1" applyAlignment="1">
      <alignment horizontal="center" vertical="center"/>
    </xf>
    <xf numFmtId="9" fontId="4" fillId="0" borderId="0" xfId="24" applyNumberFormat="1" applyAlignment="1">
      <alignment horizontal="center" vertical="center"/>
    </xf>
    <xf numFmtId="164" fontId="0" fillId="0" borderId="0" xfId="9" applyFont="1" applyAlignment="1">
      <alignment horizontal="center"/>
    </xf>
    <xf numFmtId="164" fontId="11" fillId="0" borderId="0" xfId="24" applyNumberFormat="1" applyFont="1"/>
    <xf numFmtId="167" fontId="4" fillId="0" borderId="0" xfId="24" applyNumberFormat="1"/>
    <xf numFmtId="164" fontId="0" fillId="0" borderId="0" xfId="9" applyFont="1"/>
    <xf numFmtId="167" fontId="75" fillId="0" borderId="0" xfId="24" applyNumberFormat="1" applyFont="1"/>
    <xf numFmtId="167" fontId="80" fillId="0" borderId="0" xfId="18" applyFont="1" applyAlignment="1"/>
    <xf numFmtId="167" fontId="7" fillId="0" borderId="0" xfId="24" applyNumberFormat="1" applyFont="1"/>
    <xf numFmtId="167" fontId="80" fillId="0" borderId="0" xfId="24" applyNumberFormat="1" applyFont="1" applyAlignment="1">
      <alignment horizontal="left"/>
    </xf>
    <xf numFmtId="164" fontId="7" fillId="0" borderId="0" xfId="9" applyFont="1"/>
    <xf numFmtId="164" fontId="8" fillId="0" borderId="0" xfId="24" applyNumberFormat="1" applyFont="1"/>
    <xf numFmtId="165" fontId="4" fillId="0" borderId="0" xfId="1" applyFont="1" applyFill="1" applyBorder="1" applyAlignment="1" applyProtection="1"/>
    <xf numFmtId="9" fontId="4" fillId="0" borderId="0" xfId="24" applyNumberFormat="1"/>
    <xf numFmtId="178" fontId="8" fillId="6" borderId="5" xfId="24" applyNumberFormat="1" applyFont="1" applyFill="1" applyBorder="1"/>
    <xf numFmtId="165" fontId="4" fillId="0" borderId="0" xfId="24" applyNumberFormat="1"/>
    <xf numFmtId="167" fontId="80" fillId="0" borderId="5" xfId="24" applyNumberFormat="1" applyFont="1" applyBorder="1"/>
    <xf numFmtId="9" fontId="4" fillId="0" borderId="0" xfId="24" applyNumberFormat="1" applyAlignment="1">
      <alignment horizontal="center"/>
    </xf>
    <xf numFmtId="171" fontId="4" fillId="0" borderId="0" xfId="24" applyNumberFormat="1"/>
    <xf numFmtId="0" fontId="11" fillId="0" borderId="0" xfId="24" applyFont="1"/>
    <xf numFmtId="167" fontId="0" fillId="0" borderId="0" xfId="18" applyFont="1"/>
    <xf numFmtId="167" fontId="8" fillId="0" borderId="0" xfId="24" applyNumberFormat="1" applyFont="1"/>
    <xf numFmtId="0" fontId="81" fillId="0" borderId="0" xfId="0" applyFont="1" applyAlignment="1">
      <alignment vertical="center"/>
    </xf>
    <xf numFmtId="171" fontId="79" fillId="0" borderId="0" xfId="1" applyNumberFormat="1" applyFont="1"/>
    <xf numFmtId="0" fontId="4" fillId="0" borderId="0" xfId="0" applyFont="1" applyAlignment="1">
      <alignment horizontal="left" vertical="center"/>
    </xf>
    <xf numFmtId="171" fontId="79" fillId="0" borderId="0" xfId="1" applyNumberFormat="1" applyFont="1" applyAlignment="1">
      <alignment vertical="center"/>
    </xf>
    <xf numFmtId="171" fontId="0" fillId="0" borderId="0" xfId="1" applyNumberFormat="1" applyFont="1" applyAlignment="1">
      <alignment horizontal="left" vertical="center"/>
    </xf>
    <xf numFmtId="178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164" fontId="81" fillId="0" borderId="0" xfId="3" applyFont="1" applyBorder="1" applyAlignment="1">
      <alignment horizontal="left" vertical="center"/>
    </xf>
    <xf numFmtId="164" fontId="83" fillId="0" borderId="0" xfId="3" applyFont="1" applyAlignment="1">
      <alignment vertical="center"/>
    </xf>
    <xf numFmtId="164" fontId="81" fillId="0" borderId="0" xfId="0" applyNumberFormat="1" applyFont="1" applyAlignment="1">
      <alignment horizontal="left" vertical="center"/>
    </xf>
    <xf numFmtId="164" fontId="81" fillId="0" borderId="0" xfId="3" applyFont="1" applyAlignment="1">
      <alignment vertical="center"/>
    </xf>
    <xf numFmtId="164" fontId="81" fillId="0" borderId="0" xfId="0" applyNumberFormat="1" applyFont="1" applyAlignment="1">
      <alignment vertical="center"/>
    </xf>
    <xf numFmtId="178" fontId="81" fillId="0" borderId="0" xfId="0" applyNumberFormat="1" applyFont="1" applyAlignment="1">
      <alignment vertical="center"/>
    </xf>
    <xf numFmtId="0" fontId="82" fillId="0" borderId="43" xfId="0" applyFont="1" applyBorder="1" applyAlignment="1">
      <alignment horizontal="left" vertical="center"/>
    </xf>
    <xf numFmtId="0" fontId="82" fillId="0" borderId="44" xfId="0" applyFont="1" applyBorder="1" applyAlignment="1">
      <alignment vertical="center"/>
    </xf>
    <xf numFmtId="0" fontId="81" fillId="0" borderId="44" xfId="0" applyFont="1" applyBorder="1" applyAlignment="1">
      <alignment horizontal="center" vertical="center"/>
    </xf>
    <xf numFmtId="171" fontId="81" fillId="0" borderId="44" xfId="1" applyNumberFormat="1" applyFont="1" applyBorder="1" applyAlignment="1">
      <alignment horizontal="center" vertical="center"/>
    </xf>
    <xf numFmtId="171" fontId="84" fillId="0" borderId="45" xfId="1" applyNumberFormat="1" applyFont="1" applyBorder="1" applyAlignment="1">
      <alignment horizontal="center" vertical="center"/>
    </xf>
    <xf numFmtId="171" fontId="82" fillId="0" borderId="43" xfId="1" applyNumberFormat="1" applyFont="1" applyBorder="1" applyAlignment="1">
      <alignment horizontal="left" vertical="center"/>
    </xf>
    <xf numFmtId="171" fontId="82" fillId="0" borderId="44" xfId="1" applyNumberFormat="1" applyFont="1" applyBorder="1" applyAlignment="1">
      <alignment vertical="center"/>
    </xf>
    <xf numFmtId="171" fontId="81" fillId="0" borderId="45" xfId="1" applyNumberFormat="1" applyFont="1" applyBorder="1" applyAlignment="1">
      <alignment horizontal="center" vertical="center"/>
    </xf>
    <xf numFmtId="164" fontId="81" fillId="0" borderId="0" xfId="3" applyFont="1" applyBorder="1" applyAlignment="1">
      <alignment vertical="center"/>
    </xf>
    <xf numFmtId="164" fontId="84" fillId="0" borderId="0" xfId="3" applyFont="1" applyAlignment="1">
      <alignment vertical="center"/>
    </xf>
    <xf numFmtId="167" fontId="81" fillId="0" borderId="0" xfId="0" applyNumberFormat="1" applyFont="1" applyAlignment="1">
      <alignment vertical="center"/>
    </xf>
    <xf numFmtId="164" fontId="85" fillId="0" borderId="0" xfId="0" applyNumberFormat="1" applyFont="1" applyAlignment="1">
      <alignment vertical="center"/>
    </xf>
    <xf numFmtId="164" fontId="83" fillId="0" borderId="0" xfId="3" applyFont="1" applyBorder="1" applyAlignment="1">
      <alignment vertical="center"/>
    </xf>
    <xf numFmtId="0" fontId="82" fillId="0" borderId="39" xfId="0" applyFont="1" applyBorder="1" applyAlignment="1">
      <alignment horizontal="left" vertical="center"/>
    </xf>
    <xf numFmtId="0" fontId="82" fillId="0" borderId="9" xfId="0" applyFont="1" applyBorder="1" applyAlignment="1">
      <alignment vertical="center"/>
    </xf>
    <xf numFmtId="0" fontId="81" fillId="0" borderId="9" xfId="0" applyFont="1" applyBorder="1" applyAlignment="1">
      <alignment horizontal="center" vertical="center"/>
    </xf>
    <xf numFmtId="171" fontId="81" fillId="0" borderId="9" xfId="1" applyNumberFormat="1" applyFont="1" applyBorder="1" applyAlignment="1">
      <alignment horizontal="center" vertical="center"/>
    </xf>
    <xf numFmtId="171" fontId="84" fillId="0" borderId="40" xfId="1" applyNumberFormat="1" applyFont="1" applyBorder="1" applyAlignment="1">
      <alignment horizontal="center" vertical="center"/>
    </xf>
    <xf numFmtId="171" fontId="81" fillId="0" borderId="39" xfId="1" applyNumberFormat="1" applyFont="1" applyBorder="1" applyAlignment="1">
      <alignment horizontal="left" vertical="center"/>
    </xf>
    <xf numFmtId="171" fontId="81" fillId="0" borderId="9" xfId="1" applyNumberFormat="1" applyFont="1" applyBorder="1" applyAlignment="1">
      <alignment vertical="center"/>
    </xf>
    <xf numFmtId="171" fontId="81" fillId="0" borderId="40" xfId="1" applyNumberFormat="1" applyFont="1" applyBorder="1" applyAlignment="1">
      <alignment horizontal="center" vertical="center"/>
    </xf>
    <xf numFmtId="0" fontId="81" fillId="0" borderId="46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178" fontId="81" fillId="0" borderId="5" xfId="0" applyNumberFormat="1" applyFont="1" applyBorder="1" applyAlignment="1">
      <alignment horizontal="center" vertical="center"/>
    </xf>
    <xf numFmtId="171" fontId="81" fillId="0" borderId="5" xfId="1" applyNumberFormat="1" applyFont="1" applyBorder="1" applyAlignment="1">
      <alignment horizontal="center" vertical="center"/>
    </xf>
    <xf numFmtId="171" fontId="86" fillId="0" borderId="47" xfId="1" applyNumberFormat="1" applyFont="1" applyBorder="1" applyAlignment="1">
      <alignment horizontal="center" vertical="center"/>
    </xf>
    <xf numFmtId="164" fontId="84" fillId="0" borderId="0" xfId="3" applyFont="1" applyBorder="1" applyAlignment="1">
      <alignment vertical="center"/>
    </xf>
    <xf numFmtId="178" fontId="81" fillId="0" borderId="0" xfId="0" applyNumberFormat="1" applyFont="1" applyAlignment="1">
      <alignment horizontal="left" vertical="center"/>
    </xf>
    <xf numFmtId="178" fontId="81" fillId="0" borderId="7" xfId="0" applyNumberFormat="1" applyFont="1" applyBorder="1" applyAlignment="1">
      <alignment horizontal="center" vertical="center"/>
    </xf>
    <xf numFmtId="171" fontId="84" fillId="0" borderId="47" xfId="1" applyNumberFormat="1" applyFont="1" applyBorder="1" applyAlignment="1">
      <alignment horizontal="center" vertical="center"/>
    </xf>
    <xf numFmtId="171" fontId="81" fillId="0" borderId="5" xfId="1" applyNumberFormat="1" applyFont="1" applyBorder="1" applyAlignment="1">
      <alignment horizontal="left" vertical="center"/>
    </xf>
    <xf numFmtId="171" fontId="81" fillId="0" borderId="47" xfId="1" applyNumberFormat="1" applyFont="1" applyBorder="1" applyAlignment="1">
      <alignment vertical="center"/>
    </xf>
    <xf numFmtId="178" fontId="81" fillId="0" borderId="5" xfId="4" applyNumberFormat="1" applyFont="1" applyBorder="1" applyAlignment="1">
      <alignment horizontal="center" vertical="center"/>
    </xf>
    <xf numFmtId="171" fontId="81" fillId="0" borderId="0" xfId="1" applyNumberFormat="1" applyFont="1" applyAlignment="1">
      <alignment vertical="center"/>
    </xf>
    <xf numFmtId="171" fontId="82" fillId="0" borderId="46" xfId="1" applyNumberFormat="1" applyFont="1" applyBorder="1" applyAlignment="1">
      <alignment horizontal="left" vertical="center"/>
    </xf>
    <xf numFmtId="171" fontId="82" fillId="0" borderId="5" xfId="1" applyNumberFormat="1" applyFont="1" applyBorder="1" applyAlignment="1">
      <alignment vertical="center"/>
    </xf>
    <xf numFmtId="0" fontId="82" fillId="0" borderId="46" xfId="0" applyFont="1" applyBorder="1" applyAlignment="1">
      <alignment horizontal="left" vertical="center"/>
    </xf>
    <xf numFmtId="0" fontId="82" fillId="0" borderId="5" xfId="0" applyFont="1" applyBorder="1" applyAlignment="1">
      <alignment vertical="center"/>
    </xf>
    <xf numFmtId="178" fontId="81" fillId="0" borderId="7" xfId="4" applyNumberFormat="1" applyFont="1" applyBorder="1" applyAlignment="1">
      <alignment horizontal="center" vertical="center"/>
    </xf>
    <xf numFmtId="164" fontId="84" fillId="0" borderId="0" xfId="3" applyFont="1" applyBorder="1" applyAlignment="1">
      <alignment vertical="center" wrapText="1"/>
    </xf>
    <xf numFmtId="167" fontId="81" fillId="0" borderId="0" xfId="4" applyFont="1" applyBorder="1" applyAlignment="1">
      <alignment vertical="center"/>
    </xf>
    <xf numFmtId="0" fontId="81" fillId="0" borderId="7" xfId="0" applyFont="1" applyBorder="1" applyAlignment="1">
      <alignment vertical="center"/>
    </xf>
    <xf numFmtId="171" fontId="12" fillId="0" borderId="73" xfId="1" applyNumberFormat="1" applyFont="1" applyBorder="1" applyAlignment="1">
      <alignment horizontal="center"/>
    </xf>
    <xf numFmtId="171" fontId="81" fillId="0" borderId="46" xfId="1" applyNumberFormat="1" applyFont="1" applyBorder="1" applyAlignment="1">
      <alignment horizontal="left" vertical="center"/>
    </xf>
    <xf numFmtId="171" fontId="81" fillId="0" borderId="5" xfId="1" applyNumberFormat="1" applyFont="1" applyBorder="1" applyAlignment="1">
      <alignment vertical="center"/>
    </xf>
    <xf numFmtId="178" fontId="81" fillId="0" borderId="0" xfId="3" applyNumberFormat="1" applyFont="1" applyAlignment="1">
      <alignment vertical="center"/>
    </xf>
    <xf numFmtId="164" fontId="50" fillId="0" borderId="0" xfId="3" applyFont="1" applyBorder="1" applyAlignment="1">
      <alignment vertical="center" wrapText="1"/>
    </xf>
    <xf numFmtId="178" fontId="82" fillId="0" borderId="0" xfId="3" applyNumberFormat="1" applyFont="1" applyAlignment="1">
      <alignment vertical="center"/>
    </xf>
    <xf numFmtId="178" fontId="81" fillId="6" borderId="0" xfId="0" applyNumberFormat="1" applyFont="1" applyFill="1" applyAlignment="1">
      <alignment vertical="center"/>
    </xf>
    <xf numFmtId="181" fontId="81" fillId="0" borderId="0" xfId="0" applyNumberFormat="1" applyFont="1" applyAlignment="1">
      <alignment vertical="center"/>
    </xf>
    <xf numFmtId="167" fontId="81" fillId="0" borderId="0" xfId="4" applyFont="1" applyAlignment="1">
      <alignment vertical="center"/>
    </xf>
    <xf numFmtId="167" fontId="84" fillId="0" borderId="0" xfId="4" applyFont="1" applyBorder="1" applyAlignment="1">
      <alignment vertical="center" wrapText="1"/>
    </xf>
    <xf numFmtId="178" fontId="81" fillId="0" borderId="5" xfId="3" applyNumberFormat="1" applyFont="1" applyBorder="1" applyAlignment="1">
      <alignment horizontal="center" vertical="center"/>
    </xf>
    <xf numFmtId="171" fontId="82" fillId="0" borderId="5" xfId="1" applyNumberFormat="1" applyFont="1" applyBorder="1" applyAlignment="1">
      <alignment horizontal="center" vertical="center"/>
    </xf>
    <xf numFmtId="167" fontId="87" fillId="0" borderId="0" xfId="4" applyFont="1" applyBorder="1" applyAlignment="1">
      <alignment vertical="center"/>
    </xf>
    <xf numFmtId="164" fontId="82" fillId="0" borderId="0" xfId="0" applyNumberFormat="1" applyFont="1" applyAlignment="1">
      <alignment vertical="center"/>
    </xf>
    <xf numFmtId="167" fontId="87" fillId="0" borderId="0" xfId="4" applyFont="1" applyAlignment="1">
      <alignment vertical="center"/>
    </xf>
    <xf numFmtId="171" fontId="82" fillId="0" borderId="47" xfId="1" applyNumberFormat="1" applyFont="1" applyBorder="1" applyAlignment="1">
      <alignment vertical="center"/>
    </xf>
    <xf numFmtId="178" fontId="84" fillId="0" borderId="0" xfId="0" applyNumberFormat="1" applyFont="1" applyAlignment="1">
      <alignment vertical="center"/>
    </xf>
    <xf numFmtId="0" fontId="81" fillId="0" borderId="5" xfId="0" applyFont="1" applyBorder="1" applyAlignment="1">
      <alignment horizontal="center" vertical="center"/>
    </xf>
    <xf numFmtId="167" fontId="84" fillId="0" borderId="0" xfId="4" applyFont="1" applyAlignment="1">
      <alignment vertical="center"/>
    </xf>
    <xf numFmtId="167" fontId="81" fillId="0" borderId="0" xfId="4" applyFont="1" applyAlignment="1">
      <alignment horizontal="left" vertical="center"/>
    </xf>
    <xf numFmtId="164" fontId="82" fillId="0" borderId="0" xfId="3" applyFont="1" applyAlignment="1">
      <alignment vertical="center"/>
    </xf>
    <xf numFmtId="178" fontId="85" fillId="0" borderId="0" xfId="0" applyNumberFormat="1" applyFont="1" applyAlignment="1">
      <alignment vertical="center"/>
    </xf>
    <xf numFmtId="171" fontId="84" fillId="0" borderId="47" xfId="1" applyNumberFormat="1" applyFont="1" applyBorder="1" applyAlignment="1">
      <alignment horizontal="left" vertical="center"/>
    </xf>
    <xf numFmtId="178" fontId="86" fillId="0" borderId="0" xfId="0" applyNumberFormat="1" applyFont="1" applyAlignment="1">
      <alignment vertical="center"/>
    </xf>
    <xf numFmtId="167" fontId="88" fillId="0" borderId="0" xfId="0" applyNumberFormat="1" applyFont="1" applyAlignment="1">
      <alignment vertical="center"/>
    </xf>
    <xf numFmtId="167" fontId="87" fillId="0" borderId="0" xfId="0" applyNumberFormat="1" applyFont="1" applyAlignment="1">
      <alignment vertical="center"/>
    </xf>
    <xf numFmtId="171" fontId="84" fillId="0" borderId="47" xfId="1" applyNumberFormat="1" applyFont="1" applyBorder="1" applyAlignment="1">
      <alignment vertical="center"/>
    </xf>
    <xf numFmtId="164" fontId="81" fillId="6" borderId="0" xfId="0" applyNumberFormat="1" applyFont="1" applyFill="1" applyAlignment="1">
      <alignment vertical="center"/>
    </xf>
    <xf numFmtId="167" fontId="82" fillId="0" borderId="0" xfId="4" applyFont="1" applyAlignment="1">
      <alignment vertical="center"/>
    </xf>
    <xf numFmtId="178" fontId="82" fillId="0" borderId="0" xfId="0" applyNumberFormat="1" applyFont="1" applyAlignment="1">
      <alignment vertical="center"/>
    </xf>
    <xf numFmtId="0" fontId="81" fillId="0" borderId="4" xfId="0" applyFont="1" applyBorder="1" applyAlignment="1">
      <alignment horizontal="left" vertical="center"/>
    </xf>
    <xf numFmtId="171" fontId="84" fillId="0" borderId="5" xfId="1" applyNumberFormat="1" applyFont="1" applyBorder="1" applyAlignment="1">
      <alignment horizontal="center" vertical="center"/>
    </xf>
    <xf numFmtId="171" fontId="81" fillId="0" borderId="4" xfId="1" applyNumberFormat="1" applyFont="1" applyBorder="1" applyAlignment="1">
      <alignment horizontal="left" vertical="center"/>
    </xf>
    <xf numFmtId="0" fontId="81" fillId="0" borderId="5" xfId="0" applyFont="1" applyBorder="1" applyAlignment="1">
      <alignment horizontal="left" vertical="center"/>
    </xf>
    <xf numFmtId="171" fontId="81" fillId="0" borderId="47" xfId="1" applyNumberFormat="1" applyFont="1" applyFill="1" applyBorder="1" applyAlignment="1">
      <alignment vertical="center"/>
    </xf>
    <xf numFmtId="171" fontId="86" fillId="0" borderId="5" xfId="1" applyNumberFormat="1" applyFont="1" applyBorder="1" applyAlignment="1">
      <alignment horizontal="center" vertical="center"/>
    </xf>
    <xf numFmtId="171" fontId="81" fillId="0" borderId="1" xfId="1" applyNumberFormat="1" applyFont="1" applyBorder="1" applyAlignment="1">
      <alignment vertical="center"/>
    </xf>
    <xf numFmtId="171" fontId="81" fillId="0" borderId="42" xfId="1" applyNumberFormat="1" applyFont="1" applyFill="1" applyBorder="1" applyAlignment="1">
      <alignment vertical="center"/>
    </xf>
    <xf numFmtId="0" fontId="81" fillId="0" borderId="41" xfId="0" applyFont="1" applyBorder="1" applyAlignment="1">
      <alignment horizontal="left" vertical="center"/>
    </xf>
    <xf numFmtId="0" fontId="81" fillId="0" borderId="1" xfId="0" applyFont="1" applyBorder="1" applyAlignment="1">
      <alignment vertical="center"/>
    </xf>
    <xf numFmtId="178" fontId="81" fillId="0" borderId="1" xfId="0" applyNumberFormat="1" applyFont="1" applyBorder="1" applyAlignment="1">
      <alignment horizontal="center" vertical="center"/>
    </xf>
    <xf numFmtId="171" fontId="81" fillId="0" borderId="1" xfId="1" applyNumberFormat="1" applyFont="1" applyBorder="1" applyAlignment="1">
      <alignment horizontal="center" vertical="center"/>
    </xf>
    <xf numFmtId="171" fontId="86" fillId="0" borderId="42" xfId="1" applyNumberFormat="1" applyFont="1" applyBorder="1" applyAlignment="1">
      <alignment horizontal="center" vertical="center"/>
    </xf>
    <xf numFmtId="171" fontId="82" fillId="0" borderId="42" xfId="1" applyNumberFormat="1" applyFont="1" applyFill="1" applyBorder="1" applyAlignment="1">
      <alignment vertical="center"/>
    </xf>
    <xf numFmtId="171" fontId="86" fillId="0" borderId="13" xfId="1" applyNumberFormat="1" applyFont="1" applyBorder="1" applyAlignment="1">
      <alignment horizontal="center" vertical="center"/>
    </xf>
    <xf numFmtId="171" fontId="81" fillId="0" borderId="5" xfId="1" applyNumberFormat="1" applyFont="1" applyFill="1" applyBorder="1" applyAlignment="1">
      <alignment vertical="center"/>
    </xf>
    <xf numFmtId="171" fontId="86" fillId="21" borderId="75" xfId="1" applyNumberFormat="1" applyFont="1" applyFill="1" applyBorder="1" applyAlignment="1">
      <alignment horizontal="center" vertical="center"/>
    </xf>
    <xf numFmtId="171" fontId="82" fillId="21" borderId="75" xfId="1" applyNumberFormat="1" applyFont="1" applyFill="1" applyBorder="1" applyAlignment="1">
      <alignment vertical="center"/>
    </xf>
    <xf numFmtId="178" fontId="83" fillId="0" borderId="0" xfId="0" applyNumberFormat="1" applyFont="1" applyAlignment="1">
      <alignment vertical="center"/>
    </xf>
    <xf numFmtId="171" fontId="11" fillId="0" borderId="0" xfId="1" applyNumberFormat="1" applyFont="1" applyAlignment="1">
      <alignment horizontal="right" vertical="center"/>
    </xf>
    <xf numFmtId="178" fontId="7" fillId="0" borderId="0" xfId="0" applyNumberFormat="1" applyFont="1" applyAlignment="1">
      <alignment vertical="center"/>
    </xf>
    <xf numFmtId="171" fontId="79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71" fontId="9" fillId="0" borderId="0" xfId="1" applyNumberFormat="1" applyFont="1" applyAlignment="1">
      <alignment horizontal="center" vertical="center"/>
    </xf>
    <xf numFmtId="171" fontId="0" fillId="0" borderId="0" xfId="1" applyNumberFormat="1" applyFont="1" applyAlignment="1">
      <alignment horizontal="center"/>
    </xf>
    <xf numFmtId="171" fontId="79" fillId="0" borderId="0" xfId="1" applyNumberFormat="1" applyFont="1" applyAlignment="1">
      <alignment horizontal="center"/>
    </xf>
    <xf numFmtId="171" fontId="10" fillId="0" borderId="0" xfId="1" applyNumberFormat="1" applyFont="1" applyAlignment="1">
      <alignment horizontal="center"/>
    </xf>
    <xf numFmtId="171" fontId="8" fillId="0" borderId="0" xfId="1" applyNumberFormat="1" applyFont="1" applyAlignment="1">
      <alignment horizontal="center"/>
    </xf>
    <xf numFmtId="171" fontId="71" fillId="0" borderId="0" xfId="1" applyNumberFormat="1" applyFont="1" applyAlignment="1">
      <alignment horizontal="center"/>
    </xf>
    <xf numFmtId="171" fontId="8" fillId="0" borderId="0" xfId="1" applyNumberFormat="1" applyFont="1" applyAlignment="1">
      <alignment horizontal="left"/>
    </xf>
    <xf numFmtId="171" fontId="9" fillId="0" borderId="0" xfId="1" applyNumberFormat="1" applyFont="1" applyAlignment="1">
      <alignment horizontal="center"/>
    </xf>
    <xf numFmtId="171" fontId="89" fillId="0" borderId="0" xfId="1" applyNumberFormat="1" applyFont="1" applyAlignment="1">
      <alignment horizontal="center"/>
    </xf>
    <xf numFmtId="171" fontId="9" fillId="0" borderId="0" xfId="1" applyNumberFormat="1" applyFont="1" applyAlignment="1">
      <alignment horizontal="left"/>
    </xf>
    <xf numFmtId="0" fontId="65" fillId="6" borderId="5" xfId="20" quotePrefix="1" applyFont="1" applyFill="1" applyBorder="1" applyAlignment="1">
      <alignment vertical="center"/>
    </xf>
    <xf numFmtId="14" fontId="12" fillId="0" borderId="7" xfId="0" quotePrefix="1" applyNumberFormat="1" applyFont="1" applyBorder="1" applyAlignment="1">
      <alignment vertical="center"/>
    </xf>
    <xf numFmtId="14" fontId="12" fillId="0" borderId="9" xfId="0" quotePrefix="1" applyNumberFormat="1" applyFont="1" applyBorder="1" applyAlignment="1">
      <alignment vertical="center"/>
    </xf>
    <xf numFmtId="0" fontId="12" fillId="0" borderId="7" xfId="20" quotePrefix="1" applyFont="1" applyBorder="1" applyAlignment="1">
      <alignment vertical="center"/>
    </xf>
    <xf numFmtId="0" fontId="65" fillId="0" borderId="5" xfId="20" quotePrefix="1" applyFont="1" applyBorder="1" applyAlignment="1">
      <alignment vertical="center"/>
    </xf>
    <xf numFmtId="164" fontId="0" fillId="0" borderId="5" xfId="3" quotePrefix="1" applyFont="1" applyFill="1" applyBorder="1" applyAlignment="1">
      <alignment vertical="center"/>
    </xf>
    <xf numFmtId="171" fontId="4" fillId="0" borderId="5" xfId="1" quotePrefix="1" applyNumberFormat="1" applyFont="1" applyBorder="1" applyAlignment="1">
      <alignment horizontal="center" vertical="center"/>
    </xf>
    <xf numFmtId="171" fontId="4" fillId="6" borderId="5" xfId="1" quotePrefix="1" applyNumberFormat="1" applyFont="1" applyFill="1" applyBorder="1" applyAlignment="1">
      <alignment horizontal="center" vertical="center"/>
    </xf>
    <xf numFmtId="164" fontId="0" fillId="6" borderId="5" xfId="3" quotePrefix="1" applyFont="1" applyFill="1" applyBorder="1" applyAlignment="1">
      <alignment vertical="center"/>
    </xf>
    <xf numFmtId="164" fontId="4" fillId="6" borderId="5" xfId="3" quotePrefix="1" applyFont="1" applyFill="1" applyBorder="1" applyAlignment="1">
      <alignment vertical="center"/>
    </xf>
    <xf numFmtId="164" fontId="0" fillId="0" borderId="9" xfId="3" quotePrefix="1" applyFont="1" applyFill="1" applyBorder="1" applyAlignment="1">
      <alignment vertical="center"/>
    </xf>
    <xf numFmtId="14" fontId="0" fillId="0" borderId="9" xfId="3" quotePrefix="1" applyNumberFormat="1" applyFont="1" applyFill="1" applyBorder="1" applyAlignment="1">
      <alignment vertical="center"/>
    </xf>
    <xf numFmtId="171" fontId="4" fillId="0" borderId="9" xfId="1" quotePrefix="1" applyNumberFormat="1" applyFont="1" applyBorder="1" applyAlignment="1">
      <alignment horizontal="center" vertical="center"/>
    </xf>
    <xf numFmtId="14" fontId="0" fillId="0" borderId="5" xfId="3" quotePrefix="1" applyNumberFormat="1" applyFont="1" applyFill="1" applyBorder="1" applyAlignment="1">
      <alignment vertical="center"/>
    </xf>
    <xf numFmtId="171" fontId="4" fillId="0" borderId="5" xfId="1" quotePrefix="1" applyNumberFormat="1" applyFont="1" applyFill="1" applyBorder="1" applyAlignment="1">
      <alignment horizontal="center" vertical="center"/>
    </xf>
    <xf numFmtId="14" fontId="4" fillId="0" borderId="9" xfId="3" quotePrefix="1" applyNumberFormat="1" applyFont="1" applyFill="1" applyBorder="1" applyAlignment="1">
      <alignment vertical="center"/>
    </xf>
    <xf numFmtId="14" fontId="4" fillId="0" borderId="5" xfId="3" quotePrefix="1" applyNumberFormat="1" applyFont="1" applyFill="1" applyBorder="1" applyAlignment="1">
      <alignment vertical="center"/>
    </xf>
    <xf numFmtId="14" fontId="12" fillId="0" borderId="5" xfId="0" quotePrefix="1" applyNumberFormat="1" applyFont="1" applyBorder="1"/>
    <xf numFmtId="0" fontId="67" fillId="15" borderId="5" xfId="0" quotePrefix="1" applyFont="1" applyFill="1" applyBorder="1" applyAlignment="1">
      <alignment horizontal="center" vertical="center"/>
    </xf>
    <xf numFmtId="0" fontId="12" fillId="15" borderId="5" xfId="0" quotePrefix="1" applyFont="1" applyFill="1" applyBorder="1" applyAlignment="1">
      <alignment horizontal="center" vertical="center"/>
    </xf>
    <xf numFmtId="0" fontId="12" fillId="0" borderId="5" xfId="0" quotePrefix="1" applyFont="1" applyBorder="1"/>
    <xf numFmtId="0" fontId="12" fillId="0" borderId="5" xfId="0" quotePrefix="1" applyFont="1" applyBorder="1" applyAlignment="1">
      <alignment horizontal="center" vertical="center"/>
    </xf>
    <xf numFmtId="0" fontId="12" fillId="0" borderId="5" xfId="23" quotePrefix="1" applyFont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left" vertical="center"/>
    </xf>
    <xf numFmtId="164" fontId="12" fillId="15" borderId="5" xfId="23" quotePrefix="1" applyNumberFormat="1" applyFont="1" applyFill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center" vertical="center"/>
    </xf>
    <xf numFmtId="0" fontId="12" fillId="0" borderId="5" xfId="23" quotePrefix="1" applyFont="1" applyBorder="1" applyAlignment="1">
      <alignment horizontal="center" vertical="center"/>
    </xf>
    <xf numFmtId="0" fontId="12" fillId="6" borderId="5" xfId="23" quotePrefix="1" applyFont="1" applyFill="1" applyBorder="1" applyAlignment="1">
      <alignment horizontal="center" vertical="center"/>
    </xf>
    <xf numFmtId="14" fontId="40" fillId="0" borderId="5" xfId="21" quotePrefix="1" applyNumberFormat="1" applyFont="1" applyBorder="1" applyAlignment="1">
      <alignment horizontal="center" vertical="center"/>
    </xf>
    <xf numFmtId="177" fontId="34" fillId="0" borderId="5" xfId="21" quotePrefix="1" applyNumberFormat="1" applyFont="1" applyBorder="1" applyAlignment="1">
      <alignment horizontal="center"/>
    </xf>
    <xf numFmtId="177" fontId="34" fillId="15" borderId="5" xfId="21" quotePrefix="1" applyNumberFormat="1" applyFont="1" applyFill="1" applyBorder="1" applyAlignment="1">
      <alignment horizontal="center"/>
    </xf>
    <xf numFmtId="0" fontId="40" fillId="0" borderId="5" xfId="21" quotePrefix="1" applyFont="1" applyBorder="1" applyAlignment="1">
      <alignment vertical="center"/>
    </xf>
    <xf numFmtId="0" fontId="40" fillId="0" borderId="5" xfId="21" quotePrefix="1" applyFont="1" applyBorder="1" applyAlignment="1">
      <alignment horizontal="left" vertical="center"/>
    </xf>
    <xf numFmtId="177" fontId="35" fillId="0" borderId="5" xfId="21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vertical="center"/>
    </xf>
    <xf numFmtId="14" fontId="4" fillId="0" borderId="5" xfId="0" quotePrefix="1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8" fillId="0" borderId="0" xfId="24" applyFont="1" applyAlignment="1">
      <alignment horizontal="center" vertical="center"/>
    </xf>
    <xf numFmtId="0" fontId="4" fillId="0" borderId="0" xfId="24" applyAlignment="1">
      <alignment horizontal="left"/>
    </xf>
    <xf numFmtId="0" fontId="8" fillId="12" borderId="5" xfId="24" applyFont="1" applyFill="1" applyBorder="1" applyAlignment="1">
      <alignment horizontal="center"/>
    </xf>
    <xf numFmtId="0" fontId="4" fillId="0" borderId="0" xfId="24" applyAlignment="1">
      <alignment horizontal="center"/>
    </xf>
    <xf numFmtId="0" fontId="8" fillId="0" borderId="0" xfId="24" applyFont="1" applyAlignment="1">
      <alignment horizontal="center"/>
    </xf>
    <xf numFmtId="0" fontId="9" fillId="0" borderId="0" xfId="2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2" fillId="12" borderId="60" xfId="0" applyFont="1" applyFill="1" applyBorder="1" applyAlignment="1">
      <alignment horizontal="center" vertical="center"/>
    </xf>
    <xf numFmtId="0" fontId="82" fillId="12" borderId="61" xfId="0" applyFont="1" applyFill="1" applyBorder="1" applyAlignment="1">
      <alignment horizontal="center" vertical="center"/>
    </xf>
    <xf numFmtId="0" fontId="82" fillId="12" borderId="62" xfId="0" applyFont="1" applyFill="1" applyBorder="1" applyAlignment="1">
      <alignment horizontal="center" vertical="center"/>
    </xf>
    <xf numFmtId="171" fontId="82" fillId="12" borderId="60" xfId="1" applyNumberFormat="1" applyFont="1" applyFill="1" applyBorder="1" applyAlignment="1">
      <alignment horizontal="center" vertical="center"/>
    </xf>
    <xf numFmtId="171" fontId="82" fillId="12" borderId="61" xfId="1" applyNumberFormat="1" applyFont="1" applyFill="1" applyBorder="1" applyAlignment="1">
      <alignment horizontal="center" vertical="center"/>
    </xf>
    <xf numFmtId="171" fontId="82" fillId="12" borderId="62" xfId="1" applyNumberFormat="1" applyFont="1" applyFill="1" applyBorder="1" applyAlignment="1">
      <alignment horizontal="center" vertical="center"/>
    </xf>
    <xf numFmtId="0" fontId="82" fillId="21" borderId="74" xfId="0" applyFont="1" applyFill="1" applyBorder="1" applyAlignment="1">
      <alignment horizontal="center" vertical="center"/>
    </xf>
    <xf numFmtId="0" fontId="82" fillId="21" borderId="49" xfId="0" applyFont="1" applyFill="1" applyBorder="1" applyAlignment="1">
      <alignment horizontal="center" vertical="center"/>
    </xf>
    <xf numFmtId="171" fontId="82" fillId="21" borderId="74" xfId="1" applyNumberFormat="1" applyFont="1" applyFill="1" applyBorder="1" applyAlignment="1">
      <alignment horizontal="center" vertical="center"/>
    </xf>
    <xf numFmtId="171" fontId="82" fillId="21" borderId="4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1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0" xfId="3" applyFont="1" applyAlignment="1">
      <alignment horizontal="center"/>
    </xf>
    <xf numFmtId="164" fontId="4" fillId="0" borderId="0" xfId="3" applyFont="1" applyAlignment="1">
      <alignment horizontal="center"/>
    </xf>
    <xf numFmtId="0" fontId="8" fillId="0" borderId="0" xfId="20" applyFont="1" applyAlignment="1">
      <alignment horizontal="center"/>
    </xf>
    <xf numFmtId="0" fontId="4" fillId="0" borderId="0" xfId="20" applyAlignment="1">
      <alignment horizontal="center"/>
    </xf>
    <xf numFmtId="0" fontId="8" fillId="21" borderId="2" xfId="20" applyFont="1" applyFill="1" applyBorder="1" applyAlignment="1">
      <alignment horizontal="center" vertical="center"/>
    </xf>
    <xf numFmtId="0" fontId="8" fillId="21" borderId="3" xfId="20" applyFont="1" applyFill="1" applyBorder="1" applyAlignment="1">
      <alignment horizontal="center" vertical="center"/>
    </xf>
    <xf numFmtId="0" fontId="8" fillId="21" borderId="4" xfId="20" applyFont="1" applyFill="1" applyBorder="1" applyAlignment="1">
      <alignment horizontal="center" vertical="center"/>
    </xf>
    <xf numFmtId="0" fontId="8" fillId="12" borderId="2" xfId="20" applyFont="1" applyFill="1" applyBorder="1" applyAlignment="1">
      <alignment horizontal="center" vertical="center"/>
    </xf>
    <xf numFmtId="0" fontId="8" fillId="12" borderId="3" xfId="20" applyFont="1" applyFill="1" applyBorder="1" applyAlignment="1">
      <alignment horizontal="center" vertical="center"/>
    </xf>
    <xf numFmtId="0" fontId="4" fillId="12" borderId="3" xfId="20" applyFill="1" applyBorder="1" applyAlignment="1">
      <alignment horizontal="center" vertical="center"/>
    </xf>
    <xf numFmtId="0" fontId="8" fillId="12" borderId="4" xfId="20" applyFont="1" applyFill="1" applyBorder="1" applyAlignment="1">
      <alignment horizontal="center" vertical="center"/>
    </xf>
    <xf numFmtId="171" fontId="4" fillId="0" borderId="0" xfId="20" applyNumberFormat="1" applyAlignment="1">
      <alignment horizontal="center"/>
    </xf>
    <xf numFmtId="0" fontId="78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0" fontId="65" fillId="8" borderId="5" xfId="20" applyFont="1" applyFill="1" applyBorder="1" applyAlignment="1">
      <alignment horizontal="center" vertical="center"/>
    </xf>
    <xf numFmtId="14" fontId="12" fillId="0" borderId="5" xfId="0" quotePrefix="1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7" xfId="0" quotePrefix="1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2" fillId="0" borderId="1" xfId="20" quotePrefix="1" applyFont="1" applyBorder="1" applyAlignment="1">
      <alignment horizontal="center" vertical="center"/>
    </xf>
    <xf numFmtId="0" fontId="12" fillId="0" borderId="7" xfId="20" applyFont="1" applyBorder="1" applyAlignment="1">
      <alignment horizontal="center" vertical="center"/>
    </xf>
    <xf numFmtId="0" fontId="12" fillId="0" borderId="5" xfId="20" quotePrefix="1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12" fillId="0" borderId="7" xfId="20" quotePrefix="1" applyFont="1" applyBorder="1" applyAlignment="1">
      <alignment horizontal="center" vertical="center"/>
    </xf>
    <xf numFmtId="0" fontId="12" fillId="0" borderId="9" xfId="20" applyFont="1" applyBorder="1" applyAlignment="1">
      <alignment horizontal="center" vertical="center"/>
    </xf>
    <xf numFmtId="0" fontId="8" fillId="8" borderId="5" xfId="2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15" borderId="44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69" xfId="0" applyFont="1" applyFill="1" applyBorder="1" applyAlignment="1">
      <alignment horizontal="left" vertical="center"/>
    </xf>
    <xf numFmtId="0" fontId="11" fillId="6" borderId="7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9" fillId="0" borderId="0" xfId="3" applyFont="1" applyAlignment="1">
      <alignment horizontal="center"/>
    </xf>
    <xf numFmtId="0" fontId="4" fillId="15" borderId="43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68" xfId="0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/>
    </xf>
    <xf numFmtId="0" fontId="8" fillId="0" borderId="0" xfId="23" applyFont="1" applyAlignment="1">
      <alignment horizontal="center" vertical="center"/>
    </xf>
    <xf numFmtId="0" fontId="65" fillId="18" borderId="3" xfId="23" applyFont="1" applyFill="1" applyBorder="1" applyAlignment="1">
      <alignment horizontal="center" wrapText="1"/>
    </xf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8" fillId="6" borderId="5" xfId="23" applyFont="1" applyFill="1" applyBorder="1" applyAlignment="1">
      <alignment horizontal="center" vertical="center"/>
    </xf>
    <xf numFmtId="0" fontId="9" fillId="0" borderId="0" xfId="23" applyFont="1" applyAlignment="1">
      <alignment horizontal="center"/>
    </xf>
    <xf numFmtId="0" fontId="65" fillId="0" borderId="5" xfId="23" applyFont="1" applyBorder="1" applyAlignment="1">
      <alignment horizontal="center" vertical="center"/>
    </xf>
    <xf numFmtId="0" fontId="65" fillId="6" borderId="5" xfId="23" applyFont="1" applyFill="1" applyBorder="1" applyAlignment="1">
      <alignment horizontal="center" vertical="center"/>
    </xf>
    <xf numFmtId="0" fontId="65" fillId="17" borderId="5" xfId="23" applyFont="1" applyFill="1" applyBorder="1" applyAlignment="1">
      <alignment horizontal="center" vertical="center"/>
    </xf>
    <xf numFmtId="0" fontId="65" fillId="18" borderId="1" xfId="23" applyFont="1" applyFill="1" applyBorder="1" applyAlignment="1">
      <alignment horizontal="center" vertical="center"/>
    </xf>
    <xf numFmtId="0" fontId="65" fillId="18" borderId="9" xfId="23" applyFont="1" applyFill="1" applyBorder="1" applyAlignment="1">
      <alignment horizontal="center" vertical="center"/>
    </xf>
    <xf numFmtId="0" fontId="65" fillId="18" borderId="5" xfId="23" applyFont="1" applyFill="1" applyBorder="1" applyAlignment="1">
      <alignment horizontal="center" vertical="center" wrapText="1"/>
    </xf>
    <xf numFmtId="0" fontId="65" fillId="19" borderId="5" xfId="23" applyFont="1" applyFill="1" applyBorder="1" applyAlignment="1">
      <alignment horizontal="center" vertical="center" wrapText="1"/>
    </xf>
    <xf numFmtId="0" fontId="1" fillId="0" borderId="0" xfId="19" applyFont="1" applyAlignment="1">
      <alignment horizontal="center" vertical="center"/>
    </xf>
    <xf numFmtId="0" fontId="65" fillId="0" borderId="2" xfId="19" applyFont="1" applyBorder="1" applyAlignment="1">
      <alignment horizontal="center"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15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/>
    </xf>
    <xf numFmtId="0" fontId="65" fillId="0" borderId="11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/>
    </xf>
    <xf numFmtId="172" fontId="12" fillId="0" borderId="7" xfId="19" applyNumberFormat="1" applyFont="1" applyBorder="1" applyAlignment="1">
      <alignment horizontal="center" vertical="center" wrapText="1"/>
    </xf>
    <xf numFmtId="172" fontId="12" fillId="0" borderId="9" xfId="19" applyNumberFormat="1" applyFont="1" applyBorder="1" applyAlignment="1">
      <alignment horizontal="center" vertical="center" wrapText="1"/>
    </xf>
    <xf numFmtId="172" fontId="12" fillId="0" borderId="9" xfId="10" applyNumberFormat="1" applyFont="1" applyBorder="1" applyAlignment="1">
      <alignment horizontal="center" vertical="center"/>
    </xf>
    <xf numFmtId="172" fontId="12" fillId="0" borderId="48" xfId="10" applyNumberFormat="1" applyFont="1" applyBorder="1" applyAlignment="1">
      <alignment horizontal="center" vertical="center"/>
    </xf>
    <xf numFmtId="172" fontId="12" fillId="0" borderId="14" xfId="10" applyNumberFormat="1" applyFont="1" applyBorder="1" applyAlignment="1">
      <alignment horizontal="center" vertical="center"/>
    </xf>
    <xf numFmtId="172" fontId="12" fillId="0" borderId="13" xfId="10" applyNumberFormat="1" applyFont="1" applyBorder="1" applyAlignment="1">
      <alignment horizontal="center" vertical="center"/>
    </xf>
    <xf numFmtId="172" fontId="12" fillId="0" borderId="0" xfId="10" applyNumberFormat="1" applyFont="1" applyBorder="1" applyAlignment="1">
      <alignment horizontal="center" vertical="center"/>
    </xf>
    <xf numFmtId="172" fontId="12" fillId="0" borderId="11" xfId="10" applyNumberFormat="1" applyFont="1" applyBorder="1" applyAlignment="1">
      <alignment horizontal="center" vertical="center"/>
    </xf>
    <xf numFmtId="0" fontId="65" fillId="0" borderId="13" xfId="19" applyFont="1" applyBorder="1" applyAlignment="1">
      <alignment horizontal="center" vertical="center"/>
    </xf>
    <xf numFmtId="0" fontId="65" fillId="0" borderId="14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 wrapText="1"/>
    </xf>
    <xf numFmtId="0" fontId="11" fillId="0" borderId="52" xfId="24" applyFont="1" applyBorder="1" applyAlignment="1">
      <alignment horizontal="left"/>
    </xf>
    <xf numFmtId="0" fontId="11" fillId="6" borderId="60" xfId="24" applyFont="1" applyFill="1" applyBorder="1" applyAlignment="1">
      <alignment horizontal="left" vertical="center"/>
    </xf>
    <xf numFmtId="0" fontId="11" fillId="6" borderId="61" xfId="24" applyFont="1" applyFill="1" applyBorder="1" applyAlignment="1">
      <alignment horizontal="left" vertical="center"/>
    </xf>
    <xf numFmtId="0" fontId="11" fillId="6" borderId="62" xfId="24" applyFont="1" applyFill="1" applyBorder="1" applyAlignment="1">
      <alignment horizontal="left" vertical="center"/>
    </xf>
    <xf numFmtId="0" fontId="1" fillId="0" borderId="60" xfId="24" applyFont="1" applyBorder="1" applyAlignment="1">
      <alignment horizontal="left" vertical="center"/>
    </xf>
    <xf numFmtId="0" fontId="1" fillId="0" borderId="61" xfId="24" applyFont="1" applyBorder="1" applyAlignment="1">
      <alignment horizontal="left" vertical="center"/>
    </xf>
    <xf numFmtId="0" fontId="1" fillId="0" borderId="62" xfId="24" applyFont="1" applyBorder="1" applyAlignment="1">
      <alignment horizontal="left" vertical="center"/>
    </xf>
    <xf numFmtId="0" fontId="8" fillId="16" borderId="53" xfId="24" applyFont="1" applyFill="1" applyBorder="1" applyAlignment="1">
      <alignment horizontal="center" vertical="center"/>
    </xf>
    <xf numFmtId="0" fontId="8" fillId="16" borderId="57" xfId="24" applyFont="1" applyFill="1" applyBorder="1" applyAlignment="1">
      <alignment horizontal="center" vertical="center"/>
    </xf>
    <xf numFmtId="0" fontId="8" fillId="16" borderId="54" xfId="24" applyFont="1" applyFill="1" applyBorder="1" applyAlignment="1">
      <alignment horizontal="center" vertical="center"/>
    </xf>
    <xf numFmtId="0" fontId="8" fillId="16" borderId="58" xfId="24" applyFont="1" applyFill="1" applyBorder="1" applyAlignment="1">
      <alignment horizontal="center" vertical="center"/>
    </xf>
    <xf numFmtId="0" fontId="8" fillId="16" borderId="55" xfId="24" applyFont="1" applyFill="1" applyBorder="1" applyAlignment="1">
      <alignment horizontal="center" vertical="center"/>
    </xf>
    <xf numFmtId="0" fontId="8" fillId="16" borderId="15" xfId="24" applyFont="1" applyFill="1" applyBorder="1" applyAlignment="1">
      <alignment horizontal="center" vertical="center"/>
    </xf>
    <xf numFmtId="0" fontId="8" fillId="16" borderId="56" xfId="24" applyFont="1" applyFill="1" applyBorder="1" applyAlignment="1">
      <alignment horizontal="center" vertical="center"/>
    </xf>
    <xf numFmtId="0" fontId="8" fillId="16" borderId="59" xfId="24" applyFont="1" applyFill="1" applyBorder="1" applyAlignment="1">
      <alignment horizontal="center" vertical="center"/>
    </xf>
    <xf numFmtId="0" fontId="36" fillId="0" borderId="0" xfId="21" applyFont="1" applyAlignment="1">
      <alignment horizontal="center"/>
    </xf>
    <xf numFmtId="164" fontId="36" fillId="0" borderId="0" xfId="21" applyNumberFormat="1" applyFont="1" applyAlignment="1">
      <alignment horizontal="center"/>
    </xf>
    <xf numFmtId="0" fontId="35" fillId="0" borderId="36" xfId="21" applyFont="1" applyBorder="1" applyAlignment="1">
      <alignment horizontal="center" vertical="center" wrapText="1"/>
    </xf>
    <xf numFmtId="0" fontId="35" fillId="0" borderId="37" xfId="21" applyFont="1" applyBorder="1" applyAlignment="1">
      <alignment horizontal="center" vertical="center" wrapText="1"/>
    </xf>
    <xf numFmtId="0" fontId="37" fillId="0" borderId="36" xfId="21" applyFont="1" applyBorder="1" applyAlignment="1">
      <alignment horizontal="center" vertical="center" wrapText="1"/>
    </xf>
    <xf numFmtId="0" fontId="37" fillId="0" borderId="37" xfId="21" applyFont="1" applyBorder="1" applyAlignment="1">
      <alignment horizontal="center" vertical="center" wrapText="1"/>
    </xf>
    <xf numFmtId="0" fontId="48" fillId="0" borderId="5" xfId="21" applyFont="1" applyBorder="1" applyAlignment="1">
      <alignment horizontal="center" vertical="center"/>
    </xf>
    <xf numFmtId="165" fontId="32" fillId="0" borderId="0" xfId="21" applyNumberFormat="1" applyFont="1" applyAlignment="1">
      <alignment horizontal="center"/>
    </xf>
    <xf numFmtId="15" fontId="32" fillId="0" borderId="0" xfId="21" applyNumberFormat="1" applyFont="1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32" fillId="0" borderId="0" xfId="21" applyFont="1" applyAlignment="1" applyProtection="1">
      <alignment horizontal="center" vertical="center"/>
      <protection hidden="1"/>
    </xf>
    <xf numFmtId="0" fontId="59" fillId="0" borderId="0" xfId="21" applyFont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5" fillId="0" borderId="34" xfId="21" applyFont="1" applyBorder="1" applyAlignment="1">
      <alignment horizontal="center" vertical="center" wrapText="1"/>
    </xf>
    <xf numFmtId="0" fontId="35" fillId="0" borderId="39" xfId="21" applyFont="1" applyBorder="1" applyAlignment="1">
      <alignment horizontal="center" vertical="center" wrapText="1"/>
    </xf>
    <xf numFmtId="0" fontId="35" fillId="0" borderId="35" xfId="21" applyFont="1" applyBorder="1" applyAlignment="1">
      <alignment horizontal="center" vertical="center" wrapText="1"/>
    </xf>
    <xf numFmtId="0" fontId="35" fillId="0" borderId="9" xfId="21" applyFont="1" applyBorder="1" applyAlignment="1">
      <alignment horizontal="center" vertical="center" wrapText="1"/>
    </xf>
    <xf numFmtId="0" fontId="35" fillId="0" borderId="38" xfId="21" applyFont="1" applyBorder="1" applyAlignment="1">
      <alignment horizontal="center" vertical="center" wrapText="1"/>
    </xf>
    <xf numFmtId="0" fontId="35" fillId="0" borderId="40" xfId="21" applyFont="1" applyBorder="1" applyAlignment="1">
      <alignment horizontal="center" vertical="center" wrapText="1"/>
    </xf>
    <xf numFmtId="0" fontId="34" fillId="0" borderId="0" xfId="21" applyFont="1" applyAlignment="1">
      <alignment horizontal="center"/>
    </xf>
    <xf numFmtId="0" fontId="23" fillId="0" borderId="16" xfId="22" applyFont="1" applyBorder="1" applyAlignment="1">
      <alignment horizontal="left" vertical="center" wrapText="1"/>
    </xf>
    <xf numFmtId="0" fontId="23" fillId="0" borderId="0" xfId="22" applyFont="1" applyAlignment="1">
      <alignment horizontal="left" vertical="center" wrapText="1"/>
    </xf>
    <xf numFmtId="0" fontId="23" fillId="0" borderId="18" xfId="22" applyFont="1" applyBorder="1" applyAlignment="1">
      <alignment horizontal="left" vertical="center" wrapText="1"/>
    </xf>
    <xf numFmtId="0" fontId="23" fillId="0" borderId="19" xfId="22" applyFont="1" applyBorder="1" applyAlignment="1">
      <alignment horizontal="left" vertical="center" wrapText="1"/>
    </xf>
    <xf numFmtId="0" fontId="23" fillId="12" borderId="23" xfId="22" applyFont="1" applyFill="1" applyBorder="1" applyAlignment="1">
      <alignment horizontal="center" vertical="center" wrapText="1"/>
    </xf>
    <xf numFmtId="0" fontId="23" fillId="12" borderId="24" xfId="22" applyFont="1" applyFill="1" applyBorder="1" applyAlignment="1">
      <alignment horizontal="center" vertical="center" wrapText="1"/>
    </xf>
    <xf numFmtId="0" fontId="23" fillId="12" borderId="25" xfId="22" applyFont="1" applyFill="1" applyBorder="1" applyAlignment="1">
      <alignment horizontal="center" vertical="center" wrapText="1"/>
    </xf>
    <xf numFmtId="0" fontId="23" fillId="5" borderId="29" xfId="22" applyFont="1" applyFill="1" applyBorder="1" applyAlignment="1">
      <alignment horizontal="center" vertical="center" wrapText="1"/>
    </xf>
    <xf numFmtId="0" fontId="23" fillId="5" borderId="30" xfId="22" applyFont="1" applyFill="1" applyBorder="1" applyAlignment="1">
      <alignment horizontal="center" vertical="center" wrapText="1"/>
    </xf>
    <xf numFmtId="0" fontId="23" fillId="10" borderId="20" xfId="22" applyFont="1" applyFill="1" applyBorder="1" applyAlignment="1">
      <alignment horizontal="center" vertical="center" wrapText="1"/>
    </xf>
    <xf numFmtId="0" fontId="23" fillId="10" borderId="26" xfId="22" applyFont="1" applyFill="1" applyBorder="1" applyAlignment="1">
      <alignment horizontal="center" vertical="center" wrapText="1"/>
    </xf>
    <xf numFmtId="0" fontId="23" fillId="10" borderId="21" xfId="22" applyFont="1" applyFill="1" applyBorder="1" applyAlignment="1">
      <alignment horizontal="center" vertical="center" wrapText="1"/>
    </xf>
    <xf numFmtId="0" fontId="23" fillId="10" borderId="27" xfId="22" applyFont="1" applyFill="1" applyBorder="1" applyAlignment="1">
      <alignment horizontal="center" vertical="center" wrapText="1"/>
    </xf>
    <xf numFmtId="171" fontId="8" fillId="0" borderId="2" xfId="1" applyNumberFormat="1" applyFont="1" applyBorder="1" applyAlignment="1">
      <alignment horizontal="center" vertical="center"/>
    </xf>
    <xf numFmtId="171" fontId="8" fillId="0" borderId="3" xfId="1" applyNumberFormat="1" applyFont="1" applyBorder="1" applyAlignment="1">
      <alignment horizontal="center" vertical="center"/>
    </xf>
    <xf numFmtId="171" fontId="8" fillId="0" borderId="4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8" fillId="0" borderId="1" xfId="1" applyNumberFormat="1" applyFont="1" applyBorder="1" applyAlignment="1">
      <alignment horizontal="center" vertical="center"/>
    </xf>
    <xf numFmtId="171" fontId="8" fillId="0" borderId="9" xfId="1" applyNumberFormat="1" applyFont="1" applyBorder="1" applyAlignment="1">
      <alignment horizontal="center" vertical="center"/>
    </xf>
    <xf numFmtId="171" fontId="8" fillId="0" borderId="7" xfId="1" applyNumberFormat="1" applyFont="1" applyBorder="1" applyAlignment="1">
      <alignment horizontal="center" vertical="center"/>
    </xf>
    <xf numFmtId="171" fontId="8" fillId="0" borderId="13" xfId="1" applyNumberFormat="1" applyFont="1" applyBorder="1" applyAlignment="1">
      <alignment horizontal="center" vertical="center"/>
    </xf>
    <xf numFmtId="171" fontId="8" fillId="0" borderId="6" xfId="1" applyNumberFormat="1" applyFont="1" applyBorder="1" applyAlignment="1">
      <alignment horizontal="center" vertical="center"/>
    </xf>
    <xf numFmtId="171" fontId="8" fillId="0" borderId="14" xfId="1" applyNumberFormat="1" applyFont="1" applyBorder="1" applyAlignment="1">
      <alignment horizontal="center" vertical="center"/>
    </xf>
    <xf numFmtId="171" fontId="8" fillId="0" borderId="10" xfId="1" applyNumberFormat="1" applyFont="1" applyBorder="1" applyAlignment="1">
      <alignment horizontal="center" vertical="center"/>
    </xf>
    <xf numFmtId="0" fontId="13" fillId="0" borderId="0" xfId="25" applyFont="1" applyAlignment="1">
      <alignment horizontal="center" vertical="center"/>
    </xf>
    <xf numFmtId="0" fontId="8" fillId="8" borderId="5" xfId="25" applyFont="1" applyFill="1" applyBorder="1" applyAlignment="1">
      <alignment horizontal="center" vertical="center"/>
    </xf>
    <xf numFmtId="9" fontId="8" fillId="8" borderId="5" xfId="25" applyNumberFormat="1" applyFont="1" applyFill="1" applyBorder="1" applyAlignment="1">
      <alignment horizontal="center" vertical="center"/>
    </xf>
    <xf numFmtId="172" fontId="2" fillId="0" borderId="5" xfId="16" applyNumberFormat="1" applyFont="1" applyBorder="1" applyAlignment="1">
      <alignment horizontal="center" vertical="top"/>
    </xf>
    <xf numFmtId="172" fontId="2" fillId="0" borderId="5" xfId="16" applyNumberFormat="1" applyFont="1" applyBorder="1" applyAlignment="1">
      <alignment horizontal="left" vertical="top"/>
    </xf>
    <xf numFmtId="0" fontId="4" fillId="0" borderId="0" xfId="25" applyAlignment="1">
      <alignment horizontal="center" vertical="center"/>
    </xf>
    <xf numFmtId="0" fontId="4" fillId="0" borderId="0" xfId="25" applyAlignment="1">
      <alignment horizontal="center"/>
    </xf>
    <xf numFmtId="0" fontId="9" fillId="0" borderId="0" xfId="25" applyFont="1" applyAlignment="1">
      <alignment horizontal="center"/>
    </xf>
    <xf numFmtId="0" fontId="8" fillId="8" borderId="5" xfId="2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0" fontId="4" fillId="0" borderId="0" xfId="0" applyFont="1"/>
    <xf numFmtId="9" fontId="12" fillId="0" borderId="0" xfId="0" applyNumberFormat="1" applyFont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9" fontId="8" fillId="8" borderId="5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71" fontId="0" fillId="0" borderId="5" xfId="1" applyNumberFormat="1" applyFont="1" applyBorder="1" applyAlignment="1">
      <alignment horizontal="center" vertical="center"/>
    </xf>
    <xf numFmtId="171" fontId="8" fillId="0" borderId="5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28">
    <cellStyle name="Comma" xfId="1" builtinId="3"/>
    <cellStyle name="Comma [0]" xfId="3" builtinId="6"/>
    <cellStyle name="Comma [0] 2" xfId="5" xr:uid="{00000000-0005-0000-0000-000031000000}"/>
    <cellStyle name="Comma [0] 3" xfId="6" xr:uid="{00000000-0005-0000-0000-000032000000}"/>
    <cellStyle name="Comma [0] 4" xfId="7" xr:uid="{00000000-0005-0000-0000-000033000000}"/>
    <cellStyle name="Comma [0] 5" xfId="8" xr:uid="{00000000-0005-0000-0000-000034000000}"/>
    <cellStyle name="Comma [0] 6" xfId="9" xr:uid="{00000000-0005-0000-0000-000035000000}"/>
    <cellStyle name="Comma 2" xfId="10" xr:uid="{00000000-0005-0000-0000-000036000000}"/>
    <cellStyle name="Comma 2 2" xfId="11" xr:uid="{00000000-0005-0000-0000-000037000000}"/>
    <cellStyle name="Comma 3" xfId="12" xr:uid="{00000000-0005-0000-0000-000038000000}"/>
    <cellStyle name="Comma 4" xfId="13" xr:uid="{00000000-0005-0000-0000-000039000000}"/>
    <cellStyle name="Comma 4 2" xfId="14" xr:uid="{00000000-0005-0000-0000-00003A000000}"/>
    <cellStyle name="Comma 5" xfId="15" xr:uid="{00000000-0005-0000-0000-00003B000000}"/>
    <cellStyle name="Comma 6" xfId="16" xr:uid="{00000000-0005-0000-0000-00003C000000}"/>
    <cellStyle name="Comma 7" xfId="17" xr:uid="{00000000-0005-0000-0000-00003D000000}"/>
    <cellStyle name="Currency [0]" xfId="4" builtinId="7"/>
    <cellStyle name="Currency [0] 2" xfId="18" xr:uid="{00000000-0005-0000-0000-00003E000000}"/>
    <cellStyle name="Normal" xfId="0" builtinId="0"/>
    <cellStyle name="Normal 2" xfId="19" xr:uid="{00000000-0005-0000-0000-00003F000000}"/>
    <cellStyle name="Normal 3" xfId="20" xr:uid="{00000000-0005-0000-0000-000040000000}"/>
    <cellStyle name="Normal 4" xfId="21" xr:uid="{00000000-0005-0000-0000-000041000000}"/>
    <cellStyle name="Normal 5" xfId="22" xr:uid="{00000000-0005-0000-0000-000042000000}"/>
    <cellStyle name="Normal 6" xfId="23" xr:uid="{00000000-0005-0000-0000-000043000000}"/>
    <cellStyle name="Normal 6 2" xfId="24" xr:uid="{00000000-0005-0000-0000-000044000000}"/>
    <cellStyle name="Normal 7" xfId="25" xr:uid="{00000000-0005-0000-0000-000045000000}"/>
    <cellStyle name="Percent" xfId="2" builtinId="5"/>
    <cellStyle name="Percent 2" xfId="26" xr:uid="{00000000-0005-0000-0000-000046000000}"/>
    <cellStyle name="Percent 3" xfId="27" xr:uid="{00000000-0005-0000-0000-000047000000}"/>
  </cellStyles>
  <dxfs count="0"/>
  <tableStyles count="0" defaultTableStyle="TableStyleMedium2" defaultPivotStyle="PivotStyleLight16"/>
  <colors>
    <mruColors>
      <color rgb="FF33CC33"/>
      <color rgb="FFFF00FF"/>
      <color rgb="FFFF6600"/>
      <color rgb="FF000099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1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ekniks%20SIDRAP/ANALISA%20BARU/Bina%20Marga/5-ALAT%20-%20Copy.xls" TargetMode="External"/><Relationship Id="rId1" Type="http://schemas.openxmlformats.org/officeDocument/2006/relationships/externalLinkPath" Target="/tekniks%20SIDRAP/ANALISA%20BARU/Bina%20Marga/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TazMania/Smoke%20Project/Penawaran%202005/cv%20buyung/paket%207/kaluku/1-BOQ.XLS" TargetMode="External"/><Relationship Id="rId1" Type="http://schemas.openxmlformats.org/officeDocument/2006/relationships/externalLinkPath" Target="/2017%20dewi/2017/dinas%20perikanan/gudang%20penyimpanan%20barang/TazMania/Smoke%20Project/Penawaran%202005/cv%20buyung/paket%207/kaluku/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SHAM-FIKA/polewali/13%20MILYAR/RAB%20PEMELIHARAAN%20BERKALA%20JLN%20BTS%20KOTA%20POLEWALI%20-%20BTS%20PROV%20SUL%20SEL.xls" TargetMode="External"/><Relationship Id="rId1" Type="http://schemas.openxmlformats.org/officeDocument/2006/relationships/externalLinkPath" Target="/ISHAM-FIKA/polewali/13%20MILYAR/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ee%202014/RAB%20VILLA%20CAMBA-CAMBANG%20-%20(EE).xlsx" TargetMode="External"/><Relationship Id="rId1" Type="http://schemas.openxmlformats.org/officeDocument/2006/relationships/externalLinkPath" Target="/2017%20dewi/2017/dinas%20perikanan/gudang%20penyimpanan%20barang/ee%202014/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ROJEK%20RAB/Daftar%20Analisa%20K%20barru.XLS" TargetMode="External"/><Relationship Id="rId1" Type="http://schemas.openxmlformats.org/officeDocument/2006/relationships/externalLinkPath" Target="/PROJEK%20RAB/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5-RAB%20KEJARI%20MAMASA-ANI%20KURANGI%20VOL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DAM-PANGKEP%20(TOMBOLO)/D-STIMULUS(PEM.SARANA%20AIR%20BAKU%20TOMBOLO)/PERENCANAAN%20PPI%20PANGKEP/RAB%20PEMBANGUNAN%20PPI%20PANGKEP.xls" TargetMode="External"/><Relationship Id="rId1" Type="http://schemas.openxmlformats.org/officeDocument/2006/relationships/externalLinkPath" Target="/2017%20dewi/2017/dinas%20perikanan/gudang%20penyimpanan%20barang/PDAM-PANGKEP%20(TOMBOLO)/D-STIMULUS(PEM.SARANA%20AIR%20BAKU%20TOMBOLO)/PERENCANAAN%20PPI%20PANGKEP/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EMBOBOTAN%20DERMAGA/limbangan/limbangan%20%20CV.agung%20MANDIRI.xlsx" TargetMode="External"/><Relationship Id="rId1" Type="http://schemas.openxmlformats.org/officeDocument/2006/relationships/externalLinkPath" Target="/2017%20dewi/2017/dinas%20perikanan/gudang%20penyimpanan%20barang/PEMBOBOTAN%20DERMAGA/limbangan/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My%20Document%20Windat/BONE/PASAR%20BONE%2008/GUDANG%20BONE%202009/JUNI/Juli/RAB%20GUDANG%20BONE%20FILE/Gudang%20Uloe%20B.xls" TargetMode="External"/><Relationship Id="rId1" Type="http://schemas.openxmlformats.org/officeDocument/2006/relationships/externalLinkPath" Target="/Users/user/Desktop/RRI/My%20Document%20Windat/BONE/PASAR%20BONE%2008/GUDANG%20BONE%202009/JUNI/Juli/RAB%20GUDANG%20BONE%20FILE/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y%20Document%20Windat/MAKASSAR/BKPMD/RAB%20BKPMD/Kakanta%20Project/File%20Penawaran/2010/Tender%20UNM/TENDER%20PASCASARJANA/PT.%20KAKANTA/RAB%20Tawar%2022%25.xls" TargetMode="External"/><Relationship Id="rId1" Type="http://schemas.openxmlformats.org/officeDocument/2006/relationships/externalLinkPath" Target="/My%20Document%20Windat/MAKASSAR/BKPMD/RAB%20BKPMD/Kakanta%20Project/File%20Penawaran/2010/Tender%20UNM/TENDER%20PASCASARJANA/PT.%20KAKANTA/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ender/TIM-EST/budi/TenderJalan/CM-Jalan.xls" TargetMode="External"/><Relationship Id="rId1" Type="http://schemas.openxmlformats.org/officeDocument/2006/relationships/externalLinkPath" Target="/Kantor%20D/OP%20II/Documents%20and%20Settings/171208/My%20Documents/RAB%20Batangmata/Tender/TIM-EST/budi/TenderJalan/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ESAIN/Pujananting/AHSP%202015%20PARE%20NON%20PPN.xls" TargetMode="External"/><Relationship Id="rId1" Type="http://schemas.openxmlformats.org/officeDocument/2006/relationships/externalLinkPath" Target="/DESAIN/Pujananting/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02-Sadli/Data%202006/RSUD/PEMELIHARAAN%20RSU/rumah%20dokter.xls" TargetMode="External"/><Relationship Id="rId1" Type="http://schemas.openxmlformats.org/officeDocument/2006/relationships/externalLinkPath" Target="/2017%20dewi/2017/dinas%20perikanan/gudang%20penyimpanan%20barang/02-Sadli/Data%202006/RSUD/PEMELIHARAAN%20RSU/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ocuments%20and%20Settings/mjc/My%20Documents/PASAR%20SIDRAP/Dokumen%20Lelang%20Pasar%20Pangkajene/1-RAB%20REVISI-PANG/4-rab%20rubah%20hrg%20bahan%20pasar%20pangkajene-contigency.xls" TargetMode="External"/><Relationship Id="rId1" Type="http://schemas.openxmlformats.org/officeDocument/2006/relationships/externalLinkPath" Target="/2017%20dewi/2017/dinas%20perikanan/gudang%20penyimpanan%20barang/Documents%20and%20Settings/mjc/My%20Documents/PASAR%20SIDRAP/Dokumen%20Lelang%20Pasar%20Pangkajene/1-RAB%20REVISI-PANG/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ocuments%20and%20Settings/Start%20Menu/INSTANT-ACCESS/My%20Documents/RSU%20Enrekang%202005/maros/pbb/aspal%20AC.xls" TargetMode="External"/><Relationship Id="rId1" Type="http://schemas.openxmlformats.org/officeDocument/2006/relationships/externalLinkPath" Target="/2017/DINAS%20PARIWISATA/gambar/LPM%20Boriappaka/Documents%20and%20Settings/Start%20Menu/INSTANT-ACCESS/My%20Documents/RSU%20Enrekang%202005/maros/pbb/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0/Data%20Untuk%20Dinas/RAB%20SARANA%20DAN%20PRASARANA%20APARATUR/Minimarket.xls" TargetMode="External"/><Relationship Id="rId1" Type="http://schemas.openxmlformats.org/officeDocument/2006/relationships/externalLinkPath" Target="/2017%20dewi/2017/dinas%20perikanan/gudang%20penyimpanan%20barang/Data%202010/Data%20Untuk%20Dinas/RAB%20SARANA%20DAN%20PRASARANA%20APARATUR/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3/PERHUB.%202013/perhub%202013/rambu%202013/anggaran%20perubahan/penawarana%20perubahan/HALTE%20NISAR/HALTE%20-%20PENAWAR.xls" TargetMode="External"/><Relationship Id="rId1" Type="http://schemas.openxmlformats.org/officeDocument/2006/relationships/externalLinkPath" Target="/2017%20dewi/2017/dinas%20perikanan/gudang%20penyimpanan%20barang/DATA%202013/PERHUB.%202013/perhub%202013/rambu%202013/anggaran%20perubahan/penawarana%20perubahan/HALTE%20NISAR/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UMPULAN%20ANALISA%20HARGA/MY%20PROJECT/PT.%20NARAYANA%20ADICIPTA/FAJAR%20MAKMUR/PENAWARAN%20KARAWAK.xls" TargetMode="External"/><Relationship Id="rId1" Type="http://schemas.openxmlformats.org/officeDocument/2006/relationships/externalLinkPath" Target="/KUMPULAN%20ANALISA%20HARGA/MY%20PROJECT/PT.%20NARAYANA%20ADICIPTA/FAJAR%20MAKMUR/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cAmpUr2/Pekerjaan%20Penyelesaian%20B1/File%2001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cAmpUr2/Pekerjaan%20Penyelesaian%20B1/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ata%202012/perikanan%202012/PENAWARAN%20H.MIMING/irigasi%20tminik.xls" TargetMode="External"/><Relationship Id="rId1" Type="http://schemas.openxmlformats.org/officeDocument/2006/relationships/externalLinkPath" Target="/2017/DINAS%20PARIWISATA/gambar/LPM%20Boriappaka/data%202012/perikanan%202012/PENAWARAN%20H.MIMING/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DESEMBER.xlsx" TargetMode="External"/><Relationship Id="rId1" Type="http://schemas.openxmlformats.org/officeDocument/2006/relationships/externalLinkPath" Target="/LAPORAN%20JAN-DES%202024/DESEMBER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1%20JANUARI/01%20JANUARI.xlsx" TargetMode="External"/><Relationship Id="rId1" Type="http://schemas.openxmlformats.org/officeDocument/2006/relationships/externalLinkPath" Target="/LAPORAN%202026/01%20JANUARI/01%20JANUARI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2%20FEBRUARI/02%20FEBRUARI.xlsx" TargetMode="External"/><Relationship Id="rId1" Type="http://schemas.openxmlformats.org/officeDocument/2006/relationships/externalLinkPath" Target="/LAPORAN%202026/02%20FEBRUARI/02%20FEBRUARI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3%20MARET/03%20MARET.xlsx" TargetMode="External"/><Relationship Id="rId1" Type="http://schemas.openxmlformats.org/officeDocument/2006/relationships/externalLinkPath" Target="/LAPORAN%202026/03%20MARET/03%20MARE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daftar%20aset%20tetap%20tahun%202025.xlsx" TargetMode="External"/><Relationship Id="rId1" Type="http://schemas.openxmlformats.org/officeDocument/2006/relationships/externalLinkPath" Target="/LAPORAN%202025/daftar%20aset%20tetap%20tahun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PDAM-PANGKEP%20(TOMBOLO)/D-STIMULUS(PEM.SARANA%20AIR%20BAKU%20TOMBOLO)/PERENCANAAN%20PPI%20PANGKEP/rev_RAB%20PEMBANGUNAN%20PPI%20PANGKEP.xls" TargetMode="External"/><Relationship Id="rId1" Type="http://schemas.openxmlformats.org/officeDocument/2006/relationships/externalLinkPath" Target="/2017/DINAS%20PARIWISATA/gambar/LPM%20Boriappaka/PDAM-PANGKEP%20(TOMBOLO)/D-STIMULUS(PEM.SARANA%20AIR%20BAKU%20TOMBOLO)/PERENCANAAN%20PPI%20PANGKEP/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%20-%20Copy%20(2)/Pengadaan%20barang%20dan%20jasa/Besi%20nelayan.xlsx" TargetMode="External"/><Relationship Id="rId1" Type="http://schemas.openxmlformats.org/officeDocument/2006/relationships/externalLinkPath" Target="/LAPORAN%202025%20-%20Copy%20(2)/Pengadaan%20barang%20dan%20jasa/Besi%20nelayan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01%20JANUARI/01%20JANUARI.xlsx" TargetMode="External"/><Relationship Id="rId1" Type="http://schemas.openxmlformats.org/officeDocument/2006/relationships/externalLinkPath" Target="/LAPORAN%202025/01%20JANUARI/01%20JANUARI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10%20Oktober/PEMBUKUAN%20MESIN%20BOR.xlsx" TargetMode="External"/><Relationship Id="rId1" Type="http://schemas.openxmlformats.org/officeDocument/2006/relationships/externalLinkPath" Target="/LAPORAN%20JAN-DES%202024/10%20Oktober/PEMBUKUAN%20MESIN%20BOR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12.Kas%20Umum%20Asli.xls" TargetMode="External"/><Relationship Id="rId1" Type="http://schemas.openxmlformats.org/officeDocument/2006/relationships/externalLinkPath" Target="/BUMDES/LAPORAN%20JAN-DES%202024/10%20Oktober/12.Kas%20Umum%20Asli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PENGELUARAN%20BUMDES%202024.xlsx" TargetMode="External"/><Relationship Id="rId1" Type="http://schemas.openxmlformats.org/officeDocument/2006/relationships/externalLinkPath" Target="/BUMDES/LAPORAN%20JAN-DES%202024/10%20Oktober/PENGELUARAN%20BUMDES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IM-EST/budi/TenderJalan/CM-Jalan.xls" TargetMode="External"/><Relationship Id="rId1" Type="http://schemas.openxmlformats.org/officeDocument/2006/relationships/externalLinkPath" Target="/Kantor%20D/OP%20II/Documents%20and%20Settings/171208/My%20Documents/RAB%20Batangmata/TIM-EST/budi/TenderJalan/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ANTAI%20APATANAH/My%20Documents/reog/teka/SOLO-3A.XLS" TargetMode="External"/><Relationship Id="rId1" Type="http://schemas.openxmlformats.org/officeDocument/2006/relationships/externalLinkPath" Target="/PANTAI%20APATANAH/My%20Documents/reog/teka/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PENAWARAN-2010/JN_2010/RAB%20LUTIM-2010/JEMBT.LAUMPANGI.XLS" TargetMode="External"/><Relationship Id="rId1" Type="http://schemas.openxmlformats.org/officeDocument/2006/relationships/externalLinkPath" Target="/2017/DINAS%20PARIWISATA/gambar/PENAWARAN-2010/JN_2010/RAB%20LUTIM-2010/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172">
          <cell r="G172">
            <v>304543000</v>
          </cell>
          <cell r="M172">
            <v>4745029.1666666698</v>
          </cell>
        </row>
        <row r="173">
          <cell r="N173">
            <v>45040595.833333403</v>
          </cell>
        </row>
        <row r="174">
          <cell r="N174">
            <v>259502404.16666701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8815913</v>
          </cell>
        </row>
        <row r="10">
          <cell r="C10">
            <v>800000</v>
          </cell>
        </row>
        <row r="11">
          <cell r="C11">
            <v>195000</v>
          </cell>
        </row>
        <row r="12">
          <cell r="C12">
            <v>3403256</v>
          </cell>
        </row>
        <row r="13">
          <cell r="C13">
            <v>3631205</v>
          </cell>
        </row>
        <row r="16">
          <cell r="C16">
            <v>232302</v>
          </cell>
        </row>
        <row r="23">
          <cell r="C23">
            <v>7850000</v>
          </cell>
        </row>
        <row r="24">
          <cell r="C24">
            <v>1600000</v>
          </cell>
        </row>
        <row r="25">
          <cell r="C25">
            <v>1100000</v>
          </cell>
        </row>
        <row r="26">
          <cell r="C26">
            <v>1345000</v>
          </cell>
          <cell r="F26">
            <v>16640029.1666667</v>
          </cell>
        </row>
        <row r="28">
          <cell r="C28">
            <v>4745029.1666666698</v>
          </cell>
        </row>
      </sheetData>
      <sheetData sheetId="2"/>
      <sheetData sheetId="3">
        <row r="254">
          <cell r="W254">
            <v>69260353.166666999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7794055</v>
          </cell>
        </row>
        <row r="10">
          <cell r="C10">
            <v>800000</v>
          </cell>
        </row>
        <row r="11">
          <cell r="C11">
            <v>30000</v>
          </cell>
        </row>
        <row r="12">
          <cell r="C12">
            <v>4175520</v>
          </cell>
        </row>
        <row r="13">
          <cell r="C13">
            <v>3306497</v>
          </cell>
        </row>
        <row r="16">
          <cell r="C16">
            <v>226450</v>
          </cell>
        </row>
        <row r="26">
          <cell r="C26">
            <v>650000</v>
          </cell>
        </row>
      </sheetData>
      <sheetData sheetId="2"/>
      <sheetData sheetId="3">
        <row r="229">
          <cell r="W229">
            <v>76694388.166666999</v>
          </cell>
        </row>
      </sheetData>
      <sheetData sheetId="4"/>
      <sheetData sheetId="5"/>
      <sheetData sheetId="6">
        <row r="8">
          <cell r="I8">
            <v>4175520</v>
          </cell>
          <cell r="J8">
            <v>15945029.1666667</v>
          </cell>
        </row>
        <row r="9">
          <cell r="I9">
            <v>7794055</v>
          </cell>
        </row>
        <row r="10">
          <cell r="I10">
            <v>3306497</v>
          </cell>
        </row>
        <row r="12">
          <cell r="I12">
            <v>800000</v>
          </cell>
        </row>
        <row r="14">
          <cell r="I14">
            <v>30000</v>
          </cell>
        </row>
        <row r="15">
          <cell r="I15">
            <v>226450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7005396</v>
          </cell>
        </row>
        <row r="10">
          <cell r="C10">
            <v>800000</v>
          </cell>
        </row>
        <row r="12">
          <cell r="C12">
            <v>2957700</v>
          </cell>
        </row>
        <row r="13">
          <cell r="C13">
            <v>4016780</v>
          </cell>
        </row>
        <row r="14">
          <cell r="C14">
            <v>2675000</v>
          </cell>
        </row>
        <row r="16">
          <cell r="C16">
            <v>378000</v>
          </cell>
        </row>
        <row r="26">
          <cell r="C26">
            <v>1575000</v>
          </cell>
        </row>
      </sheetData>
      <sheetData sheetId="2"/>
      <sheetData sheetId="3">
        <row r="223">
          <cell r="W223">
            <v>74924907.166666999</v>
          </cell>
        </row>
      </sheetData>
      <sheetData sheetId="4"/>
      <sheetData sheetId="5"/>
      <sheetData sheetId="6">
        <row r="8">
          <cell r="O8">
            <v>2957700</v>
          </cell>
          <cell r="P8">
            <v>16870029.166666701</v>
          </cell>
        </row>
        <row r="9">
          <cell r="O9">
            <v>7005396</v>
          </cell>
        </row>
        <row r="10">
          <cell r="O10">
            <v>4016780</v>
          </cell>
        </row>
        <row r="11">
          <cell r="O11">
            <v>2675000</v>
          </cell>
        </row>
        <row r="12">
          <cell r="O12">
            <v>800000</v>
          </cell>
        </row>
        <row r="15">
          <cell r="O15">
            <v>378000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PENG. LOMPO E TAHAP KE (2)"/>
      <sheetName val="Mantanaice bor air"/>
      <sheetName val=" LOMPO E"/>
      <sheetName val="Pengeluaran LPJ"/>
      <sheetName val="Sheet1 (6)"/>
      <sheetName val="SALURAN AIR UJUNGE"/>
      <sheetName val="PENGELUARAN DI LOMPO E"/>
      <sheetName val="PENGELUARAN GALUNG JAM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G18">
            <v>9505000</v>
          </cell>
        </row>
      </sheetData>
      <sheetData sheetId="11"/>
      <sheetData sheetId="12"/>
      <sheetData sheetId="13"/>
      <sheetData sheetId="14"/>
      <sheetData sheetId="15">
        <row r="14">
          <cell r="G14">
            <v>5375000</v>
          </cell>
        </row>
      </sheetData>
      <sheetData sheetId="16">
        <row r="41">
          <cell r="G41">
            <v>9833500</v>
          </cell>
        </row>
      </sheetData>
      <sheetData sheetId="17">
        <row r="41">
          <cell r="G41">
            <v>450000</v>
          </cell>
        </row>
      </sheetData>
      <sheetData sheetId="18">
        <row r="16">
          <cell r="G16">
            <v>6060000</v>
          </cell>
        </row>
        <row r="23">
          <cell r="G23">
            <v>11172000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N (2)"/>
      <sheetName val="RUGI LABA "/>
      <sheetName val="KASHAR"/>
      <sheetName val="REKAP"/>
      <sheetName val="titik 5"/>
      <sheetName val="titik 6"/>
      <sheetName val="titik 7"/>
      <sheetName val="titik 8"/>
      <sheetName val="PENG. GALUNG JAMPU TAHAP KE 2"/>
      <sheetName val="Mantanaice bor air"/>
      <sheetName val="titik 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1 (2)"/>
    </sheetNames>
    <sheetDataSet>
      <sheetData sheetId="0">
        <row r="49">
          <cell r="J49">
            <v>1125000</v>
          </cell>
        </row>
      </sheetData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  <cell r="D10" t="str">
            <v>Batupute</v>
          </cell>
        </row>
        <row r="11">
          <cell r="A11" t="str">
            <v>Kabupaten</v>
          </cell>
          <cell r="D11" t="str">
            <v>BARRU</v>
          </cell>
        </row>
        <row r="12">
          <cell r="A12" t="str">
            <v>Provinsi</v>
          </cell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view="pageBreakPreview" topLeftCell="A31" zoomScale="110" zoomScaleNormal="90" zoomScalePageLayoutView="80" workbookViewId="0">
      <selection activeCell="D34" sqref="D34"/>
    </sheetView>
  </sheetViews>
  <sheetFormatPr defaultColWidth="9" defaultRowHeight="15"/>
  <cols>
    <col min="1" max="1" width="5.85546875" style="494" customWidth="1"/>
    <col min="2" max="2" width="27.7109375" customWidth="1"/>
    <col min="3" max="3" width="2.5703125" hidden="1" customWidth="1"/>
    <col min="4" max="4" width="12.28515625" style="54" customWidth="1"/>
    <col min="5" max="5" width="14.7109375" style="725" customWidth="1"/>
    <col min="6" max="6" width="6" style="673" customWidth="1"/>
    <col min="7" max="7" width="24.28515625" style="54" customWidth="1"/>
    <col min="8" max="8" width="18" style="54" customWidth="1"/>
    <col min="9" max="9" width="18.85546875" customWidth="1"/>
    <col min="10" max="10" width="18" customWidth="1"/>
    <col min="11" max="11" width="19.5703125" customWidth="1"/>
    <col min="12" max="12" width="17" customWidth="1"/>
    <col min="13" max="13" width="17.5703125" customWidth="1"/>
    <col min="14" max="14" width="15" customWidth="1"/>
    <col min="15" max="15" width="13.85546875" customWidth="1"/>
    <col min="16" max="16" width="15.42578125" customWidth="1"/>
    <col min="17" max="17" width="16.85546875" customWidth="1"/>
    <col min="18" max="18" width="11" customWidth="1"/>
  </cols>
  <sheetData>
    <row r="1" spans="1:17" s="50" customFormat="1" ht="13.5" customHeight="1">
      <c r="A1" s="886" t="s">
        <v>0</v>
      </c>
      <c r="B1" s="886"/>
      <c r="C1" s="886"/>
      <c r="D1" s="886"/>
      <c r="E1" s="886"/>
      <c r="F1" s="886"/>
      <c r="G1" s="886"/>
      <c r="H1" s="886"/>
      <c r="I1" s="74"/>
      <c r="J1" s="645"/>
    </row>
    <row r="2" spans="1:17" s="50" customFormat="1" ht="12.75" customHeight="1">
      <c r="A2" s="886" t="s">
        <v>1</v>
      </c>
      <c r="B2" s="886"/>
      <c r="C2" s="886"/>
      <c r="D2" s="886"/>
      <c r="E2" s="886"/>
      <c r="F2" s="886"/>
      <c r="G2" s="886"/>
      <c r="H2" s="886"/>
      <c r="I2" s="74"/>
      <c r="J2" s="645"/>
    </row>
    <row r="3" spans="1:17" s="50" customFormat="1" ht="12.75" customHeight="1">
      <c r="A3" s="886" t="s">
        <v>2</v>
      </c>
      <c r="B3" s="886"/>
      <c r="C3" s="886"/>
      <c r="D3" s="886"/>
      <c r="E3" s="886"/>
      <c r="F3" s="886"/>
      <c r="G3" s="886"/>
      <c r="H3" s="886"/>
      <c r="J3" s="645"/>
    </row>
    <row r="4" spans="1:17" s="50" customFormat="1">
      <c r="A4" s="887"/>
      <c r="B4" s="888"/>
      <c r="D4" s="645"/>
      <c r="E4" s="727"/>
      <c r="F4" s="728"/>
      <c r="G4" s="645"/>
      <c r="H4" s="645"/>
      <c r="I4" s="729"/>
      <c r="J4" s="645"/>
    </row>
    <row r="5" spans="1:17" s="50" customFormat="1">
      <c r="A5" s="887"/>
      <c r="B5" s="888"/>
      <c r="D5" s="645"/>
      <c r="E5" s="727"/>
      <c r="F5" s="728"/>
      <c r="G5" s="645"/>
      <c r="H5" s="645"/>
      <c r="I5" s="729"/>
      <c r="J5" s="730"/>
    </row>
    <row r="6" spans="1:17" s="50" customFormat="1">
      <c r="A6" s="887"/>
      <c r="B6" s="888"/>
      <c r="D6" s="645"/>
      <c r="E6" s="727"/>
      <c r="F6" s="728"/>
      <c r="G6" s="645"/>
      <c r="H6" s="645"/>
      <c r="I6" s="729"/>
      <c r="J6" s="645"/>
    </row>
    <row r="7" spans="1:17" s="50" customFormat="1">
      <c r="A7" s="726"/>
      <c r="B7" s="82"/>
      <c r="D7" s="645"/>
      <c r="E7" s="727"/>
      <c r="F7" s="728"/>
      <c r="G7" s="645"/>
      <c r="H7" s="645"/>
      <c r="I7" s="729"/>
      <c r="J7" s="645"/>
    </row>
    <row r="8" spans="1:17" s="724" customFormat="1" ht="18" customHeight="1">
      <c r="A8" s="889" t="s">
        <v>3</v>
      </c>
      <c r="B8" s="890"/>
      <c r="C8" s="890"/>
      <c r="D8" s="890"/>
      <c r="E8" s="891"/>
      <c r="F8" s="892" t="s">
        <v>4</v>
      </c>
      <c r="G8" s="893"/>
      <c r="H8" s="894"/>
      <c r="I8" s="731"/>
      <c r="J8" s="732"/>
      <c r="K8" s="733"/>
      <c r="L8" s="734"/>
      <c r="M8" s="735"/>
      <c r="N8" s="735"/>
      <c r="O8" s="735"/>
      <c r="P8" s="736"/>
    </row>
    <row r="9" spans="1:17" s="724" customFormat="1" ht="18" customHeight="1">
      <c r="A9" s="737" t="s">
        <v>5</v>
      </c>
      <c r="B9" s="738" t="s">
        <v>6</v>
      </c>
      <c r="C9" s="739"/>
      <c r="D9" s="740"/>
      <c r="E9" s="741"/>
      <c r="F9" s="742" t="s">
        <v>7</v>
      </c>
      <c r="G9" s="743" t="s">
        <v>8</v>
      </c>
      <c r="H9" s="744"/>
      <c r="I9" s="745"/>
      <c r="J9" s="746"/>
      <c r="K9" s="733"/>
      <c r="L9" s="734"/>
      <c r="M9" s="747"/>
      <c r="N9" s="748"/>
      <c r="O9" s="735"/>
      <c r="P9" s="749"/>
    </row>
    <row r="10" spans="1:17" s="724" customFormat="1" ht="18" customHeight="1">
      <c r="A10" s="750" t="s">
        <v>9</v>
      </c>
      <c r="B10" s="751" t="s">
        <v>10</v>
      </c>
      <c r="C10" s="752"/>
      <c r="D10" s="753"/>
      <c r="E10" s="754"/>
      <c r="F10" s="755" t="s">
        <v>11</v>
      </c>
      <c r="G10" s="756" t="s">
        <v>12</v>
      </c>
      <c r="H10" s="757">
        <f>SUM(REKAP!F67)</f>
        <v>3227575.749999918</v>
      </c>
      <c r="I10" s="745"/>
      <c r="J10" s="746"/>
      <c r="K10" s="733"/>
      <c r="L10" s="734"/>
      <c r="M10" s="747"/>
      <c r="N10" s="748"/>
      <c r="O10" s="735"/>
      <c r="P10" s="749"/>
    </row>
    <row r="11" spans="1:17" s="724" customFormat="1" ht="18" customHeight="1">
      <c r="A11" s="758" t="s">
        <v>13</v>
      </c>
      <c r="B11" s="759" t="s">
        <v>14</v>
      </c>
      <c r="C11" s="760"/>
      <c r="D11" s="761"/>
      <c r="E11" s="762"/>
      <c r="F11" s="755" t="s">
        <v>15</v>
      </c>
      <c r="G11" s="756" t="s">
        <v>16</v>
      </c>
      <c r="H11" s="757">
        <f>SUM(REKAP!G67)</f>
        <v>860686.86666664481</v>
      </c>
      <c r="I11" s="736"/>
      <c r="J11" s="763"/>
      <c r="K11" s="764"/>
      <c r="L11" s="734"/>
      <c r="M11" s="735"/>
      <c r="N11" s="734"/>
      <c r="P11" s="736"/>
      <c r="Q11" s="736"/>
    </row>
    <row r="12" spans="1:17" s="724" customFormat="1" ht="18" customHeight="1">
      <c r="A12" s="758" t="s">
        <v>17</v>
      </c>
      <c r="B12" s="759" t="s">
        <v>18</v>
      </c>
      <c r="C12" s="765"/>
      <c r="D12" s="761"/>
      <c r="E12" s="766">
        <f>SUM(KASHAR!W217)</f>
        <v>82271437.216666996</v>
      </c>
      <c r="F12" s="755" t="s">
        <v>19</v>
      </c>
      <c r="G12" s="767" t="s">
        <v>20</v>
      </c>
      <c r="H12" s="768">
        <f>SUM(REKAP!H67)</f>
        <v>215171.7166666612</v>
      </c>
      <c r="I12" s="736"/>
      <c r="J12" s="763"/>
      <c r="K12" s="764"/>
      <c r="L12" s="734"/>
      <c r="M12" s="735"/>
      <c r="N12" s="734"/>
      <c r="P12" s="736"/>
      <c r="Q12" s="736"/>
    </row>
    <row r="13" spans="1:17" s="724" customFormat="1" ht="18" customHeight="1">
      <c r="A13" s="758"/>
      <c r="B13" s="759" t="s">
        <v>21</v>
      </c>
      <c r="C13" s="769"/>
      <c r="D13" s="761"/>
      <c r="E13" s="762">
        <f>SUM(E11:E12)</f>
        <v>82271437.216666996</v>
      </c>
      <c r="F13" s="755"/>
      <c r="G13" s="767" t="s">
        <v>22</v>
      </c>
      <c r="H13" s="770">
        <f>SUM(H10:H12)</f>
        <v>4303434.3333332241</v>
      </c>
      <c r="I13" s="736"/>
      <c r="J13" s="763"/>
      <c r="K13" s="764"/>
      <c r="L13" s="734"/>
      <c r="M13" s="735"/>
      <c r="N13" s="734"/>
      <c r="P13" s="736"/>
      <c r="Q13" s="736"/>
    </row>
    <row r="14" spans="1:17" s="724" customFormat="1" ht="18" customHeight="1">
      <c r="A14" s="758"/>
      <c r="B14" s="759"/>
      <c r="C14" s="769"/>
      <c r="D14" s="761"/>
      <c r="E14" s="762"/>
      <c r="F14" s="771" t="s">
        <v>23</v>
      </c>
      <c r="G14" s="772" t="s">
        <v>24</v>
      </c>
      <c r="H14" s="768"/>
      <c r="I14" s="736"/>
      <c r="J14" s="763"/>
      <c r="K14" s="764"/>
      <c r="L14" s="734"/>
      <c r="M14" s="735"/>
      <c r="N14" s="734"/>
      <c r="P14" s="736"/>
      <c r="Q14" s="736"/>
    </row>
    <row r="15" spans="1:17" s="724" customFormat="1" ht="18" customHeight="1">
      <c r="A15" s="773" t="s">
        <v>25</v>
      </c>
      <c r="B15" s="774" t="s">
        <v>26</v>
      </c>
      <c r="C15" s="775"/>
      <c r="D15" s="761"/>
      <c r="E15" s="762"/>
      <c r="F15" s="771" t="s">
        <v>27</v>
      </c>
      <c r="G15" s="772" t="s">
        <v>28</v>
      </c>
      <c r="H15" s="768"/>
      <c r="I15" s="736"/>
      <c r="J15" s="776"/>
      <c r="K15" s="736"/>
      <c r="L15" s="734"/>
      <c r="M15" s="735"/>
      <c r="N15" s="734"/>
      <c r="P15" s="736"/>
      <c r="Q15" s="777"/>
    </row>
    <row r="16" spans="1:17" s="724" customFormat="1" ht="18" customHeight="1">
      <c r="A16" s="758" t="s">
        <v>29</v>
      </c>
      <c r="B16" s="759" t="s">
        <v>30</v>
      </c>
      <c r="C16" s="778"/>
      <c r="D16" s="761"/>
      <c r="E16" s="779">
        <v>59085012</v>
      </c>
      <c r="F16" s="780" t="s">
        <v>31</v>
      </c>
      <c r="G16" s="781" t="s">
        <v>32</v>
      </c>
      <c r="H16" s="768">
        <v>1186803</v>
      </c>
      <c r="I16" s="782"/>
      <c r="J16" s="783"/>
      <c r="K16" s="736"/>
      <c r="L16" s="734"/>
      <c r="M16" s="735"/>
      <c r="N16" s="734"/>
      <c r="P16" s="784"/>
      <c r="Q16" s="785"/>
    </row>
    <row r="17" spans="1:17" s="724" customFormat="1" ht="18" customHeight="1">
      <c r="A17" s="758" t="s">
        <v>33</v>
      </c>
      <c r="B17" s="759" t="s">
        <v>34</v>
      </c>
      <c r="C17" s="769"/>
      <c r="D17" s="761"/>
      <c r="E17" s="766">
        <v>549503</v>
      </c>
      <c r="F17" s="780" t="s">
        <v>35</v>
      </c>
      <c r="G17" s="781" t="s">
        <v>36</v>
      </c>
      <c r="H17" s="768">
        <v>4659495</v>
      </c>
      <c r="I17" s="782"/>
      <c r="J17" s="783">
        <f>[44]REKAP!$F$75</f>
        <v>0</v>
      </c>
      <c r="K17" s="736"/>
      <c r="L17" s="734"/>
      <c r="M17" s="735"/>
      <c r="N17" s="734"/>
      <c r="P17" s="784"/>
      <c r="Q17" s="785"/>
    </row>
    <row r="18" spans="1:17" s="724" customFormat="1" ht="18" customHeight="1">
      <c r="A18" s="758"/>
      <c r="B18" s="759" t="s">
        <v>37</v>
      </c>
      <c r="C18" s="769"/>
      <c r="D18" s="761"/>
      <c r="E18" s="762">
        <f>SUM(E16:E17)</f>
        <v>59634515</v>
      </c>
      <c r="F18" s="780" t="s">
        <v>38</v>
      </c>
      <c r="G18" s="781" t="s">
        <v>39</v>
      </c>
      <c r="H18" s="768">
        <v>12940985</v>
      </c>
      <c r="I18" s="786"/>
      <c r="J18" s="776">
        <f>E16-J17</f>
        <v>59085012</v>
      </c>
      <c r="K18" s="734"/>
      <c r="L18" s="734"/>
      <c r="M18" s="735"/>
      <c r="N18" s="734"/>
      <c r="P18" s="786"/>
      <c r="Q18" s="785"/>
    </row>
    <row r="19" spans="1:17" s="724" customFormat="1" ht="18" customHeight="1">
      <c r="A19" s="758"/>
      <c r="B19" s="759"/>
      <c r="C19" s="769"/>
      <c r="D19" s="761"/>
      <c r="E19" s="762"/>
      <c r="F19" s="780" t="s">
        <v>40</v>
      </c>
      <c r="G19" s="781" t="s">
        <v>41</v>
      </c>
      <c r="H19" s="768">
        <v>29810954</v>
      </c>
      <c r="I19" s="787"/>
      <c r="J19" s="788"/>
      <c r="K19" s="736"/>
      <c r="L19" s="734"/>
      <c r="M19" s="736"/>
      <c r="P19" s="787"/>
      <c r="Q19" s="777"/>
    </row>
    <row r="20" spans="1:17" s="724" customFormat="1" ht="18" customHeight="1">
      <c r="A20" s="773" t="s">
        <v>42</v>
      </c>
      <c r="B20" s="774" t="s">
        <v>43</v>
      </c>
      <c r="C20" s="789"/>
      <c r="D20" s="790">
        <f>SUM('[43]INVEN (2)'!$G$172)</f>
        <v>304543000</v>
      </c>
      <c r="E20" s="762"/>
      <c r="F20" s="780" t="s">
        <v>44</v>
      </c>
      <c r="G20" s="781" t="s">
        <v>45</v>
      </c>
      <c r="H20" s="768">
        <v>31861941</v>
      </c>
      <c r="I20" s="787"/>
      <c r="J20" s="788"/>
      <c r="K20" s="736"/>
      <c r="L20" s="734"/>
      <c r="M20" s="736"/>
      <c r="P20" s="787"/>
      <c r="Q20" s="777"/>
    </row>
    <row r="21" spans="1:17" s="724" customFormat="1" ht="18" customHeight="1">
      <c r="A21" s="758" t="s">
        <v>46</v>
      </c>
      <c r="B21" s="759" t="s">
        <v>47</v>
      </c>
      <c r="C21" s="760"/>
      <c r="D21" s="761">
        <f>SUM('[43]INVEN (2)'!$N$173)</f>
        <v>45040595.833333403</v>
      </c>
      <c r="E21" s="766"/>
      <c r="F21" s="780" t="s">
        <v>48</v>
      </c>
      <c r="G21" s="781" t="s">
        <v>49</v>
      </c>
      <c r="H21" s="768">
        <v>31326534</v>
      </c>
      <c r="I21" s="787"/>
      <c r="J21" s="788"/>
      <c r="K21" s="736"/>
      <c r="L21" s="734"/>
      <c r="M21" s="736"/>
      <c r="P21" s="787"/>
      <c r="Q21" s="777"/>
    </row>
    <row r="22" spans="1:17" s="724" customFormat="1" ht="18" customHeight="1">
      <c r="A22" s="758" t="s">
        <v>50</v>
      </c>
      <c r="B22" s="759" t="s">
        <v>51</v>
      </c>
      <c r="C22" s="760"/>
      <c r="D22" s="761"/>
      <c r="E22" s="762">
        <f>SUM('[43]INVEN (2)'!$N$174)</f>
        <v>259502404.16666701</v>
      </c>
      <c r="F22" s="780" t="s">
        <v>52</v>
      </c>
      <c r="G22" s="781" t="s">
        <v>53</v>
      </c>
      <c r="H22" s="768">
        <v>40014708</v>
      </c>
      <c r="I22" s="786"/>
      <c r="J22" s="791"/>
      <c r="K22" s="736"/>
      <c r="L22" s="792"/>
      <c r="M22" s="792"/>
      <c r="N22" s="734"/>
      <c r="P22" s="786"/>
      <c r="Q22" s="777"/>
    </row>
    <row r="23" spans="1:17" s="724" customFormat="1" ht="18" customHeight="1">
      <c r="A23" s="758"/>
      <c r="B23" s="759"/>
      <c r="C23" s="760"/>
      <c r="D23" s="761"/>
      <c r="E23" s="762"/>
      <c r="F23" s="780" t="s">
        <v>54</v>
      </c>
      <c r="G23" s="781" t="s">
        <v>55</v>
      </c>
      <c r="H23" s="768">
        <v>26027431</v>
      </c>
      <c r="I23" s="786"/>
      <c r="J23" s="793"/>
      <c r="K23" s="736"/>
      <c r="L23" s="792"/>
      <c r="M23" s="792"/>
      <c r="N23" s="734"/>
      <c r="P23" s="786"/>
      <c r="Q23" s="787"/>
    </row>
    <row r="24" spans="1:17" s="724" customFormat="1" ht="18" customHeight="1">
      <c r="A24" s="758"/>
      <c r="B24" s="759"/>
      <c r="C24" s="760"/>
      <c r="D24" s="761"/>
      <c r="E24" s="762"/>
      <c r="F24" s="780" t="s">
        <v>56</v>
      </c>
      <c r="G24" s="781" t="s">
        <v>57</v>
      </c>
      <c r="H24" s="768">
        <v>29437299</v>
      </c>
      <c r="I24" s="786"/>
      <c r="J24" s="793"/>
      <c r="K24" s="736"/>
      <c r="L24" s="792"/>
      <c r="M24" s="792"/>
      <c r="N24" s="734"/>
      <c r="P24" s="786"/>
      <c r="Q24" s="787"/>
    </row>
    <row r="25" spans="1:17" s="724" customFormat="1" ht="18" customHeight="1">
      <c r="A25" s="758"/>
      <c r="B25" s="759"/>
      <c r="C25" s="760"/>
      <c r="D25" s="761"/>
      <c r="E25" s="762"/>
      <c r="F25" s="780"/>
      <c r="G25" s="781" t="s">
        <v>22</v>
      </c>
      <c r="H25" s="794">
        <f>SUM(H16:H24)</f>
        <v>207266150</v>
      </c>
      <c r="I25" s="747"/>
      <c r="J25" s="795"/>
      <c r="K25" s="787"/>
      <c r="L25" s="735"/>
      <c r="M25" s="735"/>
      <c r="Q25" s="736"/>
    </row>
    <row r="26" spans="1:17" s="724" customFormat="1" ht="18" customHeight="1">
      <c r="A26" s="773" t="s">
        <v>58</v>
      </c>
      <c r="B26" s="774" t="s">
        <v>59</v>
      </c>
      <c r="C26" s="796"/>
      <c r="D26" s="761"/>
      <c r="E26" s="766"/>
      <c r="F26" s="771" t="s">
        <v>60</v>
      </c>
      <c r="G26" s="772" t="s">
        <v>61</v>
      </c>
      <c r="H26" s="768"/>
      <c r="I26" s="736"/>
      <c r="J26" s="797"/>
      <c r="K26" s="747"/>
      <c r="L26" s="747"/>
      <c r="M26" s="735"/>
      <c r="N26" s="734"/>
      <c r="P26" s="736"/>
      <c r="Q26" s="787"/>
    </row>
    <row r="27" spans="1:17" s="724" customFormat="1" ht="18" customHeight="1">
      <c r="A27" s="758" t="s">
        <v>62</v>
      </c>
      <c r="B27" s="759" t="s">
        <v>63</v>
      </c>
      <c r="C27" s="760"/>
      <c r="D27" s="761"/>
      <c r="E27" s="766">
        <f>SUM(MODUS!J162)</f>
        <v>608776475</v>
      </c>
      <c r="F27" s="780" t="s">
        <v>64</v>
      </c>
      <c r="G27" s="781" t="s">
        <v>65</v>
      </c>
      <c r="H27" s="768">
        <v>30000000</v>
      </c>
      <c r="I27" s="798"/>
      <c r="J27" s="795"/>
      <c r="K27" s="782"/>
      <c r="L27" s="747"/>
      <c r="M27" s="734"/>
      <c r="N27" s="735"/>
      <c r="P27" s="799"/>
      <c r="Q27" s="800"/>
    </row>
    <row r="28" spans="1:17" s="724" customFormat="1" ht="18" customHeight="1">
      <c r="A28" s="758" t="s">
        <v>66</v>
      </c>
      <c r="B28" s="759" t="s">
        <v>67</v>
      </c>
      <c r="C28" s="760"/>
      <c r="D28" s="761"/>
      <c r="E28" s="801">
        <v>61950250</v>
      </c>
      <c r="F28" s="780" t="s">
        <v>68</v>
      </c>
      <c r="G28" s="767" t="s">
        <v>69</v>
      </c>
      <c r="H28" s="768">
        <v>98340000</v>
      </c>
      <c r="I28" s="736"/>
      <c r="J28" s="802">
        <v>20190000</v>
      </c>
      <c r="K28" s="803"/>
      <c r="L28" s="804"/>
      <c r="M28" s="734"/>
      <c r="N28" s="735"/>
      <c r="P28" s="799"/>
      <c r="Q28" s="800"/>
    </row>
    <row r="29" spans="1:17" s="724" customFormat="1" ht="18" customHeight="1">
      <c r="A29" s="758" t="s">
        <v>70</v>
      </c>
      <c r="B29" s="759" t="s">
        <v>71</v>
      </c>
      <c r="C29" s="760"/>
      <c r="D29" s="761"/>
      <c r="E29" s="805">
        <f>SUM(14073208+396000-175000)</f>
        <v>14294208</v>
      </c>
      <c r="F29" s="780" t="s">
        <v>72</v>
      </c>
      <c r="G29" s="767" t="s">
        <v>73</v>
      </c>
      <c r="H29" s="768">
        <v>130000000</v>
      </c>
      <c r="I29" s="747"/>
      <c r="J29" s="802">
        <f>E31-J28</f>
        <v>30339260</v>
      </c>
      <c r="K29" s="800"/>
      <c r="L29" s="736"/>
      <c r="M29" s="734"/>
      <c r="N29" s="735"/>
      <c r="P29" s="799"/>
      <c r="Q29" s="800"/>
    </row>
    <row r="30" spans="1:17" s="724" customFormat="1" ht="18" customHeight="1">
      <c r="A30" s="758" t="s">
        <v>74</v>
      </c>
      <c r="B30" s="759" t="s">
        <v>75</v>
      </c>
      <c r="C30" s="760"/>
      <c r="D30" s="761"/>
      <c r="E30" s="766">
        <f>SUM(MULTI!P67)</f>
        <v>342654476</v>
      </c>
      <c r="F30" s="780" t="s">
        <v>76</v>
      </c>
      <c r="G30" s="767" t="s">
        <v>77</v>
      </c>
      <c r="H30" s="768">
        <v>220232350</v>
      </c>
      <c r="I30" s="747"/>
      <c r="J30" s="795">
        <v>5690000</v>
      </c>
      <c r="K30" s="734">
        <v>38890000</v>
      </c>
      <c r="L30" s="806"/>
      <c r="M30" s="734"/>
      <c r="N30" s="735"/>
      <c r="O30" s="735"/>
      <c r="P30" s="799"/>
      <c r="Q30" s="736"/>
    </row>
    <row r="31" spans="1:17" s="724" customFormat="1" ht="18" customHeight="1">
      <c r="A31" s="758" t="s">
        <v>78</v>
      </c>
      <c r="B31" s="759" t="s">
        <v>79</v>
      </c>
      <c r="C31" s="760"/>
      <c r="D31" s="761"/>
      <c r="E31" s="486">
        <v>50529260</v>
      </c>
      <c r="F31" s="780" t="s">
        <v>80</v>
      </c>
      <c r="G31" s="767" t="s">
        <v>81</v>
      </c>
      <c r="H31" s="768">
        <v>46905500</v>
      </c>
      <c r="I31" s="747"/>
      <c r="J31" s="795">
        <f>K30+J30</f>
        <v>44580000</v>
      </c>
      <c r="K31" s="734"/>
      <c r="L31" s="806"/>
      <c r="M31" s="734"/>
      <c r="N31" s="735"/>
      <c r="P31" s="799"/>
      <c r="Q31" s="736"/>
    </row>
    <row r="32" spans="1:17" s="724" customFormat="1" ht="18" customHeight="1">
      <c r="A32" s="758" t="s">
        <v>82</v>
      </c>
      <c r="B32" s="759" t="s">
        <v>83</v>
      </c>
      <c r="C32" s="760"/>
      <c r="D32" s="761"/>
      <c r="E32" s="766">
        <f>SUM(KASHAR!R217)</f>
        <v>1534000</v>
      </c>
      <c r="F32" s="780" t="s">
        <v>84</v>
      </c>
      <c r="G32" s="767" t="s">
        <v>85</v>
      </c>
      <c r="H32" s="768">
        <v>135766650</v>
      </c>
      <c r="I32" s="807"/>
      <c r="J32" s="795">
        <v>1940549</v>
      </c>
      <c r="K32" s="322"/>
      <c r="L32" s="808"/>
      <c r="M32" s="735"/>
      <c r="N32" s="736"/>
      <c r="P32" s="807"/>
      <c r="Q32" s="736"/>
    </row>
    <row r="33" spans="1:18" s="724" customFormat="1" ht="18" customHeight="1">
      <c r="A33" s="758" t="s">
        <v>86</v>
      </c>
      <c r="B33" s="759" t="s">
        <v>87</v>
      </c>
      <c r="C33" s="760"/>
      <c r="D33" s="761"/>
      <c r="E33" s="766" t="e">
        <f>SUM(KASHAR!Q217)</f>
        <v>#REF!</v>
      </c>
      <c r="F33" s="780" t="s">
        <v>88</v>
      </c>
      <c r="G33" s="767" t="s">
        <v>89</v>
      </c>
      <c r="H33" s="768">
        <v>200000000</v>
      </c>
      <c r="I33" s="807"/>
      <c r="J33" s="795"/>
      <c r="K33" s="322"/>
      <c r="L33" s="808"/>
      <c r="M33" s="735"/>
      <c r="N33" s="736"/>
      <c r="P33" s="807"/>
      <c r="Q33" s="736"/>
    </row>
    <row r="34" spans="1:18" s="724" customFormat="1" ht="18" customHeight="1">
      <c r="A34" s="809" t="s">
        <v>90</v>
      </c>
      <c r="B34" s="759" t="s">
        <v>91</v>
      </c>
      <c r="C34" s="760"/>
      <c r="D34" s="761"/>
      <c r="E34" s="810">
        <v>60000000</v>
      </c>
      <c r="F34" s="811" t="s">
        <v>92</v>
      </c>
      <c r="G34" s="767" t="s">
        <v>93</v>
      </c>
      <c r="H34" s="768">
        <v>220000000</v>
      </c>
      <c r="I34" s="807"/>
      <c r="J34" s="795">
        <f>E31-1500000</f>
        <v>49029260</v>
      </c>
      <c r="K34" s="322"/>
      <c r="L34" s="808"/>
      <c r="M34" s="735"/>
      <c r="N34" s="736"/>
      <c r="P34" s="807"/>
      <c r="Q34" s="736"/>
    </row>
    <row r="35" spans="1:18" s="724" customFormat="1" ht="18" customHeight="1">
      <c r="A35" s="759" t="s">
        <v>94</v>
      </c>
      <c r="B35" s="759" t="s">
        <v>95</v>
      </c>
      <c r="C35" s="759"/>
      <c r="D35" s="759"/>
      <c r="E35" s="781">
        <v>3500000</v>
      </c>
      <c r="F35" s="811" t="s">
        <v>96</v>
      </c>
      <c r="G35" s="767" t="s">
        <v>97</v>
      </c>
      <c r="H35" s="768">
        <v>343500000</v>
      </c>
      <c r="I35" s="807"/>
      <c r="J35" s="795"/>
      <c r="K35" s="322"/>
      <c r="L35" s="808"/>
      <c r="M35" s="735"/>
      <c r="N35" s="736"/>
      <c r="P35" s="807"/>
      <c r="Q35" s="736"/>
    </row>
    <row r="36" spans="1:18" s="724" customFormat="1" ht="18" customHeight="1">
      <c r="A36" s="759"/>
      <c r="B36" s="759"/>
      <c r="C36" s="759"/>
      <c r="D36" s="759"/>
      <c r="E36" s="781"/>
      <c r="F36" s="811" t="s">
        <v>98</v>
      </c>
      <c r="G36" s="767" t="s">
        <v>99</v>
      </c>
      <c r="H36" s="768">
        <v>55000000</v>
      </c>
      <c r="I36" s="807"/>
      <c r="J36" s="795"/>
      <c r="K36" s="322"/>
      <c r="L36" s="808"/>
      <c r="M36" s="735"/>
      <c r="N36" s="736"/>
      <c r="P36" s="807"/>
      <c r="Q36" s="736"/>
    </row>
    <row r="37" spans="1:18" s="724" customFormat="1" ht="18" customHeight="1">
      <c r="A37" s="812" t="s">
        <v>100</v>
      </c>
      <c r="B37" s="759" t="s">
        <v>101</v>
      </c>
      <c r="C37" s="760"/>
      <c r="D37" s="761"/>
      <c r="E37" s="810">
        <f>SUM(KASHAR!S217)</f>
        <v>44971359</v>
      </c>
      <c r="F37" s="811" t="s">
        <v>102</v>
      </c>
      <c r="G37" s="781" t="s">
        <v>103</v>
      </c>
      <c r="H37" s="813">
        <v>75000000</v>
      </c>
      <c r="I37" s="807">
        <f>SUM(H28:H35)</f>
        <v>1394744500</v>
      </c>
      <c r="J37" s="795"/>
      <c r="K37" s="322"/>
      <c r="L37" s="808"/>
      <c r="M37" s="735"/>
      <c r="N37" s="736"/>
      <c r="P37" s="807"/>
      <c r="Q37" s="736"/>
    </row>
    <row r="38" spans="1:18" s="724" customFormat="1" ht="18" customHeight="1">
      <c r="A38" s="812"/>
      <c r="B38" s="759" t="s">
        <v>22</v>
      </c>
      <c r="C38" s="760"/>
      <c r="D38" s="761"/>
      <c r="E38" s="814" t="e">
        <f>SUM(E27:E37)</f>
        <v>#REF!</v>
      </c>
      <c r="F38" s="811" t="s">
        <v>104</v>
      </c>
      <c r="G38" s="815" t="s">
        <v>105</v>
      </c>
      <c r="H38" s="816">
        <v>52510000</v>
      </c>
      <c r="I38" s="807"/>
      <c r="J38" s="795"/>
      <c r="K38" s="322"/>
      <c r="L38" s="808"/>
      <c r="M38" s="735"/>
      <c r="N38" s="736"/>
      <c r="P38" s="807"/>
      <c r="Q38" s="736"/>
    </row>
    <row r="39" spans="1:18" s="724" customFormat="1" ht="18" customHeight="1">
      <c r="A39" s="812"/>
      <c r="B39" s="759"/>
      <c r="C39" s="760"/>
      <c r="D39" s="761"/>
      <c r="E39" s="814"/>
      <c r="F39" s="811"/>
      <c r="G39" s="815" t="s">
        <v>22</v>
      </c>
      <c r="H39" s="816">
        <f>SUM(H27:H38)</f>
        <v>1607254500</v>
      </c>
      <c r="I39" s="807"/>
      <c r="J39" s="795"/>
      <c r="K39" s="322"/>
      <c r="L39" s="808"/>
      <c r="M39" s="735"/>
      <c r="N39" s="736"/>
      <c r="P39" s="807"/>
      <c r="Q39" s="736"/>
    </row>
    <row r="40" spans="1:18" s="724" customFormat="1" ht="18" customHeight="1">
      <c r="A40" s="817"/>
      <c r="B40" s="818"/>
      <c r="C40" s="819"/>
      <c r="D40" s="820"/>
      <c r="E40" s="821"/>
      <c r="F40" s="811" t="s">
        <v>106</v>
      </c>
      <c r="G40" s="815" t="s">
        <v>107</v>
      </c>
      <c r="H40" s="822">
        <f>SUM('RL JAN-DES'!C35)</f>
        <v>4303434.3333333209</v>
      </c>
      <c r="I40" s="807"/>
      <c r="J40" s="795"/>
      <c r="K40" s="322"/>
      <c r="L40" s="808"/>
      <c r="M40" s="735"/>
      <c r="N40" s="736"/>
      <c r="P40" s="807"/>
      <c r="Q40" s="736"/>
    </row>
    <row r="41" spans="1:18" s="724" customFormat="1" ht="18" customHeight="1">
      <c r="A41" s="817"/>
      <c r="B41" s="818"/>
      <c r="C41" s="819"/>
      <c r="D41" s="820"/>
      <c r="E41" s="823"/>
      <c r="F41" s="811" t="s">
        <v>108</v>
      </c>
      <c r="G41" s="781" t="s">
        <v>109</v>
      </c>
      <c r="H41" s="824"/>
      <c r="I41" s="807"/>
      <c r="J41" s="795" t="e">
        <f>SUM(E31+I44)</f>
        <v>#REF!</v>
      </c>
      <c r="K41" s="322"/>
      <c r="L41" s="808"/>
      <c r="M41" s="735"/>
      <c r="N41" s="736"/>
      <c r="P41" s="807"/>
      <c r="Q41" s="736"/>
    </row>
    <row r="42" spans="1:18" s="724" customFormat="1" ht="18" customHeight="1">
      <c r="A42" s="817"/>
      <c r="B42" s="818"/>
      <c r="C42" s="819"/>
      <c r="D42" s="820"/>
      <c r="E42" s="823"/>
      <c r="F42" s="759"/>
      <c r="G42" s="759"/>
      <c r="H42" s="759"/>
      <c r="I42" s="807"/>
      <c r="J42" s="795"/>
      <c r="K42" s="322"/>
      <c r="L42" s="808"/>
      <c r="M42" s="735"/>
      <c r="N42" s="736"/>
      <c r="P42" s="807"/>
      <c r="Q42" s="736"/>
    </row>
    <row r="43" spans="1:18" s="724" customFormat="1" ht="18" customHeight="1">
      <c r="A43" s="895" t="s">
        <v>110</v>
      </c>
      <c r="B43" s="896"/>
      <c r="C43" s="896"/>
      <c r="D43" s="896"/>
      <c r="E43" s="825" t="e">
        <f>SUM(E13+E18+E21+E22+E38)</f>
        <v>#REF!</v>
      </c>
      <c r="F43" s="897" t="s">
        <v>111</v>
      </c>
      <c r="G43" s="898"/>
      <c r="H43" s="826">
        <f>SUM(H25+H39+H40)</f>
        <v>1818824084.3333333</v>
      </c>
      <c r="I43" s="736" t="e">
        <f>E11+I44</f>
        <v>#REF!</v>
      </c>
      <c r="J43" s="795"/>
      <c r="K43" s="736"/>
      <c r="L43" s="734"/>
      <c r="M43" s="735"/>
      <c r="N43" s="735"/>
      <c r="P43" s="827"/>
      <c r="Q43" s="736"/>
      <c r="R43" s="808"/>
    </row>
    <row r="44" spans="1:18" s="50" customFormat="1">
      <c r="A44" s="82"/>
      <c r="D44" s="645"/>
      <c r="E44" s="727"/>
      <c r="F44" s="728"/>
      <c r="G44" s="645"/>
      <c r="H44" s="828" t="s">
        <v>112</v>
      </c>
      <c r="I44" s="645" t="e">
        <f>H43-E43</f>
        <v>#REF!</v>
      </c>
      <c r="J44" s="729"/>
      <c r="K44" s="729" t="e">
        <f>E11-I47</f>
        <v>#REF!</v>
      </c>
      <c r="P44" s="829"/>
      <c r="Q44" s="729"/>
    </row>
    <row r="45" spans="1:18" s="50" customFormat="1">
      <c r="A45" s="899" t="s">
        <v>113</v>
      </c>
      <c r="B45" s="899"/>
      <c r="C45" s="899"/>
      <c r="D45" s="899"/>
      <c r="E45" s="899"/>
      <c r="F45" s="899"/>
      <c r="G45" s="899"/>
      <c r="H45" s="899"/>
      <c r="I45" s="645"/>
      <c r="J45" s="729"/>
      <c r="K45" s="729"/>
      <c r="P45" s="829"/>
      <c r="Q45" s="729"/>
    </row>
    <row r="46" spans="1:18" s="50" customFormat="1">
      <c r="A46" s="899" t="s">
        <v>114</v>
      </c>
      <c r="B46" s="899"/>
      <c r="C46" s="899"/>
      <c r="D46" s="899"/>
      <c r="E46" s="899"/>
      <c r="F46" s="899"/>
      <c r="G46" s="899"/>
      <c r="H46" s="899"/>
      <c r="I46" s="645"/>
      <c r="J46" s="729"/>
      <c r="K46" s="729"/>
      <c r="P46" s="829"/>
      <c r="Q46" s="729"/>
    </row>
    <row r="47" spans="1:18" s="50" customFormat="1">
      <c r="A47" s="899" t="s">
        <v>115</v>
      </c>
      <c r="B47" s="899"/>
      <c r="C47" s="52"/>
      <c r="D47" s="53"/>
      <c r="E47" s="830"/>
      <c r="F47" s="728"/>
      <c r="G47" s="53"/>
      <c r="H47" s="53" t="s">
        <v>116</v>
      </c>
      <c r="I47" s="729" t="e">
        <f>E43-H43</f>
        <v>#REF!</v>
      </c>
      <c r="J47" s="729" t="e">
        <f>I47-#REF!</f>
        <v>#REF!</v>
      </c>
      <c r="K47" s="729">
        <f>KASHAR!Y221</f>
        <v>0</v>
      </c>
      <c r="L47" s="831"/>
    </row>
    <row r="48" spans="1:18" s="50" customFormat="1">
      <c r="A48" s="82"/>
      <c r="B48" s="52"/>
      <c r="C48" s="52"/>
      <c r="D48" s="53"/>
      <c r="E48" s="830"/>
      <c r="F48" s="728"/>
      <c r="G48" s="53"/>
      <c r="H48" s="53"/>
      <c r="I48" s="729">
        <f>I28</f>
        <v>0</v>
      </c>
      <c r="J48" s="730"/>
      <c r="K48" s="729" t="e">
        <f>I47-K47</f>
        <v>#REF!</v>
      </c>
    </row>
    <row r="49" spans="1:13" s="50" customFormat="1">
      <c r="A49" s="82"/>
      <c r="B49" s="52"/>
      <c r="C49" s="52"/>
      <c r="D49" s="53"/>
      <c r="E49" s="830"/>
      <c r="F49" s="728"/>
      <c r="G49" s="53"/>
      <c r="H49" s="53"/>
      <c r="I49" s="729"/>
      <c r="J49" s="730"/>
      <c r="K49" s="50">
        <f>256607-150491</f>
        <v>106116</v>
      </c>
      <c r="L49" s="831"/>
    </row>
    <row r="50" spans="1:13" s="50" customFormat="1">
      <c r="A50" s="82"/>
      <c r="B50" s="832" t="s">
        <v>117</v>
      </c>
      <c r="C50" s="52"/>
      <c r="D50" s="53"/>
      <c r="E50" s="830"/>
      <c r="F50" s="728"/>
      <c r="G50" s="53"/>
      <c r="H50" s="833" t="s">
        <v>118</v>
      </c>
      <c r="I50" s="729"/>
      <c r="J50" s="730"/>
      <c r="K50" s="730"/>
      <c r="L50" s="730"/>
      <c r="M50" s="730"/>
    </row>
    <row r="51" spans="1:13">
      <c r="A51" s="900"/>
      <c r="B51" s="900"/>
      <c r="C51" s="676"/>
      <c r="D51" s="834"/>
      <c r="E51" s="835"/>
      <c r="G51" s="834"/>
      <c r="H51" s="836"/>
      <c r="I51" s="662"/>
      <c r="J51" s="75"/>
      <c r="K51" s="516"/>
    </row>
    <row r="52" spans="1:13">
      <c r="C52" s="55"/>
      <c r="D52" s="837"/>
      <c r="E52" s="838"/>
      <c r="F52" s="839"/>
      <c r="G52" s="837"/>
      <c r="I52" s="662"/>
      <c r="J52" s="75"/>
    </row>
    <row r="53" spans="1:13">
      <c r="C53" s="55"/>
      <c r="D53" s="837"/>
      <c r="E53" s="838"/>
      <c r="F53" s="839"/>
      <c r="G53" s="837"/>
      <c r="I53" s="662"/>
      <c r="J53" s="75"/>
    </row>
    <row r="54" spans="1:13">
      <c r="C54" s="81"/>
      <c r="D54" s="840"/>
      <c r="E54" s="841"/>
      <c r="F54" s="842"/>
      <c r="G54" s="840"/>
      <c r="I54" s="662"/>
      <c r="J54" s="75"/>
    </row>
    <row r="55" spans="1:13">
      <c r="I55" s="662"/>
      <c r="J55" s="75"/>
    </row>
    <row r="56" spans="1:13">
      <c r="I56" s="662"/>
      <c r="J56" s="75"/>
    </row>
    <row r="57" spans="1:13">
      <c r="I57" s="662"/>
      <c r="J57" s="75"/>
    </row>
  </sheetData>
  <mergeCells count="14">
    <mergeCell ref="A45:H45"/>
    <mergeCell ref="A46:H46"/>
    <mergeCell ref="A47:B47"/>
    <mergeCell ref="A51:B51"/>
    <mergeCell ref="A6:B6"/>
    <mergeCell ref="A8:E8"/>
    <mergeCell ref="F8:H8"/>
    <mergeCell ref="A43:D43"/>
    <mergeCell ref="F43:G43"/>
    <mergeCell ref="A1:H1"/>
    <mergeCell ref="A2:H2"/>
    <mergeCell ref="A3:H3"/>
    <mergeCell ref="A4:B4"/>
    <mergeCell ref="A5:B5"/>
  </mergeCells>
  <pageMargins left="0.78740157480314998" right="0.23622047244094499" top="0.39370078740157499" bottom="0.39370078740157499" header="0.31496062992126" footer="0.31496062992126"/>
  <pageSetup paperSize="5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BW277"/>
  <sheetViews>
    <sheetView topLeftCell="A2" zoomScale="70" zoomScaleNormal="70" zoomScaleSheetLayoutView="120" workbookViewId="0">
      <selection activeCell="G7" sqref="G7"/>
    </sheetView>
  </sheetViews>
  <sheetFormatPr defaultColWidth="9.140625" defaultRowHeight="15"/>
  <cols>
    <col min="1" max="1" width="5.5703125" style="144" customWidth="1"/>
    <col min="2" max="2" width="58.85546875" style="145" customWidth="1"/>
    <col min="3" max="3" width="10" style="146" customWidth="1"/>
    <col min="4" max="4" width="10" style="144" customWidth="1"/>
    <col min="5" max="6" width="15.28515625" style="147" customWidth="1"/>
    <col min="7" max="8" width="15.28515625" style="148" customWidth="1"/>
    <col min="9" max="9" width="16.7109375" style="149" customWidth="1"/>
    <col min="10" max="10" width="13.42578125" style="148" customWidth="1"/>
    <col min="11" max="11" width="28.28515625" style="150" customWidth="1"/>
    <col min="12" max="12" width="20.42578125" style="151" customWidth="1"/>
    <col min="13" max="13" width="14.5703125" style="152" customWidth="1"/>
    <col min="14" max="14" width="3.140625" style="153" customWidth="1"/>
    <col min="15" max="15" width="9.7109375" style="154" customWidth="1"/>
    <col min="16" max="16" width="3.42578125" style="153" customWidth="1"/>
    <col min="17" max="17" width="12.28515625" style="153" customWidth="1"/>
    <col min="18" max="18" width="3.140625" style="153" customWidth="1"/>
    <col min="19" max="19" width="9.7109375" style="154" customWidth="1"/>
    <col min="20" max="20" width="3.42578125" style="153" customWidth="1"/>
    <col min="21" max="21" width="12.28515625" style="153" customWidth="1"/>
    <col min="22" max="22" width="3.140625" style="153" customWidth="1"/>
    <col min="23" max="23" width="9.7109375" style="154" customWidth="1"/>
    <col min="24" max="24" width="3.42578125" style="153" customWidth="1"/>
    <col min="25" max="25" width="12.28515625" style="153" customWidth="1"/>
    <col min="26" max="26" width="3.140625" style="153" customWidth="1"/>
    <col min="27" max="27" width="9.7109375" style="154" customWidth="1"/>
    <col min="28" max="28" width="3.42578125" style="153" customWidth="1"/>
    <col min="29" max="29" width="12.28515625" style="153" customWidth="1"/>
    <col min="30" max="30" width="3.140625" style="153" customWidth="1"/>
    <col min="31" max="31" width="9.7109375" style="154" customWidth="1"/>
    <col min="32" max="32" width="3.42578125" style="153" customWidth="1"/>
    <col min="33" max="33" width="12.28515625" style="153" customWidth="1"/>
    <col min="34" max="34" width="3.140625" style="153" customWidth="1"/>
    <col min="35" max="35" width="9.7109375" style="154" customWidth="1"/>
    <col min="36" max="36" width="3.42578125" style="153" customWidth="1"/>
    <col min="37" max="37" width="12.28515625" style="153" customWidth="1"/>
    <col min="38" max="38" width="3.140625" style="153" customWidth="1"/>
    <col min="39" max="39" width="9.7109375" style="154" customWidth="1"/>
    <col min="40" max="40" width="3.42578125" style="153" customWidth="1"/>
    <col min="41" max="41" width="12.28515625" style="153" customWidth="1"/>
    <col min="42" max="42" width="3.140625" style="153" customWidth="1"/>
    <col min="43" max="43" width="9.7109375" style="154" customWidth="1"/>
    <col min="44" max="44" width="3.42578125" style="153" customWidth="1"/>
    <col min="45" max="45" width="12.28515625" style="153" customWidth="1"/>
    <col min="46" max="46" width="16.28515625" style="155" customWidth="1"/>
    <col min="47" max="47" width="9.140625" style="152"/>
    <col min="48" max="48" width="24.140625" style="152" customWidth="1"/>
    <col min="49" max="49" width="21.140625" style="152" customWidth="1"/>
    <col min="50" max="58" width="9.140625" style="152"/>
    <col min="59" max="16384" width="9.140625" style="147"/>
  </cols>
  <sheetData>
    <row r="1" spans="1:75" s="139" customFormat="1" ht="24.75" customHeight="1">
      <c r="A1" s="156"/>
      <c r="C1" s="156"/>
      <c r="D1" s="156"/>
      <c r="G1" s="157"/>
      <c r="H1" s="157"/>
      <c r="I1" s="157"/>
      <c r="J1" s="157"/>
      <c r="K1" s="158"/>
      <c r="L1" s="159"/>
      <c r="M1" s="160"/>
      <c r="N1" s="161"/>
      <c r="O1" s="162"/>
      <c r="P1" s="161"/>
      <c r="Q1" s="161"/>
      <c r="R1" s="161"/>
      <c r="S1" s="162"/>
      <c r="T1" s="161"/>
      <c r="U1" s="161"/>
      <c r="V1" s="161"/>
      <c r="W1" s="162"/>
      <c r="X1" s="161"/>
      <c r="Y1" s="161"/>
      <c r="Z1" s="161"/>
      <c r="AA1" s="162"/>
      <c r="AB1" s="161"/>
      <c r="AC1" s="161"/>
      <c r="AD1" s="161"/>
      <c r="AE1" s="162"/>
      <c r="AF1" s="161"/>
      <c r="AG1" s="161"/>
      <c r="AH1" s="161"/>
      <c r="AI1" s="162"/>
      <c r="AJ1" s="161"/>
      <c r="AK1" s="161"/>
      <c r="AL1" s="161"/>
      <c r="AM1" s="162"/>
      <c r="AN1" s="161"/>
      <c r="AO1" s="161"/>
      <c r="AP1" s="161"/>
      <c r="AQ1" s="162"/>
      <c r="AR1" s="161"/>
      <c r="AS1" s="161"/>
      <c r="AT1" s="161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</row>
    <row r="2" spans="1:75" s="139" customFormat="1" ht="24.75" customHeight="1">
      <c r="A2" s="1033" t="s">
        <v>918</v>
      </c>
      <c r="B2" s="1034"/>
      <c r="C2" s="164" t="s">
        <v>919</v>
      </c>
      <c r="D2" s="165"/>
      <c r="E2" s="166"/>
      <c r="F2" s="166"/>
      <c r="G2" s="167"/>
      <c r="H2" s="167"/>
      <c r="I2" s="167"/>
      <c r="J2" s="165"/>
      <c r="K2" s="168"/>
      <c r="L2" s="168"/>
      <c r="M2" s="169"/>
      <c r="N2" s="168"/>
      <c r="O2" s="170"/>
      <c r="P2" s="168"/>
      <c r="Q2" s="171"/>
      <c r="R2" s="168"/>
      <c r="S2" s="170"/>
      <c r="T2" s="168"/>
      <c r="U2" s="171"/>
      <c r="V2" s="168"/>
      <c r="W2" s="170"/>
      <c r="X2" s="168"/>
      <c r="Y2" s="171"/>
      <c r="Z2" s="168"/>
      <c r="AA2" s="170"/>
      <c r="AB2" s="168"/>
      <c r="AC2" s="171"/>
      <c r="AD2" s="168"/>
      <c r="AE2" s="170"/>
      <c r="AF2" s="168"/>
      <c r="AG2" s="171"/>
      <c r="AH2" s="168"/>
      <c r="AI2" s="170"/>
      <c r="AJ2" s="168"/>
      <c r="AK2" s="171"/>
      <c r="AL2" s="168"/>
      <c r="AM2" s="170"/>
      <c r="AN2" s="168"/>
      <c r="AO2" s="171"/>
      <c r="AP2" s="168"/>
      <c r="AQ2" s="170"/>
      <c r="AR2" s="168"/>
      <c r="AS2" s="171"/>
      <c r="AT2" s="168"/>
      <c r="AU2" s="169"/>
      <c r="AV2" s="169"/>
      <c r="AW2" s="169"/>
      <c r="AX2" s="169"/>
      <c r="AY2" s="167"/>
      <c r="AZ2" s="167"/>
      <c r="BA2" s="167"/>
      <c r="BB2" s="163"/>
      <c r="BC2" s="172"/>
      <c r="BD2" s="167"/>
      <c r="BE2" s="167"/>
      <c r="BF2" s="160"/>
      <c r="BG2" s="160"/>
      <c r="BH2" s="160"/>
      <c r="BI2" s="160"/>
      <c r="BJ2" s="160"/>
      <c r="BK2" s="173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</row>
    <row r="3" spans="1:75" s="139" customFormat="1" ht="26.25" customHeight="1">
      <c r="A3" s="1035" t="s">
        <v>920</v>
      </c>
      <c r="B3" s="1036"/>
      <c r="C3" s="174" t="s">
        <v>921</v>
      </c>
      <c r="D3" s="175"/>
      <c r="E3" s="176"/>
      <c r="F3" s="176"/>
      <c r="G3" s="177"/>
      <c r="H3" s="177"/>
      <c r="I3" s="177"/>
      <c r="J3" s="165"/>
      <c r="K3" s="168"/>
      <c r="L3" s="168"/>
      <c r="M3" s="165"/>
      <c r="N3" s="168"/>
      <c r="O3" s="170"/>
      <c r="P3" s="168"/>
      <c r="Q3" s="168"/>
      <c r="R3" s="168"/>
      <c r="S3" s="170"/>
      <c r="T3" s="168"/>
      <c r="U3" s="168"/>
      <c r="V3" s="168"/>
      <c r="W3" s="170"/>
      <c r="X3" s="168"/>
      <c r="Y3" s="168"/>
      <c r="Z3" s="168"/>
      <c r="AA3" s="170"/>
      <c r="AB3" s="168"/>
      <c r="AC3" s="168"/>
      <c r="AD3" s="168"/>
      <c r="AE3" s="170"/>
      <c r="AF3" s="168"/>
      <c r="AG3" s="168"/>
      <c r="AH3" s="168"/>
      <c r="AI3" s="170"/>
      <c r="AJ3" s="168"/>
      <c r="AK3" s="168"/>
      <c r="AL3" s="168"/>
      <c r="AM3" s="170"/>
      <c r="AN3" s="168"/>
      <c r="AO3" s="168"/>
      <c r="AP3" s="168"/>
      <c r="AQ3" s="170"/>
      <c r="AR3" s="168"/>
      <c r="AS3" s="168"/>
      <c r="AT3" s="168"/>
      <c r="AU3" s="165"/>
      <c r="AV3" s="165"/>
      <c r="AW3" s="165"/>
      <c r="AX3" s="165"/>
      <c r="AY3" s="165"/>
      <c r="AZ3" s="165"/>
      <c r="BA3" s="165"/>
      <c r="BB3" s="165"/>
      <c r="BC3" s="165"/>
      <c r="BD3" s="167"/>
      <c r="BE3" s="167"/>
      <c r="BF3" s="160"/>
      <c r="BG3" s="160"/>
      <c r="BH3" s="160"/>
      <c r="BI3" s="160"/>
      <c r="BJ3" s="160"/>
      <c r="BK3" s="173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</row>
    <row r="4" spans="1:75" s="140" customFormat="1" ht="48.75" customHeight="1">
      <c r="A4" s="1042" t="s">
        <v>439</v>
      </c>
      <c r="B4" s="1044" t="s">
        <v>207</v>
      </c>
      <c r="C4" s="178" t="s">
        <v>922</v>
      </c>
      <c r="D4" s="1044" t="s">
        <v>923</v>
      </c>
      <c r="E4" s="1037" t="s">
        <v>924</v>
      </c>
      <c r="F4" s="1038"/>
      <c r="G4" s="1038"/>
      <c r="H4" s="1039"/>
      <c r="I4" s="1044" t="s">
        <v>925</v>
      </c>
      <c r="J4" s="163"/>
      <c r="K4" s="179"/>
      <c r="L4" s="165"/>
      <c r="M4" s="165"/>
      <c r="N4" s="168"/>
      <c r="O4" s="170"/>
      <c r="P4" s="168"/>
      <c r="Q4" s="168"/>
      <c r="R4" s="168"/>
      <c r="S4" s="170"/>
      <c r="T4" s="168"/>
      <c r="U4" s="168"/>
      <c r="V4" s="168"/>
      <c r="W4" s="170"/>
      <c r="X4" s="168"/>
      <c r="Y4" s="168"/>
      <c r="Z4" s="168"/>
      <c r="AA4" s="170"/>
      <c r="AB4" s="168"/>
      <c r="AC4" s="168"/>
      <c r="AD4" s="168"/>
      <c r="AE4" s="170"/>
      <c r="AF4" s="168"/>
      <c r="AG4" s="168"/>
      <c r="AH4" s="168"/>
      <c r="AI4" s="170"/>
      <c r="AJ4" s="168"/>
      <c r="AK4" s="168"/>
      <c r="AL4" s="168"/>
      <c r="AM4" s="170"/>
      <c r="AN4" s="168"/>
      <c r="AO4" s="168"/>
      <c r="AP4" s="168"/>
      <c r="AQ4" s="170"/>
      <c r="AR4" s="168"/>
      <c r="AS4" s="168"/>
      <c r="AT4" s="168"/>
      <c r="AU4" s="165"/>
      <c r="AV4" s="165"/>
      <c r="AW4" s="165"/>
      <c r="AX4" s="165"/>
      <c r="AY4" s="165"/>
      <c r="AZ4" s="165"/>
      <c r="BA4" s="165"/>
      <c r="BB4" s="165"/>
      <c r="BC4" s="165"/>
      <c r="BD4" s="180"/>
      <c r="BE4" s="180"/>
    </row>
    <row r="5" spans="1:75" s="140" customFormat="1" ht="48.75" customHeight="1">
      <c r="A5" s="1043"/>
      <c r="B5" s="1045"/>
      <c r="C5" s="181" t="s">
        <v>926</v>
      </c>
      <c r="D5" s="1045"/>
      <c r="E5" s="1040" t="s">
        <v>926</v>
      </c>
      <c r="F5" s="1041"/>
      <c r="G5" s="1040" t="s">
        <v>927</v>
      </c>
      <c r="H5" s="1041"/>
      <c r="I5" s="1045"/>
      <c r="J5" s="163"/>
      <c r="K5" s="179"/>
      <c r="L5" s="165"/>
      <c r="M5" s="165"/>
      <c r="N5" s="168"/>
      <c r="O5" s="170"/>
      <c r="P5" s="168"/>
      <c r="Q5" s="168"/>
      <c r="R5" s="168"/>
      <c r="S5" s="170"/>
      <c r="T5" s="168"/>
      <c r="U5" s="168"/>
      <c r="V5" s="168"/>
      <c r="W5" s="170"/>
      <c r="X5" s="168"/>
      <c r="Y5" s="168"/>
      <c r="Z5" s="168"/>
      <c r="AA5" s="170"/>
      <c r="AB5" s="168"/>
      <c r="AC5" s="168"/>
      <c r="AD5" s="168"/>
      <c r="AE5" s="170"/>
      <c r="AF5" s="168"/>
      <c r="AG5" s="168"/>
      <c r="AH5" s="168"/>
      <c r="AI5" s="170"/>
      <c r="AJ5" s="168"/>
      <c r="AK5" s="168"/>
      <c r="AL5" s="168"/>
      <c r="AM5" s="170"/>
      <c r="AN5" s="168"/>
      <c r="AO5" s="168"/>
      <c r="AP5" s="168"/>
      <c r="AQ5" s="170"/>
      <c r="AR5" s="168"/>
      <c r="AS5" s="168"/>
      <c r="AT5" s="168"/>
      <c r="AU5" s="165"/>
      <c r="AV5" s="165"/>
      <c r="AW5" s="165"/>
      <c r="AX5" s="165"/>
      <c r="AY5" s="165"/>
      <c r="AZ5" s="165"/>
      <c r="BA5" s="165"/>
      <c r="BB5" s="165"/>
      <c r="BC5" s="165"/>
      <c r="BD5" s="180"/>
      <c r="BE5" s="180"/>
    </row>
    <row r="6" spans="1:75" s="141" customFormat="1" ht="24.75" customHeight="1">
      <c r="A6" s="182">
        <v>1</v>
      </c>
      <c r="B6" s="183" t="s">
        <v>928</v>
      </c>
      <c r="C6" s="184">
        <v>200</v>
      </c>
      <c r="D6" s="185" t="s">
        <v>929</v>
      </c>
      <c r="E6" s="186">
        <v>62000</v>
      </c>
      <c r="F6" s="186">
        <f>SUM(C6*E6)</f>
        <v>12400000</v>
      </c>
      <c r="G6" s="187">
        <v>56000</v>
      </c>
      <c r="H6" s="188">
        <f>SUM(C6*G6)</f>
        <v>11200000</v>
      </c>
      <c r="I6" s="189">
        <f>SUM(F6-H6)</f>
        <v>1200000</v>
      </c>
      <c r="J6" s="190"/>
      <c r="K6" s="191"/>
      <c r="L6" s="192"/>
      <c r="M6" s="193"/>
      <c r="N6" s="192"/>
      <c r="O6" s="194"/>
      <c r="P6" s="192"/>
      <c r="Q6" s="192"/>
      <c r="R6" s="192"/>
      <c r="S6" s="194"/>
      <c r="T6" s="192"/>
      <c r="U6" s="192"/>
      <c r="V6" s="192"/>
      <c r="W6" s="194"/>
      <c r="X6" s="192"/>
      <c r="Y6" s="192"/>
      <c r="Z6" s="192"/>
      <c r="AA6" s="194"/>
      <c r="AB6" s="192"/>
      <c r="AC6" s="192"/>
      <c r="AD6" s="192"/>
      <c r="AE6" s="194"/>
      <c r="AF6" s="192"/>
      <c r="AG6" s="192"/>
      <c r="AH6" s="192"/>
      <c r="AI6" s="194"/>
      <c r="AJ6" s="192"/>
      <c r="AK6" s="192"/>
      <c r="AL6" s="192"/>
      <c r="AM6" s="194"/>
      <c r="AN6" s="192"/>
      <c r="AO6" s="192"/>
      <c r="AP6" s="192"/>
      <c r="AQ6" s="194"/>
      <c r="AR6" s="192"/>
      <c r="AS6" s="192"/>
      <c r="AT6" s="192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</row>
    <row r="7" spans="1:75" s="141" customFormat="1" ht="24.75" customHeight="1">
      <c r="A7" s="182">
        <v>2</v>
      </c>
      <c r="B7" s="183" t="s">
        <v>930</v>
      </c>
      <c r="C7" s="184">
        <v>1</v>
      </c>
      <c r="D7" s="185" t="s">
        <v>931</v>
      </c>
      <c r="E7" s="186">
        <v>0</v>
      </c>
      <c r="F7" s="186">
        <v>0</v>
      </c>
      <c r="G7" s="187">
        <v>18000</v>
      </c>
      <c r="H7" s="188">
        <f>SUM(C7*G7)</f>
        <v>18000</v>
      </c>
      <c r="I7" s="189">
        <f>SUM(F7-H7)</f>
        <v>-18000</v>
      </c>
      <c r="J7" s="190"/>
      <c r="K7" s="191"/>
      <c r="L7" s="192"/>
      <c r="M7" s="193"/>
      <c r="N7" s="192"/>
      <c r="O7" s="194"/>
      <c r="P7" s="192"/>
      <c r="Q7" s="192"/>
      <c r="R7" s="192"/>
      <c r="S7" s="194"/>
      <c r="T7" s="192"/>
      <c r="U7" s="192"/>
      <c r="V7" s="192"/>
      <c r="W7" s="194"/>
      <c r="X7" s="192"/>
      <c r="Y7" s="192"/>
      <c r="Z7" s="192"/>
      <c r="AA7" s="194"/>
      <c r="AB7" s="192"/>
      <c r="AC7" s="192"/>
      <c r="AD7" s="192"/>
      <c r="AE7" s="194"/>
      <c r="AF7" s="192"/>
      <c r="AG7" s="192"/>
      <c r="AH7" s="192"/>
      <c r="AI7" s="194"/>
      <c r="AJ7" s="192"/>
      <c r="AK7" s="192"/>
      <c r="AL7" s="192"/>
      <c r="AM7" s="194"/>
      <c r="AN7" s="192"/>
      <c r="AO7" s="192"/>
      <c r="AP7" s="192"/>
      <c r="AQ7" s="194"/>
      <c r="AR7" s="192"/>
      <c r="AS7" s="192"/>
      <c r="AT7" s="192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</row>
    <row r="8" spans="1:75" s="141" customFormat="1" ht="24.75" customHeight="1">
      <c r="A8" s="182"/>
      <c r="B8" s="183"/>
      <c r="C8" s="184"/>
      <c r="D8" s="185"/>
      <c r="E8" s="186"/>
      <c r="F8" s="186"/>
      <c r="G8" s="187"/>
      <c r="H8" s="188"/>
      <c r="I8" s="189"/>
      <c r="J8" s="190"/>
      <c r="K8" s="191"/>
      <c r="L8" s="192"/>
      <c r="M8" s="193"/>
      <c r="N8" s="192"/>
      <c r="O8" s="194"/>
      <c r="P8" s="192"/>
      <c r="Q8" s="192"/>
      <c r="R8" s="192"/>
      <c r="S8" s="194"/>
      <c r="T8" s="192"/>
      <c r="U8" s="192"/>
      <c r="V8" s="192"/>
      <c r="W8" s="194"/>
      <c r="X8" s="192"/>
      <c r="Y8" s="192"/>
      <c r="Z8" s="192"/>
      <c r="AA8" s="194"/>
      <c r="AB8" s="192"/>
      <c r="AC8" s="192"/>
      <c r="AD8" s="192"/>
      <c r="AE8" s="194"/>
      <c r="AF8" s="192"/>
      <c r="AG8" s="192"/>
      <c r="AH8" s="192"/>
      <c r="AI8" s="194"/>
      <c r="AJ8" s="192"/>
      <c r="AK8" s="192"/>
      <c r="AL8" s="192"/>
      <c r="AM8" s="194"/>
      <c r="AN8" s="192"/>
      <c r="AO8" s="192"/>
      <c r="AP8" s="192"/>
      <c r="AQ8" s="194"/>
      <c r="AR8" s="192"/>
      <c r="AS8" s="192"/>
      <c r="AT8" s="192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</row>
    <row r="9" spans="1:75" s="141" customFormat="1" ht="24.75" customHeight="1">
      <c r="A9" s="182"/>
      <c r="B9" s="183"/>
      <c r="C9" s="184"/>
      <c r="D9" s="185"/>
      <c r="E9" s="186"/>
      <c r="F9" s="186"/>
      <c r="G9" s="187"/>
      <c r="H9" s="188"/>
      <c r="I9" s="189"/>
      <c r="J9" s="190"/>
      <c r="K9" s="191"/>
      <c r="L9" s="192"/>
      <c r="M9" s="193"/>
      <c r="N9" s="192"/>
      <c r="O9" s="194"/>
      <c r="P9" s="192"/>
      <c r="Q9" s="192"/>
      <c r="R9" s="192"/>
      <c r="S9" s="194"/>
      <c r="T9" s="192"/>
      <c r="U9" s="192"/>
      <c r="V9" s="192"/>
      <c r="W9" s="194"/>
      <c r="X9" s="192"/>
      <c r="Y9" s="192"/>
      <c r="Z9" s="192"/>
      <c r="AA9" s="194"/>
      <c r="AB9" s="192"/>
      <c r="AC9" s="192"/>
      <c r="AD9" s="192"/>
      <c r="AE9" s="194"/>
      <c r="AF9" s="192"/>
      <c r="AG9" s="192"/>
      <c r="AH9" s="192"/>
      <c r="AI9" s="194"/>
      <c r="AJ9" s="192"/>
      <c r="AK9" s="192"/>
      <c r="AL9" s="192"/>
      <c r="AM9" s="194"/>
      <c r="AN9" s="192"/>
      <c r="AO9" s="192"/>
      <c r="AP9" s="192"/>
      <c r="AQ9" s="194"/>
      <c r="AR9" s="192"/>
      <c r="AS9" s="192"/>
      <c r="AT9" s="192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</row>
    <row r="10" spans="1:75" s="141" customFormat="1" ht="24.75" customHeight="1">
      <c r="A10" s="182"/>
      <c r="B10" s="183"/>
      <c r="C10" s="184"/>
      <c r="D10" s="185"/>
      <c r="E10" s="195"/>
      <c r="F10" s="186"/>
      <c r="G10" s="187"/>
      <c r="H10" s="188"/>
      <c r="I10" s="189"/>
      <c r="J10" s="190"/>
      <c r="K10" s="191"/>
      <c r="L10" s="192"/>
      <c r="M10" s="193"/>
      <c r="N10" s="192"/>
      <c r="O10" s="194"/>
      <c r="P10" s="192"/>
      <c r="Q10" s="192"/>
      <c r="R10" s="192"/>
      <c r="S10" s="194"/>
      <c r="T10" s="192"/>
      <c r="U10" s="192"/>
      <c r="V10" s="192"/>
      <c r="W10" s="194"/>
      <c r="X10" s="192"/>
      <c r="Y10" s="192"/>
      <c r="Z10" s="192"/>
      <c r="AA10" s="194"/>
      <c r="AB10" s="192"/>
      <c r="AC10" s="192"/>
      <c r="AD10" s="192"/>
      <c r="AE10" s="194"/>
      <c r="AF10" s="192"/>
      <c r="AG10" s="192"/>
      <c r="AH10" s="192"/>
      <c r="AI10" s="194"/>
      <c r="AJ10" s="192"/>
      <c r="AK10" s="192"/>
      <c r="AL10" s="192"/>
      <c r="AM10" s="194"/>
      <c r="AN10" s="192"/>
      <c r="AO10" s="192"/>
      <c r="AP10" s="192"/>
      <c r="AQ10" s="194"/>
      <c r="AR10" s="192"/>
      <c r="AS10" s="192"/>
      <c r="AT10" s="192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</row>
    <row r="11" spans="1:75" s="141" customFormat="1" ht="24.75" customHeight="1">
      <c r="A11" s="182"/>
      <c r="B11" s="183"/>
      <c r="C11" s="184"/>
      <c r="D11" s="185"/>
      <c r="E11" s="186"/>
      <c r="F11" s="186"/>
      <c r="G11" s="187"/>
      <c r="H11" s="188"/>
      <c r="I11" s="189"/>
      <c r="J11" s="190"/>
      <c r="K11" s="191"/>
      <c r="L11" s="192"/>
      <c r="M11" s="193"/>
      <c r="N11" s="192"/>
      <c r="O11" s="194"/>
      <c r="P11" s="192"/>
      <c r="Q11" s="192"/>
      <c r="R11" s="192"/>
      <c r="S11" s="194"/>
      <c r="T11" s="192"/>
      <c r="U11" s="192"/>
      <c r="V11" s="192"/>
      <c r="W11" s="194"/>
      <c r="X11" s="192"/>
      <c r="Y11" s="192"/>
      <c r="Z11" s="192"/>
      <c r="AA11" s="194"/>
      <c r="AB11" s="192"/>
      <c r="AC11" s="192"/>
      <c r="AD11" s="192"/>
      <c r="AE11" s="194"/>
      <c r="AF11" s="192"/>
      <c r="AG11" s="192"/>
      <c r="AH11" s="192"/>
      <c r="AI11" s="194"/>
      <c r="AJ11" s="192"/>
      <c r="AK11" s="192"/>
      <c r="AL11" s="192"/>
      <c r="AM11" s="194"/>
      <c r="AN11" s="192"/>
      <c r="AO11" s="192"/>
      <c r="AP11" s="192"/>
      <c r="AQ11" s="194"/>
      <c r="AR11" s="192"/>
      <c r="AS11" s="192"/>
      <c r="AT11" s="192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</row>
    <row r="12" spans="1:75" s="141" customFormat="1" ht="24.75" customHeight="1">
      <c r="A12" s="182"/>
      <c r="B12" s="183"/>
      <c r="C12" s="184"/>
      <c r="D12" s="185"/>
      <c r="E12" s="186"/>
      <c r="F12" s="186"/>
      <c r="G12" s="187"/>
      <c r="H12" s="188"/>
      <c r="I12" s="189"/>
      <c r="J12" s="190"/>
      <c r="K12" s="191"/>
      <c r="L12" s="192"/>
      <c r="M12" s="193"/>
      <c r="N12" s="192"/>
      <c r="O12" s="194"/>
      <c r="P12" s="192"/>
      <c r="Q12" s="192"/>
      <c r="R12" s="192"/>
      <c r="S12" s="194"/>
      <c r="T12" s="192"/>
      <c r="U12" s="192"/>
      <c r="V12" s="192"/>
      <c r="W12" s="194"/>
      <c r="X12" s="192"/>
      <c r="Y12" s="192"/>
      <c r="Z12" s="192"/>
      <c r="AA12" s="194"/>
      <c r="AB12" s="192"/>
      <c r="AC12" s="192"/>
      <c r="AD12" s="192"/>
      <c r="AE12" s="194"/>
      <c r="AF12" s="192"/>
      <c r="AG12" s="192"/>
      <c r="AH12" s="192"/>
      <c r="AI12" s="194"/>
      <c r="AJ12" s="192"/>
      <c r="AK12" s="192"/>
      <c r="AL12" s="192"/>
      <c r="AM12" s="194"/>
      <c r="AN12" s="192"/>
      <c r="AO12" s="192"/>
      <c r="AP12" s="192"/>
      <c r="AQ12" s="194"/>
      <c r="AR12" s="192"/>
      <c r="AS12" s="192"/>
      <c r="AT12" s="192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</row>
    <row r="13" spans="1:75" s="141" customFormat="1" ht="24.75" customHeight="1">
      <c r="A13" s="182"/>
      <c r="B13" s="183"/>
      <c r="C13" s="184"/>
      <c r="D13" s="185"/>
      <c r="E13" s="186"/>
      <c r="F13" s="186"/>
      <c r="G13" s="187"/>
      <c r="H13" s="188"/>
      <c r="I13" s="189"/>
      <c r="J13" s="190"/>
      <c r="K13" s="191"/>
      <c r="L13" s="192"/>
      <c r="M13" s="193"/>
      <c r="N13" s="192"/>
      <c r="O13" s="194"/>
      <c r="P13" s="192"/>
      <c r="Q13" s="192"/>
      <c r="R13" s="192"/>
      <c r="S13" s="194"/>
      <c r="T13" s="192"/>
      <c r="U13" s="192"/>
      <c r="V13" s="192"/>
      <c r="W13" s="194"/>
      <c r="X13" s="192"/>
      <c r="Y13" s="192"/>
      <c r="Z13" s="192"/>
      <c r="AA13" s="194"/>
      <c r="AB13" s="192"/>
      <c r="AC13" s="192"/>
      <c r="AD13" s="192"/>
      <c r="AE13" s="194"/>
      <c r="AF13" s="192"/>
      <c r="AG13" s="192"/>
      <c r="AH13" s="192"/>
      <c r="AI13" s="194"/>
      <c r="AJ13" s="192"/>
      <c r="AK13" s="192"/>
      <c r="AL13" s="192"/>
      <c r="AM13" s="194"/>
      <c r="AN13" s="192"/>
      <c r="AO13" s="192"/>
      <c r="AP13" s="192"/>
      <c r="AQ13" s="194"/>
      <c r="AR13" s="192"/>
      <c r="AS13" s="192"/>
      <c r="AT13" s="192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</row>
    <row r="14" spans="1:75" s="141" customFormat="1" ht="24.75" customHeight="1">
      <c r="A14" s="182"/>
      <c r="B14" s="183"/>
      <c r="C14" s="184"/>
      <c r="D14" s="185"/>
      <c r="E14" s="186"/>
      <c r="F14" s="186"/>
      <c r="G14" s="187"/>
      <c r="H14" s="188"/>
      <c r="I14" s="189"/>
      <c r="J14" s="190"/>
      <c r="K14" s="191"/>
      <c r="L14" s="192"/>
      <c r="M14" s="193"/>
      <c r="N14" s="192"/>
      <c r="O14" s="194"/>
      <c r="P14" s="192"/>
      <c r="Q14" s="192"/>
      <c r="R14" s="192"/>
      <c r="S14" s="194"/>
      <c r="T14" s="192"/>
      <c r="U14" s="192"/>
      <c r="V14" s="192"/>
      <c r="W14" s="194"/>
      <c r="X14" s="192"/>
      <c r="Y14" s="192"/>
      <c r="Z14" s="192"/>
      <c r="AA14" s="194"/>
      <c r="AB14" s="192"/>
      <c r="AC14" s="192"/>
      <c r="AD14" s="192"/>
      <c r="AE14" s="194"/>
      <c r="AF14" s="192"/>
      <c r="AG14" s="192"/>
      <c r="AH14" s="192"/>
      <c r="AI14" s="194"/>
      <c r="AJ14" s="192"/>
      <c r="AK14" s="192"/>
      <c r="AL14" s="192"/>
      <c r="AM14" s="194"/>
      <c r="AN14" s="192"/>
      <c r="AO14" s="192"/>
      <c r="AP14" s="192"/>
      <c r="AQ14" s="194"/>
      <c r="AR14" s="192"/>
      <c r="AS14" s="192"/>
      <c r="AT14" s="192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</row>
    <row r="15" spans="1:75" s="141" customFormat="1" ht="24.75" customHeight="1">
      <c r="A15" s="182"/>
      <c r="B15" s="183"/>
      <c r="C15" s="184"/>
      <c r="D15" s="185"/>
      <c r="E15" s="186"/>
      <c r="F15" s="186"/>
      <c r="G15" s="187"/>
      <c r="H15" s="188"/>
      <c r="I15" s="189"/>
      <c r="J15" s="190"/>
      <c r="K15" s="191"/>
      <c r="L15" s="192"/>
      <c r="M15" s="193"/>
      <c r="N15" s="192"/>
      <c r="O15" s="194"/>
      <c r="P15" s="192"/>
      <c r="Q15" s="192"/>
      <c r="R15" s="192"/>
      <c r="S15" s="194"/>
      <c r="T15" s="192"/>
      <c r="U15" s="192"/>
      <c r="V15" s="192"/>
      <c r="W15" s="194"/>
      <c r="X15" s="192"/>
      <c r="Y15" s="192"/>
      <c r="Z15" s="192"/>
      <c r="AA15" s="194"/>
      <c r="AB15" s="192"/>
      <c r="AC15" s="192"/>
      <c r="AD15" s="192"/>
      <c r="AE15" s="194"/>
      <c r="AF15" s="192"/>
      <c r="AG15" s="192"/>
      <c r="AH15" s="192"/>
      <c r="AI15" s="194"/>
      <c r="AJ15" s="192"/>
      <c r="AK15" s="192"/>
      <c r="AL15" s="192"/>
      <c r="AM15" s="194"/>
      <c r="AN15" s="192"/>
      <c r="AO15" s="192"/>
      <c r="AP15" s="192"/>
      <c r="AQ15" s="194"/>
      <c r="AR15" s="192"/>
      <c r="AS15" s="192"/>
      <c r="AT15" s="192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</row>
    <row r="16" spans="1:75" s="141" customFormat="1" ht="24.75" customHeight="1">
      <c r="A16" s="182"/>
      <c r="B16" s="183"/>
      <c r="C16" s="196"/>
      <c r="D16" s="185"/>
      <c r="E16" s="186"/>
      <c r="F16" s="186"/>
      <c r="G16" s="187"/>
      <c r="H16" s="188"/>
      <c r="I16" s="189"/>
      <c r="J16" s="190"/>
      <c r="K16" s="191"/>
      <c r="L16" s="192"/>
      <c r="M16" s="193"/>
      <c r="N16" s="192"/>
      <c r="O16" s="194"/>
      <c r="P16" s="192"/>
      <c r="Q16" s="192"/>
      <c r="R16" s="192"/>
      <c r="S16" s="194"/>
      <c r="T16" s="192"/>
      <c r="U16" s="192"/>
      <c r="V16" s="192"/>
      <c r="W16" s="194"/>
      <c r="X16" s="192"/>
      <c r="Y16" s="192"/>
      <c r="Z16" s="192"/>
      <c r="AA16" s="194"/>
      <c r="AB16" s="192"/>
      <c r="AC16" s="192"/>
      <c r="AD16" s="192"/>
      <c r="AE16" s="194"/>
      <c r="AF16" s="192"/>
      <c r="AG16" s="192"/>
      <c r="AH16" s="192"/>
      <c r="AI16" s="194"/>
      <c r="AJ16" s="192"/>
      <c r="AK16" s="192"/>
      <c r="AL16" s="192"/>
      <c r="AM16" s="194"/>
      <c r="AN16" s="192"/>
      <c r="AO16" s="192"/>
      <c r="AP16" s="192"/>
      <c r="AQ16" s="194"/>
      <c r="AR16" s="192"/>
      <c r="AS16" s="192"/>
      <c r="AT16" s="192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</row>
    <row r="17" spans="1:58" s="141" customFormat="1" ht="24.75" customHeight="1">
      <c r="A17" s="182"/>
      <c r="B17" s="183"/>
      <c r="C17" s="196"/>
      <c r="D17" s="185"/>
      <c r="E17" s="186"/>
      <c r="F17" s="186"/>
      <c r="G17" s="187"/>
      <c r="H17" s="188"/>
      <c r="I17" s="189"/>
      <c r="J17" s="190"/>
      <c r="K17" s="191"/>
      <c r="L17" s="192"/>
      <c r="M17" s="193"/>
      <c r="N17" s="192"/>
      <c r="O17" s="194"/>
      <c r="P17" s="192"/>
      <c r="Q17" s="192"/>
      <c r="R17" s="192"/>
      <c r="S17" s="194"/>
      <c r="T17" s="192"/>
      <c r="U17" s="192"/>
      <c r="V17" s="192"/>
      <c r="W17" s="194"/>
      <c r="X17" s="192"/>
      <c r="Y17" s="192"/>
      <c r="Z17" s="192"/>
      <c r="AA17" s="194"/>
      <c r="AB17" s="192"/>
      <c r="AC17" s="192"/>
      <c r="AD17" s="192"/>
      <c r="AE17" s="194"/>
      <c r="AF17" s="192"/>
      <c r="AG17" s="192"/>
      <c r="AH17" s="192"/>
      <c r="AI17" s="194"/>
      <c r="AJ17" s="192"/>
      <c r="AK17" s="192"/>
      <c r="AL17" s="192"/>
      <c r="AM17" s="194"/>
      <c r="AN17" s="192"/>
      <c r="AO17" s="192"/>
      <c r="AP17" s="192"/>
      <c r="AQ17" s="194"/>
      <c r="AR17" s="192"/>
      <c r="AS17" s="192"/>
      <c r="AT17" s="192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</row>
    <row r="18" spans="1:58" s="141" customFormat="1" ht="24.75" customHeight="1">
      <c r="A18" s="182"/>
      <c r="B18" s="183"/>
      <c r="C18" s="184"/>
      <c r="D18" s="185"/>
      <c r="E18" s="186"/>
      <c r="F18" s="186"/>
      <c r="G18" s="187"/>
      <c r="H18" s="188"/>
      <c r="I18" s="189"/>
      <c r="J18" s="190"/>
      <c r="K18" s="191"/>
      <c r="L18" s="192"/>
      <c r="M18" s="193"/>
      <c r="N18" s="192"/>
      <c r="O18" s="194"/>
      <c r="P18" s="192"/>
      <c r="Q18" s="192"/>
      <c r="R18" s="192"/>
      <c r="S18" s="194"/>
      <c r="T18" s="192"/>
      <c r="U18" s="192"/>
      <c r="V18" s="192"/>
      <c r="W18" s="194"/>
      <c r="X18" s="192"/>
      <c r="Y18" s="192"/>
      <c r="Z18" s="192"/>
      <c r="AA18" s="194"/>
      <c r="AB18" s="192"/>
      <c r="AC18" s="192"/>
      <c r="AD18" s="192"/>
      <c r="AE18" s="194"/>
      <c r="AF18" s="192"/>
      <c r="AG18" s="192"/>
      <c r="AH18" s="192"/>
      <c r="AI18" s="194"/>
      <c r="AJ18" s="192"/>
      <c r="AK18" s="192"/>
      <c r="AL18" s="192"/>
      <c r="AM18" s="194"/>
      <c r="AN18" s="192"/>
      <c r="AO18" s="192"/>
      <c r="AP18" s="192"/>
      <c r="AQ18" s="194"/>
      <c r="AR18" s="192"/>
      <c r="AS18" s="192"/>
      <c r="AT18" s="192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</row>
    <row r="19" spans="1:58" s="142" customFormat="1" ht="39" customHeight="1">
      <c r="A19" s="197"/>
      <c r="B19" s="197" t="s">
        <v>932</v>
      </c>
      <c r="C19" s="198"/>
      <c r="D19" s="199"/>
      <c r="E19" s="200"/>
      <c r="F19" s="200">
        <f>SUM(F6:F18)</f>
        <v>12400000</v>
      </c>
      <c r="G19" s="201"/>
      <c r="H19" s="200">
        <f>SUM(H6:H18)</f>
        <v>11218000</v>
      </c>
      <c r="I19" s="200">
        <f>SUM(I6:I18)</f>
        <v>1182000</v>
      </c>
      <c r="J19" s="202"/>
      <c r="K19" s="203"/>
      <c r="L19" s="204"/>
      <c r="M19" s="205"/>
      <c r="N19" s="204"/>
      <c r="O19" s="206"/>
      <c r="P19" s="204"/>
      <c r="Q19" s="204"/>
      <c r="R19" s="204"/>
      <c r="S19" s="206"/>
      <c r="T19" s="204"/>
      <c r="U19" s="204"/>
      <c r="V19" s="204"/>
      <c r="W19" s="206"/>
      <c r="X19" s="204"/>
      <c r="Y19" s="204"/>
      <c r="Z19" s="204"/>
      <c r="AA19" s="206"/>
      <c r="AB19" s="204"/>
      <c r="AC19" s="204"/>
      <c r="AD19" s="204"/>
      <c r="AE19" s="206"/>
      <c r="AF19" s="204"/>
      <c r="AG19" s="204"/>
      <c r="AH19" s="204"/>
      <c r="AI19" s="206"/>
      <c r="AJ19" s="204"/>
      <c r="AK19" s="204"/>
      <c r="AL19" s="204"/>
      <c r="AM19" s="206"/>
      <c r="AN19" s="204"/>
      <c r="AO19" s="204"/>
      <c r="AP19" s="204"/>
      <c r="AQ19" s="206"/>
      <c r="AR19" s="204"/>
      <c r="AS19" s="204"/>
      <c r="AT19" s="204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</row>
    <row r="20" spans="1:58" s="139" customFormat="1" ht="24.75" customHeight="1">
      <c r="A20" s="156"/>
      <c r="C20" s="156"/>
      <c r="D20" s="156"/>
      <c r="G20" s="207"/>
      <c r="H20" s="207"/>
      <c r="I20" s="208">
        <f>SUM(F19-H19)</f>
        <v>1182000</v>
      </c>
      <c r="J20" s="157"/>
      <c r="K20" s="158"/>
      <c r="L20" s="159"/>
      <c r="M20" s="160"/>
      <c r="N20" s="161"/>
      <c r="O20" s="162"/>
      <c r="P20" s="161"/>
      <c r="Q20" s="161"/>
      <c r="R20" s="161"/>
      <c r="S20" s="162"/>
      <c r="T20" s="161"/>
      <c r="U20" s="161"/>
      <c r="V20" s="161"/>
      <c r="W20" s="162"/>
      <c r="X20" s="161"/>
      <c r="Y20" s="161"/>
      <c r="Z20" s="161"/>
      <c r="AA20" s="162"/>
      <c r="AB20" s="161"/>
      <c r="AC20" s="161"/>
      <c r="AD20" s="161"/>
      <c r="AE20" s="162"/>
      <c r="AF20" s="161"/>
      <c r="AG20" s="161"/>
      <c r="AH20" s="161"/>
      <c r="AI20" s="162"/>
      <c r="AJ20" s="161"/>
      <c r="AK20" s="161"/>
      <c r="AL20" s="161"/>
      <c r="AM20" s="162"/>
      <c r="AN20" s="161"/>
      <c r="AO20" s="161"/>
      <c r="AP20" s="161"/>
      <c r="AQ20" s="162"/>
      <c r="AR20" s="161"/>
      <c r="AS20" s="161"/>
      <c r="AT20" s="161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</row>
    <row r="21" spans="1:58" s="139" customFormat="1" ht="24.75" customHeight="1">
      <c r="A21" s="156"/>
      <c r="C21" s="156"/>
      <c r="D21" s="156"/>
      <c r="G21" s="157"/>
      <c r="H21" s="157"/>
      <c r="I21" s="209"/>
      <c r="J21" s="157"/>
      <c r="K21" s="158"/>
      <c r="L21" s="159"/>
      <c r="M21" s="160"/>
      <c r="N21" s="161"/>
      <c r="O21" s="162"/>
      <c r="P21" s="161"/>
      <c r="Q21" s="161"/>
      <c r="R21" s="161"/>
      <c r="S21" s="162"/>
      <c r="T21" s="161"/>
      <c r="U21" s="161"/>
      <c r="V21" s="161"/>
      <c r="W21" s="162"/>
      <c r="X21" s="161"/>
      <c r="Y21" s="161"/>
      <c r="Z21" s="161"/>
      <c r="AA21" s="162"/>
      <c r="AB21" s="161"/>
      <c r="AC21" s="161"/>
      <c r="AD21" s="161"/>
      <c r="AE21" s="162"/>
      <c r="AF21" s="161"/>
      <c r="AG21" s="161"/>
      <c r="AH21" s="161"/>
      <c r="AI21" s="162"/>
      <c r="AJ21" s="161"/>
      <c r="AK21" s="161"/>
      <c r="AL21" s="161"/>
      <c r="AM21" s="162"/>
      <c r="AN21" s="161"/>
      <c r="AO21" s="161"/>
      <c r="AP21" s="161"/>
      <c r="AQ21" s="162"/>
      <c r="AR21" s="161"/>
      <c r="AS21" s="161"/>
      <c r="AT21" s="161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</row>
    <row r="22" spans="1:58" s="143" customFormat="1">
      <c r="A22" s="210"/>
      <c r="B22" s="211"/>
      <c r="C22" s="140"/>
      <c r="D22" s="210"/>
      <c r="G22" s="212"/>
      <c r="H22" s="212"/>
      <c r="I22" s="213"/>
      <c r="J22" s="212"/>
      <c r="K22" s="214"/>
      <c r="L22" s="159"/>
      <c r="M22" s="215"/>
      <c r="N22" s="216"/>
      <c r="O22" s="217"/>
      <c r="P22" s="216"/>
      <c r="Q22" s="216"/>
      <c r="R22" s="216"/>
      <c r="S22" s="217"/>
      <c r="T22" s="216"/>
      <c r="U22" s="216"/>
      <c r="V22" s="216"/>
      <c r="W22" s="217"/>
      <c r="X22" s="216"/>
      <c r="Y22" s="216"/>
      <c r="Z22" s="216"/>
      <c r="AA22" s="217"/>
      <c r="AB22" s="216"/>
      <c r="AC22" s="216"/>
      <c r="AD22" s="216"/>
      <c r="AE22" s="217"/>
      <c r="AF22" s="216"/>
      <c r="AG22" s="216"/>
      <c r="AH22" s="216"/>
      <c r="AI22" s="217"/>
      <c r="AJ22" s="216"/>
      <c r="AK22" s="216"/>
      <c r="AL22" s="216"/>
      <c r="AM22" s="217"/>
      <c r="AN22" s="216"/>
      <c r="AO22" s="216"/>
      <c r="AP22" s="216"/>
      <c r="AQ22" s="217"/>
      <c r="AR22" s="216"/>
      <c r="AS22" s="216"/>
      <c r="AT22" s="218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</row>
    <row r="23" spans="1:58" s="143" customFormat="1">
      <c r="A23" s="210"/>
      <c r="B23" s="211"/>
      <c r="C23" s="140"/>
      <c r="D23" s="210"/>
      <c r="G23" s="212"/>
      <c r="H23" s="212"/>
      <c r="I23" s="213"/>
      <c r="J23" s="212"/>
      <c r="K23" s="214"/>
      <c r="L23" s="159"/>
      <c r="M23" s="215"/>
      <c r="N23" s="216"/>
      <c r="O23" s="217"/>
      <c r="P23" s="216"/>
      <c r="Q23" s="216"/>
      <c r="R23" s="216"/>
      <c r="S23" s="217"/>
      <c r="T23" s="216"/>
      <c r="U23" s="216"/>
      <c r="V23" s="216"/>
      <c r="W23" s="217"/>
      <c r="X23" s="216"/>
      <c r="Y23" s="216"/>
      <c r="Z23" s="216"/>
      <c r="AA23" s="217"/>
      <c r="AB23" s="216"/>
      <c r="AC23" s="216"/>
      <c r="AD23" s="216"/>
      <c r="AE23" s="217"/>
      <c r="AF23" s="216"/>
      <c r="AG23" s="216"/>
      <c r="AH23" s="216"/>
      <c r="AI23" s="217"/>
      <c r="AJ23" s="216"/>
      <c r="AK23" s="216"/>
      <c r="AL23" s="216"/>
      <c r="AM23" s="217"/>
      <c r="AN23" s="216"/>
      <c r="AO23" s="216"/>
      <c r="AP23" s="216"/>
      <c r="AQ23" s="217"/>
      <c r="AR23" s="216"/>
      <c r="AS23" s="216"/>
      <c r="AT23" s="218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</row>
    <row r="24" spans="1:58" s="143" customFormat="1">
      <c r="A24" s="210"/>
      <c r="B24" s="211"/>
      <c r="C24" s="140"/>
      <c r="D24" s="210"/>
      <c r="G24" s="212"/>
      <c r="H24" s="212"/>
      <c r="I24" s="213"/>
      <c r="J24" s="212"/>
      <c r="K24" s="214"/>
      <c r="L24" s="159"/>
      <c r="M24" s="215"/>
      <c r="N24" s="216"/>
      <c r="O24" s="217"/>
      <c r="P24" s="216"/>
      <c r="Q24" s="216"/>
      <c r="R24" s="216"/>
      <c r="S24" s="217"/>
      <c r="T24" s="216"/>
      <c r="U24" s="216"/>
      <c r="V24" s="216"/>
      <c r="W24" s="217"/>
      <c r="X24" s="216"/>
      <c r="Y24" s="216"/>
      <c r="Z24" s="216"/>
      <c r="AA24" s="217"/>
      <c r="AB24" s="216"/>
      <c r="AC24" s="216"/>
      <c r="AD24" s="216"/>
      <c r="AE24" s="217"/>
      <c r="AF24" s="216"/>
      <c r="AG24" s="216"/>
      <c r="AH24" s="216"/>
      <c r="AI24" s="217"/>
      <c r="AJ24" s="216"/>
      <c r="AK24" s="216"/>
      <c r="AL24" s="216"/>
      <c r="AM24" s="217"/>
      <c r="AN24" s="216"/>
      <c r="AO24" s="216"/>
      <c r="AP24" s="216"/>
      <c r="AQ24" s="217"/>
      <c r="AR24" s="216"/>
      <c r="AS24" s="216"/>
      <c r="AT24" s="218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</row>
    <row r="25" spans="1:58" s="143" customFormat="1">
      <c r="A25" s="210"/>
      <c r="B25" s="211"/>
      <c r="C25" s="140"/>
      <c r="D25" s="210"/>
      <c r="G25" s="212"/>
      <c r="H25" s="212"/>
      <c r="I25" s="213"/>
      <c r="J25" s="212"/>
      <c r="K25" s="214"/>
      <c r="L25" s="159"/>
      <c r="M25" s="215"/>
      <c r="N25" s="216"/>
      <c r="O25" s="217"/>
      <c r="P25" s="216"/>
      <c r="Q25" s="216"/>
      <c r="R25" s="216"/>
      <c r="S25" s="217"/>
      <c r="T25" s="216"/>
      <c r="U25" s="216"/>
      <c r="V25" s="216"/>
      <c r="W25" s="217"/>
      <c r="X25" s="216"/>
      <c r="Y25" s="216"/>
      <c r="Z25" s="216"/>
      <c r="AA25" s="217"/>
      <c r="AB25" s="216"/>
      <c r="AC25" s="216"/>
      <c r="AD25" s="216"/>
      <c r="AE25" s="217"/>
      <c r="AF25" s="216"/>
      <c r="AG25" s="216"/>
      <c r="AH25" s="216"/>
      <c r="AI25" s="217"/>
      <c r="AJ25" s="216"/>
      <c r="AK25" s="216"/>
      <c r="AL25" s="216"/>
      <c r="AM25" s="217"/>
      <c r="AN25" s="216"/>
      <c r="AO25" s="216"/>
      <c r="AP25" s="216"/>
      <c r="AQ25" s="217"/>
      <c r="AR25" s="216"/>
      <c r="AS25" s="216"/>
      <c r="AT25" s="218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</row>
    <row r="26" spans="1:58" s="143" customFormat="1">
      <c r="A26" s="210"/>
      <c r="B26" s="211"/>
      <c r="C26" s="140"/>
      <c r="D26" s="210"/>
      <c r="G26" s="212"/>
      <c r="H26" s="212"/>
      <c r="I26" s="213"/>
      <c r="J26" s="212"/>
      <c r="K26" s="214"/>
      <c r="L26" s="159"/>
      <c r="M26" s="215"/>
      <c r="N26" s="216"/>
      <c r="O26" s="217"/>
      <c r="P26" s="216"/>
      <c r="Q26" s="216"/>
      <c r="R26" s="216"/>
      <c r="S26" s="217"/>
      <c r="T26" s="216"/>
      <c r="U26" s="216"/>
      <c r="V26" s="216"/>
      <c r="W26" s="217"/>
      <c r="X26" s="216"/>
      <c r="Y26" s="216"/>
      <c r="Z26" s="216"/>
      <c r="AA26" s="217"/>
      <c r="AB26" s="216"/>
      <c r="AC26" s="216"/>
      <c r="AD26" s="216"/>
      <c r="AE26" s="217"/>
      <c r="AF26" s="216"/>
      <c r="AG26" s="216"/>
      <c r="AH26" s="216"/>
      <c r="AI26" s="217"/>
      <c r="AJ26" s="216"/>
      <c r="AK26" s="216"/>
      <c r="AL26" s="216"/>
      <c r="AM26" s="217"/>
      <c r="AN26" s="216"/>
      <c r="AO26" s="216"/>
      <c r="AP26" s="216"/>
      <c r="AQ26" s="217"/>
      <c r="AR26" s="216"/>
      <c r="AS26" s="216"/>
      <c r="AT26" s="218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</row>
    <row r="27" spans="1:58" s="143" customFormat="1">
      <c r="A27" s="210"/>
      <c r="B27" s="211"/>
      <c r="C27" s="140"/>
      <c r="D27" s="210"/>
      <c r="G27" s="212"/>
      <c r="H27" s="212"/>
      <c r="I27" s="213"/>
      <c r="J27" s="212"/>
      <c r="K27" s="214"/>
      <c r="L27" s="159"/>
      <c r="M27" s="215"/>
      <c r="N27" s="216"/>
      <c r="O27" s="217"/>
      <c r="P27" s="216"/>
      <c r="Q27" s="216"/>
      <c r="R27" s="216"/>
      <c r="S27" s="217"/>
      <c r="T27" s="216"/>
      <c r="U27" s="216"/>
      <c r="V27" s="216"/>
      <c r="W27" s="217"/>
      <c r="X27" s="216"/>
      <c r="Y27" s="216"/>
      <c r="Z27" s="216"/>
      <c r="AA27" s="217"/>
      <c r="AB27" s="216"/>
      <c r="AC27" s="216"/>
      <c r="AD27" s="216"/>
      <c r="AE27" s="217"/>
      <c r="AF27" s="216"/>
      <c r="AG27" s="216"/>
      <c r="AH27" s="216"/>
      <c r="AI27" s="217"/>
      <c r="AJ27" s="216"/>
      <c r="AK27" s="216"/>
      <c r="AL27" s="216"/>
      <c r="AM27" s="217"/>
      <c r="AN27" s="216"/>
      <c r="AO27" s="216"/>
      <c r="AP27" s="216"/>
      <c r="AQ27" s="217"/>
      <c r="AR27" s="216"/>
      <c r="AS27" s="216"/>
      <c r="AT27" s="218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</row>
    <row r="28" spans="1:58" s="143" customFormat="1">
      <c r="A28" s="210"/>
      <c r="B28" s="211"/>
      <c r="C28" s="140"/>
      <c r="D28" s="210"/>
      <c r="G28" s="212"/>
      <c r="H28" s="212"/>
      <c r="I28" s="213"/>
      <c r="J28" s="212"/>
      <c r="K28" s="214"/>
      <c r="L28" s="159"/>
      <c r="M28" s="215"/>
      <c r="N28" s="216"/>
      <c r="O28" s="217"/>
      <c r="P28" s="216"/>
      <c r="Q28" s="216"/>
      <c r="R28" s="216"/>
      <c r="S28" s="217"/>
      <c r="T28" s="216"/>
      <c r="U28" s="216"/>
      <c r="V28" s="216"/>
      <c r="W28" s="217"/>
      <c r="X28" s="216"/>
      <c r="Y28" s="216"/>
      <c r="Z28" s="216"/>
      <c r="AA28" s="217"/>
      <c r="AB28" s="216"/>
      <c r="AC28" s="216"/>
      <c r="AD28" s="216"/>
      <c r="AE28" s="217"/>
      <c r="AF28" s="216"/>
      <c r="AG28" s="216"/>
      <c r="AH28" s="216"/>
      <c r="AI28" s="217"/>
      <c r="AJ28" s="216"/>
      <c r="AK28" s="216"/>
      <c r="AL28" s="216"/>
      <c r="AM28" s="217"/>
      <c r="AN28" s="216"/>
      <c r="AO28" s="216"/>
      <c r="AP28" s="216"/>
      <c r="AQ28" s="217"/>
      <c r="AR28" s="216"/>
      <c r="AS28" s="216"/>
      <c r="AT28" s="218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</row>
    <row r="29" spans="1:58" s="143" customFormat="1">
      <c r="A29" s="210"/>
      <c r="B29" s="211"/>
      <c r="C29" s="140"/>
      <c r="D29" s="210"/>
      <c r="G29" s="212"/>
      <c r="H29" s="212"/>
      <c r="I29" s="213"/>
      <c r="J29" s="212"/>
      <c r="K29" s="214"/>
      <c r="L29" s="159"/>
      <c r="M29" s="215"/>
      <c r="N29" s="216"/>
      <c r="O29" s="217"/>
      <c r="P29" s="216"/>
      <c r="Q29" s="216"/>
      <c r="R29" s="216"/>
      <c r="S29" s="217"/>
      <c r="T29" s="216"/>
      <c r="U29" s="216"/>
      <c r="V29" s="216"/>
      <c r="W29" s="217"/>
      <c r="X29" s="216"/>
      <c r="Y29" s="216"/>
      <c r="Z29" s="216"/>
      <c r="AA29" s="217"/>
      <c r="AB29" s="216"/>
      <c r="AC29" s="216"/>
      <c r="AD29" s="216"/>
      <c r="AE29" s="217"/>
      <c r="AF29" s="216"/>
      <c r="AG29" s="216"/>
      <c r="AH29" s="216"/>
      <c r="AI29" s="217"/>
      <c r="AJ29" s="216"/>
      <c r="AK29" s="216"/>
      <c r="AL29" s="216"/>
      <c r="AM29" s="217"/>
      <c r="AN29" s="216"/>
      <c r="AO29" s="216"/>
      <c r="AP29" s="216"/>
      <c r="AQ29" s="217"/>
      <c r="AR29" s="216"/>
      <c r="AS29" s="216"/>
      <c r="AT29" s="218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</row>
    <row r="30" spans="1:58" s="143" customFormat="1">
      <c r="A30" s="210"/>
      <c r="B30" s="211"/>
      <c r="C30" s="140"/>
      <c r="D30" s="210"/>
      <c r="G30" s="212"/>
      <c r="H30" s="212"/>
      <c r="I30" s="213"/>
      <c r="J30" s="212"/>
      <c r="K30" s="214"/>
      <c r="L30" s="159"/>
      <c r="M30" s="215"/>
      <c r="N30" s="216"/>
      <c r="O30" s="217"/>
      <c r="P30" s="216"/>
      <c r="Q30" s="216"/>
      <c r="R30" s="216"/>
      <c r="S30" s="217"/>
      <c r="T30" s="216"/>
      <c r="U30" s="216"/>
      <c r="V30" s="216"/>
      <c r="W30" s="217"/>
      <c r="X30" s="216"/>
      <c r="Y30" s="216"/>
      <c r="Z30" s="216"/>
      <c r="AA30" s="217"/>
      <c r="AB30" s="216"/>
      <c r="AC30" s="216"/>
      <c r="AD30" s="216"/>
      <c r="AE30" s="217"/>
      <c r="AF30" s="216"/>
      <c r="AG30" s="216"/>
      <c r="AH30" s="216"/>
      <c r="AI30" s="217"/>
      <c r="AJ30" s="216"/>
      <c r="AK30" s="216"/>
      <c r="AL30" s="216"/>
      <c r="AM30" s="217"/>
      <c r="AN30" s="216"/>
      <c r="AO30" s="216"/>
      <c r="AP30" s="216"/>
      <c r="AQ30" s="217"/>
      <c r="AR30" s="216"/>
      <c r="AS30" s="216"/>
      <c r="AT30" s="218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</row>
    <row r="31" spans="1:58" s="143" customFormat="1">
      <c r="A31" s="210"/>
      <c r="B31" s="211"/>
      <c r="C31" s="140"/>
      <c r="D31" s="210"/>
      <c r="G31" s="212"/>
      <c r="H31" s="212"/>
      <c r="I31" s="213"/>
      <c r="J31" s="212"/>
      <c r="K31" s="214"/>
      <c r="L31" s="159"/>
      <c r="M31" s="215"/>
      <c r="N31" s="216"/>
      <c r="O31" s="217"/>
      <c r="P31" s="216"/>
      <c r="Q31" s="216"/>
      <c r="R31" s="216"/>
      <c r="S31" s="217"/>
      <c r="T31" s="216"/>
      <c r="U31" s="216"/>
      <c r="V31" s="216"/>
      <c r="W31" s="217"/>
      <c r="X31" s="216"/>
      <c r="Y31" s="216"/>
      <c r="Z31" s="216"/>
      <c r="AA31" s="217"/>
      <c r="AB31" s="216"/>
      <c r="AC31" s="216"/>
      <c r="AD31" s="216"/>
      <c r="AE31" s="217"/>
      <c r="AF31" s="216"/>
      <c r="AG31" s="216"/>
      <c r="AH31" s="216"/>
      <c r="AI31" s="217"/>
      <c r="AJ31" s="216"/>
      <c r="AK31" s="216"/>
      <c r="AL31" s="216"/>
      <c r="AM31" s="217"/>
      <c r="AN31" s="216"/>
      <c r="AO31" s="216"/>
      <c r="AP31" s="216"/>
      <c r="AQ31" s="217"/>
      <c r="AR31" s="216"/>
      <c r="AS31" s="216"/>
      <c r="AT31" s="218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</row>
    <row r="32" spans="1:58" s="143" customFormat="1">
      <c r="A32" s="210"/>
      <c r="B32" s="211"/>
      <c r="C32" s="140"/>
      <c r="D32" s="210"/>
      <c r="G32" s="212"/>
      <c r="H32" s="212"/>
      <c r="I32" s="213"/>
      <c r="J32" s="212"/>
      <c r="K32" s="214"/>
      <c r="L32" s="159"/>
      <c r="M32" s="215"/>
      <c r="N32" s="216"/>
      <c r="O32" s="217"/>
      <c r="P32" s="216"/>
      <c r="Q32" s="216"/>
      <c r="R32" s="216"/>
      <c r="S32" s="217"/>
      <c r="T32" s="216"/>
      <c r="U32" s="216"/>
      <c r="V32" s="216"/>
      <c r="W32" s="217"/>
      <c r="X32" s="216"/>
      <c r="Y32" s="216"/>
      <c r="Z32" s="216"/>
      <c r="AA32" s="217"/>
      <c r="AB32" s="216"/>
      <c r="AC32" s="216"/>
      <c r="AD32" s="216"/>
      <c r="AE32" s="217"/>
      <c r="AF32" s="216"/>
      <c r="AG32" s="216"/>
      <c r="AH32" s="216"/>
      <c r="AI32" s="217"/>
      <c r="AJ32" s="216"/>
      <c r="AK32" s="216"/>
      <c r="AL32" s="216"/>
      <c r="AM32" s="217"/>
      <c r="AN32" s="216"/>
      <c r="AO32" s="216"/>
      <c r="AP32" s="216"/>
      <c r="AQ32" s="217"/>
      <c r="AR32" s="216"/>
      <c r="AS32" s="216"/>
      <c r="AT32" s="218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</row>
    <row r="33" spans="1:58" s="143" customFormat="1">
      <c r="A33" s="210"/>
      <c r="B33" s="211"/>
      <c r="C33" s="140"/>
      <c r="D33" s="210"/>
      <c r="G33" s="212"/>
      <c r="H33" s="212"/>
      <c r="I33" s="213"/>
      <c r="J33" s="212"/>
      <c r="K33" s="214"/>
      <c r="L33" s="159"/>
      <c r="M33" s="215"/>
      <c r="N33" s="216"/>
      <c r="O33" s="217"/>
      <c r="P33" s="216"/>
      <c r="Q33" s="216"/>
      <c r="R33" s="216"/>
      <c r="S33" s="217"/>
      <c r="T33" s="216"/>
      <c r="U33" s="216"/>
      <c r="V33" s="216"/>
      <c r="W33" s="217"/>
      <c r="X33" s="216"/>
      <c r="Y33" s="216"/>
      <c r="Z33" s="216"/>
      <c r="AA33" s="217"/>
      <c r="AB33" s="216"/>
      <c r="AC33" s="216"/>
      <c r="AD33" s="216"/>
      <c r="AE33" s="217"/>
      <c r="AF33" s="216"/>
      <c r="AG33" s="216"/>
      <c r="AH33" s="216"/>
      <c r="AI33" s="217"/>
      <c r="AJ33" s="216"/>
      <c r="AK33" s="216"/>
      <c r="AL33" s="216"/>
      <c r="AM33" s="217"/>
      <c r="AN33" s="216"/>
      <c r="AO33" s="216"/>
      <c r="AP33" s="216"/>
      <c r="AQ33" s="217"/>
      <c r="AR33" s="216"/>
      <c r="AS33" s="216"/>
      <c r="AT33" s="218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</row>
    <row r="34" spans="1:58" s="143" customFormat="1">
      <c r="A34" s="210"/>
      <c r="B34" s="211"/>
      <c r="C34" s="140"/>
      <c r="D34" s="210"/>
      <c r="G34" s="212"/>
      <c r="H34" s="212"/>
      <c r="I34" s="213"/>
      <c r="J34" s="212"/>
      <c r="K34" s="214"/>
      <c r="L34" s="159"/>
      <c r="M34" s="215"/>
      <c r="N34" s="216"/>
      <c r="O34" s="217"/>
      <c r="P34" s="216"/>
      <c r="Q34" s="216"/>
      <c r="R34" s="216"/>
      <c r="S34" s="217"/>
      <c r="T34" s="216"/>
      <c r="U34" s="216"/>
      <c r="V34" s="216"/>
      <c r="W34" s="217"/>
      <c r="X34" s="216"/>
      <c r="Y34" s="216"/>
      <c r="Z34" s="216"/>
      <c r="AA34" s="217"/>
      <c r="AB34" s="216"/>
      <c r="AC34" s="216"/>
      <c r="AD34" s="216"/>
      <c r="AE34" s="217"/>
      <c r="AF34" s="216"/>
      <c r="AG34" s="216"/>
      <c r="AH34" s="216"/>
      <c r="AI34" s="217"/>
      <c r="AJ34" s="216"/>
      <c r="AK34" s="216"/>
      <c r="AL34" s="216"/>
      <c r="AM34" s="217"/>
      <c r="AN34" s="216"/>
      <c r="AO34" s="216"/>
      <c r="AP34" s="216"/>
      <c r="AQ34" s="217"/>
      <c r="AR34" s="216"/>
      <c r="AS34" s="216"/>
      <c r="AT34" s="218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</row>
    <row r="35" spans="1:58" s="143" customFormat="1">
      <c r="A35" s="210"/>
      <c r="B35" s="211"/>
      <c r="C35" s="140"/>
      <c r="D35" s="210"/>
      <c r="G35" s="212"/>
      <c r="H35" s="212"/>
      <c r="I35" s="213"/>
      <c r="J35" s="212"/>
      <c r="K35" s="214"/>
      <c r="L35" s="159"/>
      <c r="M35" s="215"/>
      <c r="N35" s="216"/>
      <c r="O35" s="217"/>
      <c r="P35" s="216"/>
      <c r="Q35" s="216"/>
      <c r="R35" s="216"/>
      <c r="S35" s="217"/>
      <c r="T35" s="216"/>
      <c r="U35" s="216"/>
      <c r="V35" s="216"/>
      <c r="W35" s="217"/>
      <c r="X35" s="216"/>
      <c r="Y35" s="216"/>
      <c r="Z35" s="216"/>
      <c r="AA35" s="217"/>
      <c r="AB35" s="216"/>
      <c r="AC35" s="216"/>
      <c r="AD35" s="216"/>
      <c r="AE35" s="217"/>
      <c r="AF35" s="216"/>
      <c r="AG35" s="216"/>
      <c r="AH35" s="216"/>
      <c r="AI35" s="217"/>
      <c r="AJ35" s="216"/>
      <c r="AK35" s="216"/>
      <c r="AL35" s="216"/>
      <c r="AM35" s="217"/>
      <c r="AN35" s="216"/>
      <c r="AO35" s="216"/>
      <c r="AP35" s="216"/>
      <c r="AQ35" s="217"/>
      <c r="AR35" s="216"/>
      <c r="AS35" s="216"/>
      <c r="AT35" s="218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</row>
    <row r="36" spans="1:58" s="143" customFormat="1">
      <c r="A36" s="210"/>
      <c r="B36" s="211"/>
      <c r="C36" s="140"/>
      <c r="D36" s="210"/>
      <c r="G36" s="212"/>
      <c r="H36" s="212"/>
      <c r="I36" s="213"/>
      <c r="J36" s="212"/>
      <c r="K36" s="214"/>
      <c r="L36" s="159"/>
      <c r="M36" s="215"/>
      <c r="N36" s="216"/>
      <c r="O36" s="217"/>
      <c r="P36" s="216"/>
      <c r="Q36" s="216"/>
      <c r="R36" s="216"/>
      <c r="S36" s="217"/>
      <c r="T36" s="216"/>
      <c r="U36" s="216"/>
      <c r="V36" s="216"/>
      <c r="W36" s="217"/>
      <c r="X36" s="216"/>
      <c r="Y36" s="216"/>
      <c r="Z36" s="216"/>
      <c r="AA36" s="217"/>
      <c r="AB36" s="216"/>
      <c r="AC36" s="216"/>
      <c r="AD36" s="216"/>
      <c r="AE36" s="217"/>
      <c r="AF36" s="216"/>
      <c r="AG36" s="216"/>
      <c r="AH36" s="216"/>
      <c r="AI36" s="217"/>
      <c r="AJ36" s="216"/>
      <c r="AK36" s="216"/>
      <c r="AL36" s="216"/>
      <c r="AM36" s="217"/>
      <c r="AN36" s="216"/>
      <c r="AO36" s="216"/>
      <c r="AP36" s="216"/>
      <c r="AQ36" s="217"/>
      <c r="AR36" s="216"/>
      <c r="AS36" s="216"/>
      <c r="AT36" s="218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</row>
    <row r="37" spans="1:58" s="143" customFormat="1">
      <c r="A37" s="210"/>
      <c r="B37" s="211"/>
      <c r="C37" s="140"/>
      <c r="D37" s="210"/>
      <c r="G37" s="212"/>
      <c r="H37" s="212"/>
      <c r="I37" s="213"/>
      <c r="J37" s="212"/>
      <c r="K37" s="214"/>
      <c r="L37" s="159"/>
      <c r="M37" s="215"/>
      <c r="N37" s="216"/>
      <c r="O37" s="217"/>
      <c r="P37" s="216"/>
      <c r="Q37" s="216"/>
      <c r="R37" s="216"/>
      <c r="S37" s="217"/>
      <c r="T37" s="216"/>
      <c r="U37" s="216"/>
      <c r="V37" s="216"/>
      <c r="W37" s="217"/>
      <c r="X37" s="216"/>
      <c r="Y37" s="216"/>
      <c r="Z37" s="216"/>
      <c r="AA37" s="217"/>
      <c r="AB37" s="216"/>
      <c r="AC37" s="216"/>
      <c r="AD37" s="216"/>
      <c r="AE37" s="217"/>
      <c r="AF37" s="216"/>
      <c r="AG37" s="216"/>
      <c r="AH37" s="216"/>
      <c r="AI37" s="217"/>
      <c r="AJ37" s="216"/>
      <c r="AK37" s="216"/>
      <c r="AL37" s="216"/>
      <c r="AM37" s="217"/>
      <c r="AN37" s="216"/>
      <c r="AO37" s="216"/>
      <c r="AP37" s="216"/>
      <c r="AQ37" s="217"/>
      <c r="AR37" s="216"/>
      <c r="AS37" s="216"/>
      <c r="AT37" s="218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</row>
    <row r="38" spans="1:58" s="143" customFormat="1">
      <c r="A38" s="210"/>
      <c r="B38" s="211"/>
      <c r="C38" s="140"/>
      <c r="D38" s="210"/>
      <c r="G38" s="212"/>
      <c r="H38" s="212"/>
      <c r="I38" s="213"/>
      <c r="J38" s="212"/>
      <c r="K38" s="214"/>
      <c r="L38" s="159"/>
      <c r="M38" s="215"/>
      <c r="N38" s="216"/>
      <c r="O38" s="217"/>
      <c r="P38" s="216"/>
      <c r="Q38" s="216"/>
      <c r="R38" s="216"/>
      <c r="S38" s="217"/>
      <c r="T38" s="216"/>
      <c r="U38" s="216"/>
      <c r="V38" s="216"/>
      <c r="W38" s="217"/>
      <c r="X38" s="216"/>
      <c r="Y38" s="216"/>
      <c r="Z38" s="216"/>
      <c r="AA38" s="217"/>
      <c r="AB38" s="216"/>
      <c r="AC38" s="216"/>
      <c r="AD38" s="216"/>
      <c r="AE38" s="217"/>
      <c r="AF38" s="216"/>
      <c r="AG38" s="216"/>
      <c r="AH38" s="216"/>
      <c r="AI38" s="217"/>
      <c r="AJ38" s="216"/>
      <c r="AK38" s="216"/>
      <c r="AL38" s="216"/>
      <c r="AM38" s="217"/>
      <c r="AN38" s="216"/>
      <c r="AO38" s="216"/>
      <c r="AP38" s="216"/>
      <c r="AQ38" s="217"/>
      <c r="AR38" s="216"/>
      <c r="AS38" s="216"/>
      <c r="AT38" s="218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</row>
    <row r="39" spans="1:58" s="143" customFormat="1">
      <c r="A39" s="210"/>
      <c r="B39" s="211"/>
      <c r="C39" s="140"/>
      <c r="D39" s="210"/>
      <c r="G39" s="212"/>
      <c r="H39" s="212"/>
      <c r="I39" s="213"/>
      <c r="J39" s="212"/>
      <c r="K39" s="214"/>
      <c r="L39" s="159"/>
      <c r="M39" s="215"/>
      <c r="N39" s="216"/>
      <c r="O39" s="217"/>
      <c r="P39" s="216"/>
      <c r="Q39" s="216"/>
      <c r="R39" s="216"/>
      <c r="S39" s="217"/>
      <c r="T39" s="216"/>
      <c r="U39" s="216"/>
      <c r="V39" s="216"/>
      <c r="W39" s="217"/>
      <c r="X39" s="216"/>
      <c r="Y39" s="216"/>
      <c r="Z39" s="216"/>
      <c r="AA39" s="217"/>
      <c r="AB39" s="216"/>
      <c r="AC39" s="216"/>
      <c r="AD39" s="216"/>
      <c r="AE39" s="217"/>
      <c r="AF39" s="216"/>
      <c r="AG39" s="216"/>
      <c r="AH39" s="216"/>
      <c r="AI39" s="217"/>
      <c r="AJ39" s="216"/>
      <c r="AK39" s="216"/>
      <c r="AL39" s="216"/>
      <c r="AM39" s="217"/>
      <c r="AN39" s="216"/>
      <c r="AO39" s="216"/>
      <c r="AP39" s="216"/>
      <c r="AQ39" s="217"/>
      <c r="AR39" s="216"/>
      <c r="AS39" s="216"/>
      <c r="AT39" s="218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</row>
    <row r="40" spans="1:58" s="143" customFormat="1">
      <c r="A40" s="210"/>
      <c r="B40" s="211"/>
      <c r="C40" s="140"/>
      <c r="D40" s="210"/>
      <c r="G40" s="212"/>
      <c r="H40" s="212"/>
      <c r="I40" s="213"/>
      <c r="J40" s="212"/>
      <c r="K40" s="214"/>
      <c r="L40" s="159"/>
      <c r="M40" s="215"/>
      <c r="N40" s="216"/>
      <c r="O40" s="217"/>
      <c r="P40" s="216"/>
      <c r="Q40" s="216"/>
      <c r="R40" s="216"/>
      <c r="S40" s="217"/>
      <c r="T40" s="216"/>
      <c r="U40" s="216"/>
      <c r="V40" s="216"/>
      <c r="W40" s="217"/>
      <c r="X40" s="216"/>
      <c r="Y40" s="216"/>
      <c r="Z40" s="216"/>
      <c r="AA40" s="217"/>
      <c r="AB40" s="216"/>
      <c r="AC40" s="216"/>
      <c r="AD40" s="216"/>
      <c r="AE40" s="217"/>
      <c r="AF40" s="216"/>
      <c r="AG40" s="216"/>
      <c r="AH40" s="216"/>
      <c r="AI40" s="217"/>
      <c r="AJ40" s="216"/>
      <c r="AK40" s="216"/>
      <c r="AL40" s="216"/>
      <c r="AM40" s="217"/>
      <c r="AN40" s="216"/>
      <c r="AO40" s="216"/>
      <c r="AP40" s="216"/>
      <c r="AQ40" s="217"/>
      <c r="AR40" s="216"/>
      <c r="AS40" s="216"/>
      <c r="AT40" s="218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</row>
    <row r="41" spans="1:58" s="143" customFormat="1">
      <c r="A41" s="210"/>
      <c r="B41" s="211"/>
      <c r="C41" s="140"/>
      <c r="D41" s="210"/>
      <c r="G41" s="212"/>
      <c r="H41" s="212"/>
      <c r="I41" s="213"/>
      <c r="J41" s="212"/>
      <c r="K41" s="214"/>
      <c r="L41" s="159"/>
      <c r="M41" s="215"/>
      <c r="N41" s="216"/>
      <c r="O41" s="217"/>
      <c r="P41" s="216"/>
      <c r="Q41" s="216"/>
      <c r="R41" s="216"/>
      <c r="S41" s="217"/>
      <c r="T41" s="216"/>
      <c r="U41" s="216"/>
      <c r="V41" s="216"/>
      <c r="W41" s="217"/>
      <c r="X41" s="216"/>
      <c r="Y41" s="216"/>
      <c r="Z41" s="216"/>
      <c r="AA41" s="217"/>
      <c r="AB41" s="216"/>
      <c r="AC41" s="216"/>
      <c r="AD41" s="216"/>
      <c r="AE41" s="217"/>
      <c r="AF41" s="216"/>
      <c r="AG41" s="216"/>
      <c r="AH41" s="216"/>
      <c r="AI41" s="217"/>
      <c r="AJ41" s="216"/>
      <c r="AK41" s="216"/>
      <c r="AL41" s="216"/>
      <c r="AM41" s="217"/>
      <c r="AN41" s="216"/>
      <c r="AO41" s="216"/>
      <c r="AP41" s="216"/>
      <c r="AQ41" s="217"/>
      <c r="AR41" s="216"/>
      <c r="AS41" s="216"/>
      <c r="AT41" s="218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</row>
    <row r="42" spans="1:58" s="143" customFormat="1">
      <c r="A42" s="210"/>
      <c r="B42" s="211"/>
      <c r="C42" s="140"/>
      <c r="D42" s="210"/>
      <c r="G42" s="212"/>
      <c r="H42" s="212"/>
      <c r="I42" s="213"/>
      <c r="J42" s="212"/>
      <c r="K42" s="214"/>
      <c r="L42" s="159"/>
      <c r="M42" s="215"/>
      <c r="N42" s="216"/>
      <c r="O42" s="217"/>
      <c r="P42" s="216"/>
      <c r="Q42" s="216"/>
      <c r="R42" s="216"/>
      <c r="S42" s="217"/>
      <c r="T42" s="216"/>
      <c r="U42" s="216"/>
      <c r="V42" s="216"/>
      <c r="W42" s="217"/>
      <c r="X42" s="216"/>
      <c r="Y42" s="216"/>
      <c r="Z42" s="216"/>
      <c r="AA42" s="217"/>
      <c r="AB42" s="216"/>
      <c r="AC42" s="216"/>
      <c r="AD42" s="216"/>
      <c r="AE42" s="217"/>
      <c r="AF42" s="216"/>
      <c r="AG42" s="216"/>
      <c r="AH42" s="216"/>
      <c r="AI42" s="217"/>
      <c r="AJ42" s="216"/>
      <c r="AK42" s="216"/>
      <c r="AL42" s="216"/>
      <c r="AM42" s="217"/>
      <c r="AN42" s="216"/>
      <c r="AO42" s="216"/>
      <c r="AP42" s="216"/>
      <c r="AQ42" s="217"/>
      <c r="AR42" s="216"/>
      <c r="AS42" s="216"/>
      <c r="AT42" s="218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</row>
    <row r="43" spans="1:58" s="143" customFormat="1">
      <c r="A43" s="210"/>
      <c r="B43" s="211"/>
      <c r="C43" s="140"/>
      <c r="D43" s="210"/>
      <c r="G43" s="212"/>
      <c r="H43" s="212"/>
      <c r="I43" s="213"/>
      <c r="J43" s="212"/>
      <c r="K43" s="214"/>
      <c r="L43" s="159"/>
      <c r="M43" s="215"/>
      <c r="N43" s="216"/>
      <c r="O43" s="217"/>
      <c r="P43" s="216"/>
      <c r="Q43" s="216"/>
      <c r="R43" s="216"/>
      <c r="S43" s="217"/>
      <c r="T43" s="216"/>
      <c r="U43" s="216"/>
      <c r="V43" s="216"/>
      <c r="W43" s="217"/>
      <c r="X43" s="216"/>
      <c r="Y43" s="216"/>
      <c r="Z43" s="216"/>
      <c r="AA43" s="217"/>
      <c r="AB43" s="216"/>
      <c r="AC43" s="216"/>
      <c r="AD43" s="216"/>
      <c r="AE43" s="217"/>
      <c r="AF43" s="216"/>
      <c r="AG43" s="216"/>
      <c r="AH43" s="216"/>
      <c r="AI43" s="217"/>
      <c r="AJ43" s="216"/>
      <c r="AK43" s="216"/>
      <c r="AL43" s="216"/>
      <c r="AM43" s="217"/>
      <c r="AN43" s="216"/>
      <c r="AO43" s="216"/>
      <c r="AP43" s="216"/>
      <c r="AQ43" s="217"/>
      <c r="AR43" s="216"/>
      <c r="AS43" s="216"/>
      <c r="AT43" s="218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</row>
    <row r="44" spans="1:58" s="143" customFormat="1">
      <c r="A44" s="210"/>
      <c r="B44" s="211"/>
      <c r="C44" s="140"/>
      <c r="D44" s="210"/>
      <c r="G44" s="212"/>
      <c r="H44" s="212"/>
      <c r="I44" s="213"/>
      <c r="J44" s="212"/>
      <c r="K44" s="214"/>
      <c r="L44" s="159"/>
      <c r="M44" s="215"/>
      <c r="N44" s="216"/>
      <c r="O44" s="217"/>
      <c r="P44" s="216"/>
      <c r="Q44" s="216"/>
      <c r="R44" s="216"/>
      <c r="S44" s="217"/>
      <c r="T44" s="216"/>
      <c r="U44" s="216"/>
      <c r="V44" s="216"/>
      <c r="W44" s="217"/>
      <c r="X44" s="216"/>
      <c r="Y44" s="216"/>
      <c r="Z44" s="216"/>
      <c r="AA44" s="217"/>
      <c r="AB44" s="216"/>
      <c r="AC44" s="216"/>
      <c r="AD44" s="216"/>
      <c r="AE44" s="217"/>
      <c r="AF44" s="216"/>
      <c r="AG44" s="216"/>
      <c r="AH44" s="216"/>
      <c r="AI44" s="217"/>
      <c r="AJ44" s="216"/>
      <c r="AK44" s="216"/>
      <c r="AL44" s="216"/>
      <c r="AM44" s="217"/>
      <c r="AN44" s="216"/>
      <c r="AO44" s="216"/>
      <c r="AP44" s="216"/>
      <c r="AQ44" s="217"/>
      <c r="AR44" s="216"/>
      <c r="AS44" s="216"/>
      <c r="AT44" s="218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</row>
    <row r="45" spans="1:58" s="143" customFormat="1">
      <c r="A45" s="210"/>
      <c r="B45" s="211"/>
      <c r="C45" s="140"/>
      <c r="D45" s="210"/>
      <c r="G45" s="212"/>
      <c r="H45" s="212"/>
      <c r="I45" s="213"/>
      <c r="J45" s="212"/>
      <c r="K45" s="214"/>
      <c r="L45" s="159"/>
      <c r="M45" s="215"/>
      <c r="N45" s="216"/>
      <c r="O45" s="217"/>
      <c r="P45" s="216"/>
      <c r="Q45" s="216"/>
      <c r="R45" s="216"/>
      <c r="S45" s="217"/>
      <c r="T45" s="216"/>
      <c r="U45" s="216"/>
      <c r="V45" s="216"/>
      <c r="W45" s="217"/>
      <c r="X45" s="216"/>
      <c r="Y45" s="216"/>
      <c r="Z45" s="216"/>
      <c r="AA45" s="217"/>
      <c r="AB45" s="216"/>
      <c r="AC45" s="216"/>
      <c r="AD45" s="216"/>
      <c r="AE45" s="217"/>
      <c r="AF45" s="216"/>
      <c r="AG45" s="216"/>
      <c r="AH45" s="216"/>
      <c r="AI45" s="217"/>
      <c r="AJ45" s="216"/>
      <c r="AK45" s="216"/>
      <c r="AL45" s="216"/>
      <c r="AM45" s="217"/>
      <c r="AN45" s="216"/>
      <c r="AO45" s="216"/>
      <c r="AP45" s="216"/>
      <c r="AQ45" s="217"/>
      <c r="AR45" s="216"/>
      <c r="AS45" s="216"/>
      <c r="AT45" s="218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</row>
    <row r="46" spans="1:58" s="143" customFormat="1">
      <c r="A46" s="210"/>
      <c r="B46" s="211"/>
      <c r="C46" s="140"/>
      <c r="D46" s="210"/>
      <c r="G46" s="212"/>
      <c r="H46" s="212"/>
      <c r="I46" s="213"/>
      <c r="J46" s="212"/>
      <c r="K46" s="214"/>
      <c r="L46" s="159"/>
      <c r="M46" s="215"/>
      <c r="N46" s="216"/>
      <c r="O46" s="217"/>
      <c r="P46" s="216"/>
      <c r="Q46" s="216"/>
      <c r="R46" s="216"/>
      <c r="S46" s="217"/>
      <c r="T46" s="216"/>
      <c r="U46" s="216"/>
      <c r="V46" s="216"/>
      <c r="W46" s="217"/>
      <c r="X46" s="216"/>
      <c r="Y46" s="216"/>
      <c r="Z46" s="216"/>
      <c r="AA46" s="217"/>
      <c r="AB46" s="216"/>
      <c r="AC46" s="216"/>
      <c r="AD46" s="216"/>
      <c r="AE46" s="217"/>
      <c r="AF46" s="216"/>
      <c r="AG46" s="216"/>
      <c r="AH46" s="216"/>
      <c r="AI46" s="217"/>
      <c r="AJ46" s="216"/>
      <c r="AK46" s="216"/>
      <c r="AL46" s="216"/>
      <c r="AM46" s="217"/>
      <c r="AN46" s="216"/>
      <c r="AO46" s="216"/>
      <c r="AP46" s="216"/>
      <c r="AQ46" s="217"/>
      <c r="AR46" s="216"/>
      <c r="AS46" s="216"/>
      <c r="AT46" s="218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</row>
    <row r="47" spans="1:58" s="143" customFormat="1">
      <c r="A47" s="210"/>
      <c r="B47" s="211"/>
      <c r="C47" s="140"/>
      <c r="D47" s="210"/>
      <c r="G47" s="212"/>
      <c r="H47" s="212"/>
      <c r="I47" s="213"/>
      <c r="J47" s="212"/>
      <c r="K47" s="214"/>
      <c r="L47" s="159"/>
      <c r="M47" s="215"/>
      <c r="N47" s="216"/>
      <c r="O47" s="217"/>
      <c r="P47" s="216"/>
      <c r="Q47" s="216"/>
      <c r="R47" s="216"/>
      <c r="S47" s="217"/>
      <c r="T47" s="216"/>
      <c r="U47" s="216"/>
      <c r="V47" s="216"/>
      <c r="W47" s="217"/>
      <c r="X47" s="216"/>
      <c r="Y47" s="216"/>
      <c r="Z47" s="216"/>
      <c r="AA47" s="217"/>
      <c r="AB47" s="216"/>
      <c r="AC47" s="216"/>
      <c r="AD47" s="216"/>
      <c r="AE47" s="217"/>
      <c r="AF47" s="216"/>
      <c r="AG47" s="216"/>
      <c r="AH47" s="216"/>
      <c r="AI47" s="217"/>
      <c r="AJ47" s="216"/>
      <c r="AK47" s="216"/>
      <c r="AL47" s="216"/>
      <c r="AM47" s="217"/>
      <c r="AN47" s="216"/>
      <c r="AO47" s="216"/>
      <c r="AP47" s="216"/>
      <c r="AQ47" s="217"/>
      <c r="AR47" s="216"/>
      <c r="AS47" s="216"/>
      <c r="AT47" s="218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</row>
    <row r="48" spans="1:58" s="143" customFormat="1">
      <c r="A48" s="210"/>
      <c r="B48" s="211"/>
      <c r="C48" s="140"/>
      <c r="D48" s="210"/>
      <c r="G48" s="212"/>
      <c r="H48" s="212"/>
      <c r="I48" s="213"/>
      <c r="J48" s="212"/>
      <c r="K48" s="214"/>
      <c r="L48" s="159"/>
      <c r="M48" s="215"/>
      <c r="N48" s="216"/>
      <c r="O48" s="217"/>
      <c r="P48" s="216"/>
      <c r="Q48" s="216"/>
      <c r="R48" s="216"/>
      <c r="S48" s="217"/>
      <c r="T48" s="216"/>
      <c r="U48" s="216"/>
      <c r="V48" s="216"/>
      <c r="W48" s="217"/>
      <c r="X48" s="216"/>
      <c r="Y48" s="216"/>
      <c r="Z48" s="216"/>
      <c r="AA48" s="217"/>
      <c r="AB48" s="216"/>
      <c r="AC48" s="216"/>
      <c r="AD48" s="216"/>
      <c r="AE48" s="217"/>
      <c r="AF48" s="216"/>
      <c r="AG48" s="216"/>
      <c r="AH48" s="216"/>
      <c r="AI48" s="217"/>
      <c r="AJ48" s="216"/>
      <c r="AK48" s="216"/>
      <c r="AL48" s="216"/>
      <c r="AM48" s="217"/>
      <c r="AN48" s="216"/>
      <c r="AO48" s="216"/>
      <c r="AP48" s="216"/>
      <c r="AQ48" s="217"/>
      <c r="AR48" s="216"/>
      <c r="AS48" s="216"/>
      <c r="AT48" s="218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</row>
    <row r="49" spans="1:58" s="143" customFormat="1">
      <c r="A49" s="210"/>
      <c r="B49" s="211"/>
      <c r="C49" s="140"/>
      <c r="D49" s="210"/>
      <c r="G49" s="212"/>
      <c r="H49" s="212"/>
      <c r="I49" s="213"/>
      <c r="J49" s="212"/>
      <c r="K49" s="214"/>
      <c r="L49" s="159"/>
      <c r="M49" s="215"/>
      <c r="N49" s="216"/>
      <c r="O49" s="217"/>
      <c r="P49" s="216"/>
      <c r="Q49" s="216"/>
      <c r="R49" s="216"/>
      <c r="S49" s="217"/>
      <c r="T49" s="216"/>
      <c r="U49" s="216"/>
      <c r="V49" s="216"/>
      <c r="W49" s="217"/>
      <c r="X49" s="216"/>
      <c r="Y49" s="216"/>
      <c r="Z49" s="216"/>
      <c r="AA49" s="217"/>
      <c r="AB49" s="216"/>
      <c r="AC49" s="216"/>
      <c r="AD49" s="216"/>
      <c r="AE49" s="217"/>
      <c r="AF49" s="216"/>
      <c r="AG49" s="216"/>
      <c r="AH49" s="216"/>
      <c r="AI49" s="217"/>
      <c r="AJ49" s="216"/>
      <c r="AK49" s="216"/>
      <c r="AL49" s="216"/>
      <c r="AM49" s="217"/>
      <c r="AN49" s="216"/>
      <c r="AO49" s="216"/>
      <c r="AP49" s="216"/>
      <c r="AQ49" s="217"/>
      <c r="AR49" s="216"/>
      <c r="AS49" s="216"/>
      <c r="AT49" s="218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</row>
    <row r="50" spans="1:58" s="143" customFormat="1">
      <c r="A50" s="210"/>
      <c r="B50" s="211"/>
      <c r="C50" s="140"/>
      <c r="D50" s="210"/>
      <c r="G50" s="212"/>
      <c r="H50" s="212"/>
      <c r="I50" s="213"/>
      <c r="J50" s="212"/>
      <c r="K50" s="214"/>
      <c r="L50" s="159"/>
      <c r="M50" s="215"/>
      <c r="N50" s="216"/>
      <c r="O50" s="217"/>
      <c r="P50" s="216"/>
      <c r="Q50" s="216"/>
      <c r="R50" s="216"/>
      <c r="S50" s="217"/>
      <c r="T50" s="216"/>
      <c r="U50" s="216"/>
      <c r="V50" s="216"/>
      <c r="W50" s="217"/>
      <c r="X50" s="216"/>
      <c r="Y50" s="216"/>
      <c r="Z50" s="216"/>
      <c r="AA50" s="217"/>
      <c r="AB50" s="216"/>
      <c r="AC50" s="216"/>
      <c r="AD50" s="216"/>
      <c r="AE50" s="217"/>
      <c r="AF50" s="216"/>
      <c r="AG50" s="216"/>
      <c r="AH50" s="216"/>
      <c r="AI50" s="217"/>
      <c r="AJ50" s="216"/>
      <c r="AK50" s="216"/>
      <c r="AL50" s="216"/>
      <c r="AM50" s="217"/>
      <c r="AN50" s="216"/>
      <c r="AO50" s="216"/>
      <c r="AP50" s="216"/>
      <c r="AQ50" s="217"/>
      <c r="AR50" s="216"/>
      <c r="AS50" s="216"/>
      <c r="AT50" s="218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</row>
    <row r="51" spans="1:58" s="143" customFormat="1">
      <c r="A51" s="210"/>
      <c r="B51" s="211"/>
      <c r="C51" s="140"/>
      <c r="D51" s="210"/>
      <c r="G51" s="212"/>
      <c r="H51" s="212"/>
      <c r="I51" s="213"/>
      <c r="J51" s="212"/>
      <c r="K51" s="214"/>
      <c r="L51" s="159"/>
      <c r="M51" s="215"/>
      <c r="N51" s="216"/>
      <c r="O51" s="217"/>
      <c r="P51" s="216"/>
      <c r="Q51" s="216"/>
      <c r="R51" s="216"/>
      <c r="S51" s="217"/>
      <c r="T51" s="216"/>
      <c r="U51" s="216"/>
      <c r="V51" s="216"/>
      <c r="W51" s="217"/>
      <c r="X51" s="216"/>
      <c r="Y51" s="216"/>
      <c r="Z51" s="216"/>
      <c r="AA51" s="217"/>
      <c r="AB51" s="216"/>
      <c r="AC51" s="216"/>
      <c r="AD51" s="216"/>
      <c r="AE51" s="217"/>
      <c r="AF51" s="216"/>
      <c r="AG51" s="216"/>
      <c r="AH51" s="216"/>
      <c r="AI51" s="217"/>
      <c r="AJ51" s="216"/>
      <c r="AK51" s="216"/>
      <c r="AL51" s="216"/>
      <c r="AM51" s="217"/>
      <c r="AN51" s="216"/>
      <c r="AO51" s="216"/>
      <c r="AP51" s="216"/>
      <c r="AQ51" s="217"/>
      <c r="AR51" s="216"/>
      <c r="AS51" s="216"/>
      <c r="AT51" s="218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</row>
    <row r="52" spans="1:58" s="143" customFormat="1">
      <c r="A52" s="210"/>
      <c r="B52" s="211"/>
      <c r="C52" s="140"/>
      <c r="D52" s="210"/>
      <c r="G52" s="212"/>
      <c r="H52" s="212"/>
      <c r="I52" s="213"/>
      <c r="J52" s="212"/>
      <c r="K52" s="214"/>
      <c r="L52" s="159"/>
      <c r="M52" s="215"/>
      <c r="N52" s="216"/>
      <c r="O52" s="217"/>
      <c r="P52" s="216"/>
      <c r="Q52" s="216"/>
      <c r="R52" s="216"/>
      <c r="S52" s="217"/>
      <c r="T52" s="216"/>
      <c r="U52" s="216"/>
      <c r="V52" s="216"/>
      <c r="W52" s="217"/>
      <c r="X52" s="216"/>
      <c r="Y52" s="216"/>
      <c r="Z52" s="216"/>
      <c r="AA52" s="217"/>
      <c r="AB52" s="216"/>
      <c r="AC52" s="216"/>
      <c r="AD52" s="216"/>
      <c r="AE52" s="217"/>
      <c r="AF52" s="216"/>
      <c r="AG52" s="216"/>
      <c r="AH52" s="216"/>
      <c r="AI52" s="217"/>
      <c r="AJ52" s="216"/>
      <c r="AK52" s="216"/>
      <c r="AL52" s="216"/>
      <c r="AM52" s="217"/>
      <c r="AN52" s="216"/>
      <c r="AO52" s="216"/>
      <c r="AP52" s="216"/>
      <c r="AQ52" s="217"/>
      <c r="AR52" s="216"/>
      <c r="AS52" s="216"/>
      <c r="AT52" s="218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</row>
    <row r="53" spans="1:58" s="143" customFormat="1">
      <c r="A53" s="210"/>
      <c r="B53" s="211"/>
      <c r="C53" s="140"/>
      <c r="D53" s="210"/>
      <c r="G53" s="212"/>
      <c r="H53" s="212"/>
      <c r="I53" s="213"/>
      <c r="J53" s="212"/>
      <c r="K53" s="214"/>
      <c r="L53" s="159"/>
      <c r="M53" s="215"/>
      <c r="N53" s="216"/>
      <c r="O53" s="217"/>
      <c r="P53" s="216"/>
      <c r="Q53" s="216"/>
      <c r="R53" s="216"/>
      <c r="S53" s="217"/>
      <c r="T53" s="216"/>
      <c r="U53" s="216"/>
      <c r="V53" s="216"/>
      <c r="W53" s="217"/>
      <c r="X53" s="216"/>
      <c r="Y53" s="216"/>
      <c r="Z53" s="216"/>
      <c r="AA53" s="217"/>
      <c r="AB53" s="216"/>
      <c r="AC53" s="216"/>
      <c r="AD53" s="216"/>
      <c r="AE53" s="217"/>
      <c r="AF53" s="216"/>
      <c r="AG53" s="216"/>
      <c r="AH53" s="216"/>
      <c r="AI53" s="217"/>
      <c r="AJ53" s="216"/>
      <c r="AK53" s="216"/>
      <c r="AL53" s="216"/>
      <c r="AM53" s="217"/>
      <c r="AN53" s="216"/>
      <c r="AO53" s="216"/>
      <c r="AP53" s="216"/>
      <c r="AQ53" s="217"/>
      <c r="AR53" s="216"/>
      <c r="AS53" s="216"/>
      <c r="AT53" s="218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</row>
    <row r="54" spans="1:58" s="143" customFormat="1">
      <c r="A54" s="210"/>
      <c r="B54" s="211"/>
      <c r="C54" s="140"/>
      <c r="D54" s="210"/>
      <c r="G54" s="212"/>
      <c r="H54" s="212"/>
      <c r="I54" s="213"/>
      <c r="J54" s="212"/>
      <c r="K54" s="214"/>
      <c r="L54" s="159"/>
      <c r="M54" s="215"/>
      <c r="N54" s="216"/>
      <c r="O54" s="217"/>
      <c r="P54" s="216"/>
      <c r="Q54" s="216"/>
      <c r="R54" s="216"/>
      <c r="S54" s="217"/>
      <c r="T54" s="216"/>
      <c r="U54" s="216"/>
      <c r="V54" s="216"/>
      <c r="W54" s="217"/>
      <c r="X54" s="216"/>
      <c r="Y54" s="216"/>
      <c r="Z54" s="216"/>
      <c r="AA54" s="217"/>
      <c r="AB54" s="216"/>
      <c r="AC54" s="216"/>
      <c r="AD54" s="216"/>
      <c r="AE54" s="217"/>
      <c r="AF54" s="216"/>
      <c r="AG54" s="216"/>
      <c r="AH54" s="216"/>
      <c r="AI54" s="217"/>
      <c r="AJ54" s="216"/>
      <c r="AK54" s="216"/>
      <c r="AL54" s="216"/>
      <c r="AM54" s="217"/>
      <c r="AN54" s="216"/>
      <c r="AO54" s="216"/>
      <c r="AP54" s="216"/>
      <c r="AQ54" s="217"/>
      <c r="AR54" s="216"/>
      <c r="AS54" s="216"/>
      <c r="AT54" s="218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</row>
    <row r="55" spans="1:58" s="143" customFormat="1">
      <c r="A55" s="210"/>
      <c r="B55" s="211"/>
      <c r="C55" s="140"/>
      <c r="D55" s="210"/>
      <c r="G55" s="212"/>
      <c r="H55" s="212"/>
      <c r="I55" s="213"/>
      <c r="J55" s="212"/>
      <c r="K55" s="214"/>
      <c r="L55" s="159"/>
      <c r="M55" s="215"/>
      <c r="N55" s="216"/>
      <c r="O55" s="217"/>
      <c r="P55" s="216"/>
      <c r="Q55" s="216"/>
      <c r="R55" s="216"/>
      <c r="S55" s="217"/>
      <c r="T55" s="216"/>
      <c r="U55" s="216"/>
      <c r="V55" s="216"/>
      <c r="W55" s="217"/>
      <c r="X55" s="216"/>
      <c r="Y55" s="216"/>
      <c r="Z55" s="216"/>
      <c r="AA55" s="217"/>
      <c r="AB55" s="216"/>
      <c r="AC55" s="216"/>
      <c r="AD55" s="216"/>
      <c r="AE55" s="217"/>
      <c r="AF55" s="216"/>
      <c r="AG55" s="216"/>
      <c r="AH55" s="216"/>
      <c r="AI55" s="217"/>
      <c r="AJ55" s="216"/>
      <c r="AK55" s="216"/>
      <c r="AL55" s="216"/>
      <c r="AM55" s="217"/>
      <c r="AN55" s="216"/>
      <c r="AO55" s="216"/>
      <c r="AP55" s="216"/>
      <c r="AQ55" s="217"/>
      <c r="AR55" s="216"/>
      <c r="AS55" s="216"/>
      <c r="AT55" s="218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</row>
    <row r="56" spans="1:58" s="143" customFormat="1">
      <c r="A56" s="210"/>
      <c r="B56" s="211"/>
      <c r="C56" s="140"/>
      <c r="D56" s="210"/>
      <c r="G56" s="212"/>
      <c r="H56" s="212"/>
      <c r="I56" s="213"/>
      <c r="J56" s="212"/>
      <c r="K56" s="214"/>
      <c r="L56" s="159"/>
      <c r="M56" s="215"/>
      <c r="N56" s="216"/>
      <c r="O56" s="217"/>
      <c r="P56" s="216"/>
      <c r="Q56" s="216"/>
      <c r="R56" s="216"/>
      <c r="S56" s="217"/>
      <c r="T56" s="216"/>
      <c r="U56" s="216"/>
      <c r="V56" s="216"/>
      <c r="W56" s="217"/>
      <c r="X56" s="216"/>
      <c r="Y56" s="216"/>
      <c r="Z56" s="216"/>
      <c r="AA56" s="217"/>
      <c r="AB56" s="216"/>
      <c r="AC56" s="216"/>
      <c r="AD56" s="216"/>
      <c r="AE56" s="217"/>
      <c r="AF56" s="216"/>
      <c r="AG56" s="216"/>
      <c r="AH56" s="216"/>
      <c r="AI56" s="217"/>
      <c r="AJ56" s="216"/>
      <c r="AK56" s="216"/>
      <c r="AL56" s="216"/>
      <c r="AM56" s="217"/>
      <c r="AN56" s="216"/>
      <c r="AO56" s="216"/>
      <c r="AP56" s="216"/>
      <c r="AQ56" s="217"/>
      <c r="AR56" s="216"/>
      <c r="AS56" s="216"/>
      <c r="AT56" s="218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</row>
    <row r="57" spans="1:58" s="143" customFormat="1">
      <c r="A57" s="210"/>
      <c r="B57" s="211"/>
      <c r="C57" s="140"/>
      <c r="D57" s="210"/>
      <c r="G57" s="212"/>
      <c r="H57" s="212"/>
      <c r="I57" s="213"/>
      <c r="J57" s="212"/>
      <c r="K57" s="214"/>
      <c r="L57" s="159"/>
      <c r="M57" s="215"/>
      <c r="N57" s="216"/>
      <c r="O57" s="217"/>
      <c r="P57" s="216"/>
      <c r="Q57" s="216"/>
      <c r="R57" s="216"/>
      <c r="S57" s="217"/>
      <c r="T57" s="216"/>
      <c r="U57" s="216"/>
      <c r="V57" s="216"/>
      <c r="W57" s="217"/>
      <c r="X57" s="216"/>
      <c r="Y57" s="216"/>
      <c r="Z57" s="216"/>
      <c r="AA57" s="217"/>
      <c r="AB57" s="216"/>
      <c r="AC57" s="216"/>
      <c r="AD57" s="216"/>
      <c r="AE57" s="217"/>
      <c r="AF57" s="216"/>
      <c r="AG57" s="216"/>
      <c r="AH57" s="216"/>
      <c r="AI57" s="217"/>
      <c r="AJ57" s="216"/>
      <c r="AK57" s="216"/>
      <c r="AL57" s="216"/>
      <c r="AM57" s="217"/>
      <c r="AN57" s="216"/>
      <c r="AO57" s="216"/>
      <c r="AP57" s="216"/>
      <c r="AQ57" s="217"/>
      <c r="AR57" s="216"/>
      <c r="AS57" s="216"/>
      <c r="AT57" s="218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</row>
    <row r="58" spans="1:58" s="143" customFormat="1">
      <c r="A58" s="210"/>
      <c r="B58" s="211"/>
      <c r="C58" s="140"/>
      <c r="D58" s="210"/>
      <c r="G58" s="212"/>
      <c r="H58" s="212"/>
      <c r="I58" s="213"/>
      <c r="J58" s="212"/>
      <c r="K58" s="214"/>
      <c r="L58" s="159"/>
      <c r="M58" s="215"/>
      <c r="N58" s="216"/>
      <c r="O58" s="217"/>
      <c r="P58" s="216"/>
      <c r="Q58" s="216"/>
      <c r="R58" s="216"/>
      <c r="S58" s="217"/>
      <c r="T58" s="216"/>
      <c r="U58" s="216"/>
      <c r="V58" s="216"/>
      <c r="W58" s="217"/>
      <c r="X58" s="216"/>
      <c r="Y58" s="216"/>
      <c r="Z58" s="216"/>
      <c r="AA58" s="217"/>
      <c r="AB58" s="216"/>
      <c r="AC58" s="216"/>
      <c r="AD58" s="216"/>
      <c r="AE58" s="217"/>
      <c r="AF58" s="216"/>
      <c r="AG58" s="216"/>
      <c r="AH58" s="216"/>
      <c r="AI58" s="217"/>
      <c r="AJ58" s="216"/>
      <c r="AK58" s="216"/>
      <c r="AL58" s="216"/>
      <c r="AM58" s="217"/>
      <c r="AN58" s="216"/>
      <c r="AO58" s="216"/>
      <c r="AP58" s="216"/>
      <c r="AQ58" s="217"/>
      <c r="AR58" s="216"/>
      <c r="AS58" s="216"/>
      <c r="AT58" s="218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</row>
    <row r="59" spans="1:58" s="143" customFormat="1">
      <c r="A59" s="210"/>
      <c r="B59" s="211"/>
      <c r="C59" s="140"/>
      <c r="D59" s="210"/>
      <c r="G59" s="212"/>
      <c r="H59" s="212"/>
      <c r="I59" s="213"/>
      <c r="J59" s="212"/>
      <c r="K59" s="214"/>
      <c r="L59" s="159"/>
      <c r="M59" s="215"/>
      <c r="N59" s="216"/>
      <c r="O59" s="217"/>
      <c r="P59" s="216"/>
      <c r="Q59" s="216"/>
      <c r="R59" s="216"/>
      <c r="S59" s="217"/>
      <c r="T59" s="216"/>
      <c r="U59" s="216"/>
      <c r="V59" s="216"/>
      <c r="W59" s="217"/>
      <c r="X59" s="216"/>
      <c r="Y59" s="216"/>
      <c r="Z59" s="216"/>
      <c r="AA59" s="217"/>
      <c r="AB59" s="216"/>
      <c r="AC59" s="216"/>
      <c r="AD59" s="216"/>
      <c r="AE59" s="217"/>
      <c r="AF59" s="216"/>
      <c r="AG59" s="216"/>
      <c r="AH59" s="216"/>
      <c r="AI59" s="217"/>
      <c r="AJ59" s="216"/>
      <c r="AK59" s="216"/>
      <c r="AL59" s="216"/>
      <c r="AM59" s="217"/>
      <c r="AN59" s="216"/>
      <c r="AO59" s="216"/>
      <c r="AP59" s="216"/>
      <c r="AQ59" s="217"/>
      <c r="AR59" s="216"/>
      <c r="AS59" s="216"/>
      <c r="AT59" s="218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</row>
    <row r="60" spans="1:58" s="143" customFormat="1">
      <c r="A60" s="210"/>
      <c r="B60" s="211"/>
      <c r="C60" s="140"/>
      <c r="D60" s="210"/>
      <c r="G60" s="212"/>
      <c r="H60" s="212"/>
      <c r="I60" s="213"/>
      <c r="J60" s="212"/>
      <c r="K60" s="214"/>
      <c r="L60" s="159"/>
      <c r="M60" s="215"/>
      <c r="N60" s="216"/>
      <c r="O60" s="217"/>
      <c r="P60" s="216"/>
      <c r="Q60" s="216"/>
      <c r="R60" s="216"/>
      <c r="S60" s="217"/>
      <c r="T60" s="216"/>
      <c r="U60" s="216"/>
      <c r="V60" s="216"/>
      <c r="W60" s="217"/>
      <c r="X60" s="216"/>
      <c r="Y60" s="216"/>
      <c r="Z60" s="216"/>
      <c r="AA60" s="217"/>
      <c r="AB60" s="216"/>
      <c r="AC60" s="216"/>
      <c r="AD60" s="216"/>
      <c r="AE60" s="217"/>
      <c r="AF60" s="216"/>
      <c r="AG60" s="216"/>
      <c r="AH60" s="216"/>
      <c r="AI60" s="217"/>
      <c r="AJ60" s="216"/>
      <c r="AK60" s="216"/>
      <c r="AL60" s="216"/>
      <c r="AM60" s="217"/>
      <c r="AN60" s="216"/>
      <c r="AO60" s="216"/>
      <c r="AP60" s="216"/>
      <c r="AQ60" s="217"/>
      <c r="AR60" s="216"/>
      <c r="AS60" s="216"/>
      <c r="AT60" s="218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</row>
    <row r="61" spans="1:58" s="143" customFormat="1">
      <c r="A61" s="210"/>
      <c r="B61" s="211"/>
      <c r="C61" s="140"/>
      <c r="D61" s="210"/>
      <c r="G61" s="212"/>
      <c r="H61" s="212"/>
      <c r="I61" s="213"/>
      <c r="J61" s="212"/>
      <c r="K61" s="214"/>
      <c r="L61" s="159"/>
      <c r="M61" s="215"/>
      <c r="N61" s="216"/>
      <c r="O61" s="217"/>
      <c r="P61" s="216"/>
      <c r="Q61" s="216"/>
      <c r="R61" s="216"/>
      <c r="S61" s="217"/>
      <c r="T61" s="216"/>
      <c r="U61" s="216"/>
      <c r="V61" s="216"/>
      <c r="W61" s="217"/>
      <c r="X61" s="216"/>
      <c r="Y61" s="216"/>
      <c r="Z61" s="216"/>
      <c r="AA61" s="217"/>
      <c r="AB61" s="216"/>
      <c r="AC61" s="216"/>
      <c r="AD61" s="216"/>
      <c r="AE61" s="217"/>
      <c r="AF61" s="216"/>
      <c r="AG61" s="216"/>
      <c r="AH61" s="216"/>
      <c r="AI61" s="217"/>
      <c r="AJ61" s="216"/>
      <c r="AK61" s="216"/>
      <c r="AL61" s="216"/>
      <c r="AM61" s="217"/>
      <c r="AN61" s="216"/>
      <c r="AO61" s="216"/>
      <c r="AP61" s="216"/>
      <c r="AQ61" s="217"/>
      <c r="AR61" s="216"/>
      <c r="AS61" s="216"/>
      <c r="AT61" s="218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</row>
    <row r="62" spans="1:58" s="143" customFormat="1">
      <c r="A62" s="210"/>
      <c r="B62" s="211"/>
      <c r="C62" s="140"/>
      <c r="D62" s="210"/>
      <c r="G62" s="212"/>
      <c r="H62" s="212"/>
      <c r="I62" s="213"/>
      <c r="J62" s="212"/>
      <c r="K62" s="214"/>
      <c r="L62" s="159"/>
      <c r="M62" s="215"/>
      <c r="N62" s="216"/>
      <c r="O62" s="217"/>
      <c r="P62" s="216"/>
      <c r="Q62" s="216"/>
      <c r="R62" s="216"/>
      <c r="S62" s="217"/>
      <c r="T62" s="216"/>
      <c r="U62" s="216"/>
      <c r="V62" s="216"/>
      <c r="W62" s="217"/>
      <c r="X62" s="216"/>
      <c r="Y62" s="216"/>
      <c r="Z62" s="216"/>
      <c r="AA62" s="217"/>
      <c r="AB62" s="216"/>
      <c r="AC62" s="216"/>
      <c r="AD62" s="216"/>
      <c r="AE62" s="217"/>
      <c r="AF62" s="216"/>
      <c r="AG62" s="216"/>
      <c r="AH62" s="216"/>
      <c r="AI62" s="217"/>
      <c r="AJ62" s="216"/>
      <c r="AK62" s="216"/>
      <c r="AL62" s="216"/>
      <c r="AM62" s="217"/>
      <c r="AN62" s="216"/>
      <c r="AO62" s="216"/>
      <c r="AP62" s="216"/>
      <c r="AQ62" s="217"/>
      <c r="AR62" s="216"/>
      <c r="AS62" s="216"/>
      <c r="AT62" s="218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</row>
    <row r="63" spans="1:58" s="143" customFormat="1">
      <c r="A63" s="210"/>
      <c r="B63" s="211"/>
      <c r="C63" s="140"/>
      <c r="D63" s="210"/>
      <c r="G63" s="212"/>
      <c r="H63" s="212"/>
      <c r="I63" s="213"/>
      <c r="J63" s="212"/>
      <c r="K63" s="214"/>
      <c r="L63" s="159"/>
      <c r="M63" s="215"/>
      <c r="N63" s="216"/>
      <c r="O63" s="217"/>
      <c r="P63" s="216"/>
      <c r="Q63" s="216"/>
      <c r="R63" s="216"/>
      <c r="S63" s="217"/>
      <c r="T63" s="216"/>
      <c r="U63" s="216"/>
      <c r="V63" s="216"/>
      <c r="W63" s="217"/>
      <c r="X63" s="216"/>
      <c r="Y63" s="216"/>
      <c r="Z63" s="216"/>
      <c r="AA63" s="217"/>
      <c r="AB63" s="216"/>
      <c r="AC63" s="216"/>
      <c r="AD63" s="216"/>
      <c r="AE63" s="217"/>
      <c r="AF63" s="216"/>
      <c r="AG63" s="216"/>
      <c r="AH63" s="216"/>
      <c r="AI63" s="217"/>
      <c r="AJ63" s="216"/>
      <c r="AK63" s="216"/>
      <c r="AL63" s="216"/>
      <c r="AM63" s="217"/>
      <c r="AN63" s="216"/>
      <c r="AO63" s="216"/>
      <c r="AP63" s="216"/>
      <c r="AQ63" s="217"/>
      <c r="AR63" s="216"/>
      <c r="AS63" s="216"/>
      <c r="AT63" s="218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</row>
    <row r="64" spans="1:58" s="143" customFormat="1">
      <c r="A64" s="210"/>
      <c r="B64" s="211"/>
      <c r="C64" s="140"/>
      <c r="D64" s="210"/>
      <c r="G64" s="212"/>
      <c r="H64" s="212"/>
      <c r="I64" s="213"/>
      <c r="J64" s="212"/>
      <c r="K64" s="214"/>
      <c r="L64" s="159"/>
      <c r="M64" s="215"/>
      <c r="N64" s="216"/>
      <c r="O64" s="217"/>
      <c r="P64" s="216"/>
      <c r="Q64" s="216"/>
      <c r="R64" s="216"/>
      <c r="S64" s="217"/>
      <c r="T64" s="216"/>
      <c r="U64" s="216"/>
      <c r="V64" s="216"/>
      <c r="W64" s="217"/>
      <c r="X64" s="216"/>
      <c r="Y64" s="216"/>
      <c r="Z64" s="216"/>
      <c r="AA64" s="217"/>
      <c r="AB64" s="216"/>
      <c r="AC64" s="216"/>
      <c r="AD64" s="216"/>
      <c r="AE64" s="217"/>
      <c r="AF64" s="216"/>
      <c r="AG64" s="216"/>
      <c r="AH64" s="216"/>
      <c r="AI64" s="217"/>
      <c r="AJ64" s="216"/>
      <c r="AK64" s="216"/>
      <c r="AL64" s="216"/>
      <c r="AM64" s="217"/>
      <c r="AN64" s="216"/>
      <c r="AO64" s="216"/>
      <c r="AP64" s="216"/>
      <c r="AQ64" s="217"/>
      <c r="AR64" s="216"/>
      <c r="AS64" s="216"/>
      <c r="AT64" s="218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</row>
    <row r="65" spans="1:58" s="143" customFormat="1">
      <c r="A65" s="210"/>
      <c r="B65" s="211"/>
      <c r="C65" s="140"/>
      <c r="D65" s="210"/>
      <c r="G65" s="212"/>
      <c r="H65" s="212"/>
      <c r="I65" s="213"/>
      <c r="J65" s="212"/>
      <c r="K65" s="214"/>
      <c r="L65" s="159"/>
      <c r="M65" s="215"/>
      <c r="N65" s="216"/>
      <c r="O65" s="217"/>
      <c r="P65" s="216"/>
      <c r="Q65" s="216"/>
      <c r="R65" s="216"/>
      <c r="S65" s="217"/>
      <c r="T65" s="216"/>
      <c r="U65" s="216"/>
      <c r="V65" s="216"/>
      <c r="W65" s="217"/>
      <c r="X65" s="216"/>
      <c r="Y65" s="216"/>
      <c r="Z65" s="216"/>
      <c r="AA65" s="217"/>
      <c r="AB65" s="216"/>
      <c r="AC65" s="216"/>
      <c r="AD65" s="216"/>
      <c r="AE65" s="217"/>
      <c r="AF65" s="216"/>
      <c r="AG65" s="216"/>
      <c r="AH65" s="216"/>
      <c r="AI65" s="217"/>
      <c r="AJ65" s="216"/>
      <c r="AK65" s="216"/>
      <c r="AL65" s="216"/>
      <c r="AM65" s="217"/>
      <c r="AN65" s="216"/>
      <c r="AO65" s="216"/>
      <c r="AP65" s="216"/>
      <c r="AQ65" s="217"/>
      <c r="AR65" s="216"/>
      <c r="AS65" s="216"/>
      <c r="AT65" s="218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</row>
    <row r="66" spans="1:58" s="143" customFormat="1">
      <c r="A66" s="210"/>
      <c r="B66" s="211"/>
      <c r="C66" s="140"/>
      <c r="D66" s="210"/>
      <c r="G66" s="212"/>
      <c r="H66" s="212"/>
      <c r="I66" s="213"/>
      <c r="J66" s="212"/>
      <c r="K66" s="214"/>
      <c r="L66" s="159"/>
      <c r="M66" s="215"/>
      <c r="N66" s="216"/>
      <c r="O66" s="217"/>
      <c r="P66" s="216"/>
      <c r="Q66" s="216"/>
      <c r="R66" s="216"/>
      <c r="S66" s="217"/>
      <c r="T66" s="216"/>
      <c r="U66" s="216"/>
      <c r="V66" s="216"/>
      <c r="W66" s="217"/>
      <c r="X66" s="216"/>
      <c r="Y66" s="216"/>
      <c r="Z66" s="216"/>
      <c r="AA66" s="217"/>
      <c r="AB66" s="216"/>
      <c r="AC66" s="216"/>
      <c r="AD66" s="216"/>
      <c r="AE66" s="217"/>
      <c r="AF66" s="216"/>
      <c r="AG66" s="216"/>
      <c r="AH66" s="216"/>
      <c r="AI66" s="217"/>
      <c r="AJ66" s="216"/>
      <c r="AK66" s="216"/>
      <c r="AL66" s="216"/>
      <c r="AM66" s="217"/>
      <c r="AN66" s="216"/>
      <c r="AO66" s="216"/>
      <c r="AP66" s="216"/>
      <c r="AQ66" s="217"/>
      <c r="AR66" s="216"/>
      <c r="AS66" s="216"/>
      <c r="AT66" s="218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</row>
    <row r="67" spans="1:58" s="143" customFormat="1">
      <c r="A67" s="210"/>
      <c r="B67" s="211"/>
      <c r="C67" s="140"/>
      <c r="D67" s="210"/>
      <c r="G67" s="212"/>
      <c r="H67" s="212"/>
      <c r="I67" s="213"/>
      <c r="J67" s="212"/>
      <c r="K67" s="214"/>
      <c r="L67" s="159"/>
      <c r="M67" s="215"/>
      <c r="N67" s="216"/>
      <c r="O67" s="217"/>
      <c r="P67" s="216"/>
      <c r="Q67" s="216"/>
      <c r="R67" s="216"/>
      <c r="S67" s="217"/>
      <c r="T67" s="216"/>
      <c r="U67" s="216"/>
      <c r="V67" s="216"/>
      <c r="W67" s="217"/>
      <c r="X67" s="216"/>
      <c r="Y67" s="216"/>
      <c r="Z67" s="216"/>
      <c r="AA67" s="217"/>
      <c r="AB67" s="216"/>
      <c r="AC67" s="216"/>
      <c r="AD67" s="216"/>
      <c r="AE67" s="217"/>
      <c r="AF67" s="216"/>
      <c r="AG67" s="216"/>
      <c r="AH67" s="216"/>
      <c r="AI67" s="217"/>
      <c r="AJ67" s="216"/>
      <c r="AK67" s="216"/>
      <c r="AL67" s="216"/>
      <c r="AM67" s="217"/>
      <c r="AN67" s="216"/>
      <c r="AO67" s="216"/>
      <c r="AP67" s="216"/>
      <c r="AQ67" s="217"/>
      <c r="AR67" s="216"/>
      <c r="AS67" s="216"/>
      <c r="AT67" s="218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</row>
    <row r="68" spans="1:58" s="143" customFormat="1">
      <c r="A68" s="210"/>
      <c r="B68" s="211"/>
      <c r="C68" s="140"/>
      <c r="D68" s="210"/>
      <c r="G68" s="212"/>
      <c r="H68" s="212"/>
      <c r="I68" s="213"/>
      <c r="J68" s="212"/>
      <c r="K68" s="214"/>
      <c r="L68" s="159"/>
      <c r="M68" s="215"/>
      <c r="N68" s="216"/>
      <c r="O68" s="217"/>
      <c r="P68" s="216"/>
      <c r="Q68" s="216"/>
      <c r="R68" s="216"/>
      <c r="S68" s="217"/>
      <c r="T68" s="216"/>
      <c r="U68" s="216"/>
      <c r="V68" s="216"/>
      <c r="W68" s="217"/>
      <c r="X68" s="216"/>
      <c r="Y68" s="216"/>
      <c r="Z68" s="216"/>
      <c r="AA68" s="217"/>
      <c r="AB68" s="216"/>
      <c r="AC68" s="216"/>
      <c r="AD68" s="216"/>
      <c r="AE68" s="217"/>
      <c r="AF68" s="216"/>
      <c r="AG68" s="216"/>
      <c r="AH68" s="216"/>
      <c r="AI68" s="217"/>
      <c r="AJ68" s="216"/>
      <c r="AK68" s="216"/>
      <c r="AL68" s="216"/>
      <c r="AM68" s="217"/>
      <c r="AN68" s="216"/>
      <c r="AO68" s="216"/>
      <c r="AP68" s="216"/>
      <c r="AQ68" s="217"/>
      <c r="AR68" s="216"/>
      <c r="AS68" s="216"/>
      <c r="AT68" s="218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</row>
    <row r="69" spans="1:58" s="143" customFormat="1">
      <c r="A69" s="210"/>
      <c r="B69" s="211"/>
      <c r="C69" s="140"/>
      <c r="D69" s="210"/>
      <c r="G69" s="212"/>
      <c r="H69" s="212"/>
      <c r="I69" s="213"/>
      <c r="J69" s="212"/>
      <c r="K69" s="214"/>
      <c r="L69" s="159"/>
      <c r="M69" s="215"/>
      <c r="N69" s="216"/>
      <c r="O69" s="217"/>
      <c r="P69" s="216"/>
      <c r="Q69" s="216"/>
      <c r="R69" s="216"/>
      <c r="S69" s="217"/>
      <c r="T69" s="216"/>
      <c r="U69" s="216"/>
      <c r="V69" s="216"/>
      <c r="W69" s="217"/>
      <c r="X69" s="216"/>
      <c r="Y69" s="216"/>
      <c r="Z69" s="216"/>
      <c r="AA69" s="217"/>
      <c r="AB69" s="216"/>
      <c r="AC69" s="216"/>
      <c r="AD69" s="216"/>
      <c r="AE69" s="217"/>
      <c r="AF69" s="216"/>
      <c r="AG69" s="216"/>
      <c r="AH69" s="216"/>
      <c r="AI69" s="217"/>
      <c r="AJ69" s="216"/>
      <c r="AK69" s="216"/>
      <c r="AL69" s="216"/>
      <c r="AM69" s="217"/>
      <c r="AN69" s="216"/>
      <c r="AO69" s="216"/>
      <c r="AP69" s="216"/>
      <c r="AQ69" s="217"/>
      <c r="AR69" s="216"/>
      <c r="AS69" s="216"/>
      <c r="AT69" s="218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</row>
    <row r="70" spans="1:58" s="143" customFormat="1">
      <c r="A70" s="210"/>
      <c r="B70" s="211"/>
      <c r="C70" s="140"/>
      <c r="D70" s="210"/>
      <c r="G70" s="212"/>
      <c r="H70" s="212"/>
      <c r="I70" s="213"/>
      <c r="J70" s="212"/>
      <c r="K70" s="214"/>
      <c r="L70" s="159"/>
      <c r="M70" s="215"/>
      <c r="N70" s="216"/>
      <c r="O70" s="217"/>
      <c r="P70" s="216"/>
      <c r="Q70" s="216"/>
      <c r="R70" s="216"/>
      <c r="S70" s="217"/>
      <c r="T70" s="216"/>
      <c r="U70" s="216"/>
      <c r="V70" s="216"/>
      <c r="W70" s="217"/>
      <c r="X70" s="216"/>
      <c r="Y70" s="216"/>
      <c r="Z70" s="216"/>
      <c r="AA70" s="217"/>
      <c r="AB70" s="216"/>
      <c r="AC70" s="216"/>
      <c r="AD70" s="216"/>
      <c r="AE70" s="217"/>
      <c r="AF70" s="216"/>
      <c r="AG70" s="216"/>
      <c r="AH70" s="216"/>
      <c r="AI70" s="217"/>
      <c r="AJ70" s="216"/>
      <c r="AK70" s="216"/>
      <c r="AL70" s="216"/>
      <c r="AM70" s="217"/>
      <c r="AN70" s="216"/>
      <c r="AO70" s="216"/>
      <c r="AP70" s="216"/>
      <c r="AQ70" s="217"/>
      <c r="AR70" s="216"/>
      <c r="AS70" s="216"/>
      <c r="AT70" s="218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</row>
    <row r="71" spans="1:58" s="143" customFormat="1">
      <c r="A71" s="210"/>
      <c r="B71" s="211"/>
      <c r="C71" s="140"/>
      <c r="D71" s="210"/>
      <c r="G71" s="212"/>
      <c r="H71" s="212"/>
      <c r="I71" s="213"/>
      <c r="J71" s="212"/>
      <c r="K71" s="214"/>
      <c r="L71" s="159"/>
      <c r="M71" s="215"/>
      <c r="N71" s="216"/>
      <c r="O71" s="217"/>
      <c r="P71" s="216"/>
      <c r="Q71" s="216"/>
      <c r="R71" s="216"/>
      <c r="S71" s="217"/>
      <c r="T71" s="216"/>
      <c r="U71" s="216"/>
      <c r="V71" s="216"/>
      <c r="W71" s="217"/>
      <c r="X71" s="216"/>
      <c r="Y71" s="216"/>
      <c r="Z71" s="216"/>
      <c r="AA71" s="217"/>
      <c r="AB71" s="216"/>
      <c r="AC71" s="216"/>
      <c r="AD71" s="216"/>
      <c r="AE71" s="217"/>
      <c r="AF71" s="216"/>
      <c r="AG71" s="216"/>
      <c r="AH71" s="216"/>
      <c r="AI71" s="217"/>
      <c r="AJ71" s="216"/>
      <c r="AK71" s="216"/>
      <c r="AL71" s="216"/>
      <c r="AM71" s="217"/>
      <c r="AN71" s="216"/>
      <c r="AO71" s="216"/>
      <c r="AP71" s="216"/>
      <c r="AQ71" s="217"/>
      <c r="AR71" s="216"/>
      <c r="AS71" s="216"/>
      <c r="AT71" s="218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</row>
    <row r="72" spans="1:58" s="143" customFormat="1">
      <c r="A72" s="210"/>
      <c r="B72" s="211"/>
      <c r="C72" s="140"/>
      <c r="D72" s="210"/>
      <c r="G72" s="212"/>
      <c r="H72" s="212"/>
      <c r="I72" s="213"/>
      <c r="J72" s="212"/>
      <c r="K72" s="214"/>
      <c r="L72" s="159"/>
      <c r="M72" s="215"/>
      <c r="N72" s="216"/>
      <c r="O72" s="217"/>
      <c r="P72" s="216"/>
      <c r="Q72" s="216"/>
      <c r="R72" s="216"/>
      <c r="S72" s="217"/>
      <c r="T72" s="216"/>
      <c r="U72" s="216"/>
      <c r="V72" s="216"/>
      <c r="W72" s="217"/>
      <c r="X72" s="216"/>
      <c r="Y72" s="216"/>
      <c r="Z72" s="216"/>
      <c r="AA72" s="217"/>
      <c r="AB72" s="216"/>
      <c r="AC72" s="216"/>
      <c r="AD72" s="216"/>
      <c r="AE72" s="217"/>
      <c r="AF72" s="216"/>
      <c r="AG72" s="216"/>
      <c r="AH72" s="216"/>
      <c r="AI72" s="217"/>
      <c r="AJ72" s="216"/>
      <c r="AK72" s="216"/>
      <c r="AL72" s="216"/>
      <c r="AM72" s="217"/>
      <c r="AN72" s="216"/>
      <c r="AO72" s="216"/>
      <c r="AP72" s="216"/>
      <c r="AQ72" s="217"/>
      <c r="AR72" s="216"/>
      <c r="AS72" s="216"/>
      <c r="AT72" s="218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</row>
    <row r="73" spans="1:58" s="143" customFormat="1">
      <c r="A73" s="210"/>
      <c r="B73" s="211"/>
      <c r="C73" s="140"/>
      <c r="D73" s="210"/>
      <c r="G73" s="212"/>
      <c r="H73" s="212"/>
      <c r="I73" s="213"/>
      <c r="J73" s="212"/>
      <c r="K73" s="214"/>
      <c r="L73" s="159"/>
      <c r="M73" s="215"/>
      <c r="N73" s="216"/>
      <c r="O73" s="217"/>
      <c r="P73" s="216"/>
      <c r="Q73" s="216"/>
      <c r="R73" s="216"/>
      <c r="S73" s="217"/>
      <c r="T73" s="216"/>
      <c r="U73" s="216"/>
      <c r="V73" s="216"/>
      <c r="W73" s="217"/>
      <c r="X73" s="216"/>
      <c r="Y73" s="216"/>
      <c r="Z73" s="216"/>
      <c r="AA73" s="217"/>
      <c r="AB73" s="216"/>
      <c r="AC73" s="216"/>
      <c r="AD73" s="216"/>
      <c r="AE73" s="217"/>
      <c r="AF73" s="216"/>
      <c r="AG73" s="216"/>
      <c r="AH73" s="216"/>
      <c r="AI73" s="217"/>
      <c r="AJ73" s="216"/>
      <c r="AK73" s="216"/>
      <c r="AL73" s="216"/>
      <c r="AM73" s="217"/>
      <c r="AN73" s="216"/>
      <c r="AO73" s="216"/>
      <c r="AP73" s="216"/>
      <c r="AQ73" s="217"/>
      <c r="AR73" s="216"/>
      <c r="AS73" s="216"/>
      <c r="AT73" s="218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</row>
    <row r="74" spans="1:58" s="143" customFormat="1">
      <c r="A74" s="210"/>
      <c r="B74" s="211"/>
      <c r="C74" s="140"/>
      <c r="D74" s="210"/>
      <c r="G74" s="212"/>
      <c r="H74" s="212"/>
      <c r="I74" s="213"/>
      <c r="J74" s="212"/>
      <c r="K74" s="214"/>
      <c r="L74" s="159"/>
      <c r="M74" s="215"/>
      <c r="N74" s="216"/>
      <c r="O74" s="217"/>
      <c r="P74" s="216"/>
      <c r="Q74" s="216"/>
      <c r="R74" s="216"/>
      <c r="S74" s="217"/>
      <c r="T74" s="216"/>
      <c r="U74" s="216"/>
      <c r="V74" s="216"/>
      <c r="W74" s="217"/>
      <c r="X74" s="216"/>
      <c r="Y74" s="216"/>
      <c r="Z74" s="216"/>
      <c r="AA74" s="217"/>
      <c r="AB74" s="216"/>
      <c r="AC74" s="216"/>
      <c r="AD74" s="216"/>
      <c r="AE74" s="217"/>
      <c r="AF74" s="216"/>
      <c r="AG74" s="216"/>
      <c r="AH74" s="216"/>
      <c r="AI74" s="217"/>
      <c r="AJ74" s="216"/>
      <c r="AK74" s="216"/>
      <c r="AL74" s="216"/>
      <c r="AM74" s="217"/>
      <c r="AN74" s="216"/>
      <c r="AO74" s="216"/>
      <c r="AP74" s="216"/>
      <c r="AQ74" s="217"/>
      <c r="AR74" s="216"/>
      <c r="AS74" s="216"/>
      <c r="AT74" s="218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</row>
    <row r="75" spans="1:58" s="143" customFormat="1">
      <c r="A75" s="210"/>
      <c r="B75" s="211"/>
      <c r="C75" s="140"/>
      <c r="D75" s="210"/>
      <c r="G75" s="212"/>
      <c r="H75" s="212"/>
      <c r="I75" s="213"/>
      <c r="J75" s="212"/>
      <c r="K75" s="214"/>
      <c r="L75" s="159"/>
      <c r="M75" s="215"/>
      <c r="N75" s="216"/>
      <c r="O75" s="217"/>
      <c r="P75" s="216"/>
      <c r="Q75" s="216"/>
      <c r="R75" s="216"/>
      <c r="S75" s="217"/>
      <c r="T75" s="216"/>
      <c r="U75" s="216"/>
      <c r="V75" s="216"/>
      <c r="W75" s="217"/>
      <c r="X75" s="216"/>
      <c r="Y75" s="216"/>
      <c r="Z75" s="216"/>
      <c r="AA75" s="217"/>
      <c r="AB75" s="216"/>
      <c r="AC75" s="216"/>
      <c r="AD75" s="216"/>
      <c r="AE75" s="217"/>
      <c r="AF75" s="216"/>
      <c r="AG75" s="216"/>
      <c r="AH75" s="216"/>
      <c r="AI75" s="217"/>
      <c r="AJ75" s="216"/>
      <c r="AK75" s="216"/>
      <c r="AL75" s="216"/>
      <c r="AM75" s="217"/>
      <c r="AN75" s="216"/>
      <c r="AO75" s="216"/>
      <c r="AP75" s="216"/>
      <c r="AQ75" s="217"/>
      <c r="AR75" s="216"/>
      <c r="AS75" s="216"/>
      <c r="AT75" s="218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</row>
    <row r="76" spans="1:58" s="143" customFormat="1">
      <c r="A76" s="210"/>
      <c r="B76" s="211"/>
      <c r="C76" s="140"/>
      <c r="D76" s="210"/>
      <c r="G76" s="212"/>
      <c r="H76" s="212"/>
      <c r="I76" s="213"/>
      <c r="J76" s="212"/>
      <c r="K76" s="214"/>
      <c r="L76" s="159"/>
      <c r="M76" s="215"/>
      <c r="N76" s="216"/>
      <c r="O76" s="217"/>
      <c r="P76" s="216"/>
      <c r="Q76" s="216"/>
      <c r="R76" s="216"/>
      <c r="S76" s="217"/>
      <c r="T76" s="216"/>
      <c r="U76" s="216"/>
      <c r="V76" s="216"/>
      <c r="W76" s="217"/>
      <c r="X76" s="216"/>
      <c r="Y76" s="216"/>
      <c r="Z76" s="216"/>
      <c r="AA76" s="217"/>
      <c r="AB76" s="216"/>
      <c r="AC76" s="216"/>
      <c r="AD76" s="216"/>
      <c r="AE76" s="217"/>
      <c r="AF76" s="216"/>
      <c r="AG76" s="216"/>
      <c r="AH76" s="216"/>
      <c r="AI76" s="217"/>
      <c r="AJ76" s="216"/>
      <c r="AK76" s="216"/>
      <c r="AL76" s="216"/>
      <c r="AM76" s="217"/>
      <c r="AN76" s="216"/>
      <c r="AO76" s="216"/>
      <c r="AP76" s="216"/>
      <c r="AQ76" s="217"/>
      <c r="AR76" s="216"/>
      <c r="AS76" s="216"/>
      <c r="AT76" s="218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</row>
    <row r="77" spans="1:58" s="143" customFormat="1">
      <c r="A77" s="210"/>
      <c r="B77" s="211"/>
      <c r="C77" s="140"/>
      <c r="D77" s="210"/>
      <c r="G77" s="212"/>
      <c r="H77" s="212"/>
      <c r="I77" s="213"/>
      <c r="J77" s="212"/>
      <c r="K77" s="214"/>
      <c r="L77" s="159"/>
      <c r="M77" s="215"/>
      <c r="N77" s="216"/>
      <c r="O77" s="217"/>
      <c r="P77" s="216"/>
      <c r="Q77" s="216"/>
      <c r="R77" s="216"/>
      <c r="S77" s="217"/>
      <c r="T77" s="216"/>
      <c r="U77" s="216"/>
      <c r="V77" s="216"/>
      <c r="W77" s="217"/>
      <c r="X77" s="216"/>
      <c r="Y77" s="216"/>
      <c r="Z77" s="216"/>
      <c r="AA77" s="217"/>
      <c r="AB77" s="216"/>
      <c r="AC77" s="216"/>
      <c r="AD77" s="216"/>
      <c r="AE77" s="217"/>
      <c r="AF77" s="216"/>
      <c r="AG77" s="216"/>
      <c r="AH77" s="216"/>
      <c r="AI77" s="217"/>
      <c r="AJ77" s="216"/>
      <c r="AK77" s="216"/>
      <c r="AL77" s="216"/>
      <c r="AM77" s="217"/>
      <c r="AN77" s="216"/>
      <c r="AO77" s="216"/>
      <c r="AP77" s="216"/>
      <c r="AQ77" s="217"/>
      <c r="AR77" s="216"/>
      <c r="AS77" s="216"/>
      <c r="AT77" s="218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</row>
    <row r="78" spans="1:58" s="143" customFormat="1">
      <c r="A78" s="210"/>
      <c r="B78" s="211"/>
      <c r="C78" s="140"/>
      <c r="D78" s="210"/>
      <c r="G78" s="212"/>
      <c r="H78" s="212"/>
      <c r="I78" s="213"/>
      <c r="J78" s="212"/>
      <c r="K78" s="214"/>
      <c r="L78" s="159"/>
      <c r="M78" s="215"/>
      <c r="N78" s="216"/>
      <c r="O78" s="217"/>
      <c r="P78" s="216"/>
      <c r="Q78" s="216"/>
      <c r="R78" s="216"/>
      <c r="S78" s="217"/>
      <c r="T78" s="216"/>
      <c r="U78" s="216"/>
      <c r="V78" s="216"/>
      <c r="W78" s="217"/>
      <c r="X78" s="216"/>
      <c r="Y78" s="216"/>
      <c r="Z78" s="216"/>
      <c r="AA78" s="217"/>
      <c r="AB78" s="216"/>
      <c r="AC78" s="216"/>
      <c r="AD78" s="216"/>
      <c r="AE78" s="217"/>
      <c r="AF78" s="216"/>
      <c r="AG78" s="216"/>
      <c r="AH78" s="216"/>
      <c r="AI78" s="217"/>
      <c r="AJ78" s="216"/>
      <c r="AK78" s="216"/>
      <c r="AL78" s="216"/>
      <c r="AM78" s="217"/>
      <c r="AN78" s="216"/>
      <c r="AO78" s="216"/>
      <c r="AP78" s="216"/>
      <c r="AQ78" s="217"/>
      <c r="AR78" s="216"/>
      <c r="AS78" s="216"/>
      <c r="AT78" s="218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</row>
    <row r="79" spans="1:58" s="143" customFormat="1">
      <c r="A79" s="210"/>
      <c r="B79" s="211"/>
      <c r="C79" s="140"/>
      <c r="D79" s="210"/>
      <c r="G79" s="212"/>
      <c r="H79" s="212"/>
      <c r="I79" s="213"/>
      <c r="J79" s="212"/>
      <c r="K79" s="214"/>
      <c r="L79" s="159"/>
      <c r="M79" s="215"/>
      <c r="N79" s="216"/>
      <c r="O79" s="217"/>
      <c r="P79" s="216"/>
      <c r="Q79" s="216"/>
      <c r="R79" s="216"/>
      <c r="S79" s="217"/>
      <c r="T79" s="216"/>
      <c r="U79" s="216"/>
      <c r="V79" s="216"/>
      <c r="W79" s="217"/>
      <c r="X79" s="216"/>
      <c r="Y79" s="216"/>
      <c r="Z79" s="216"/>
      <c r="AA79" s="217"/>
      <c r="AB79" s="216"/>
      <c r="AC79" s="216"/>
      <c r="AD79" s="216"/>
      <c r="AE79" s="217"/>
      <c r="AF79" s="216"/>
      <c r="AG79" s="216"/>
      <c r="AH79" s="216"/>
      <c r="AI79" s="217"/>
      <c r="AJ79" s="216"/>
      <c r="AK79" s="216"/>
      <c r="AL79" s="216"/>
      <c r="AM79" s="217"/>
      <c r="AN79" s="216"/>
      <c r="AO79" s="216"/>
      <c r="AP79" s="216"/>
      <c r="AQ79" s="217"/>
      <c r="AR79" s="216"/>
      <c r="AS79" s="216"/>
      <c r="AT79" s="218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</row>
    <row r="80" spans="1:58" s="143" customFormat="1">
      <c r="A80" s="210"/>
      <c r="B80" s="211"/>
      <c r="C80" s="140"/>
      <c r="D80" s="210"/>
      <c r="G80" s="212"/>
      <c r="H80" s="212"/>
      <c r="I80" s="213"/>
      <c r="J80" s="212"/>
      <c r="K80" s="214"/>
      <c r="L80" s="159"/>
      <c r="M80" s="215"/>
      <c r="N80" s="216"/>
      <c r="O80" s="217"/>
      <c r="P80" s="216"/>
      <c r="Q80" s="216"/>
      <c r="R80" s="216"/>
      <c r="S80" s="217"/>
      <c r="T80" s="216"/>
      <c r="U80" s="216"/>
      <c r="V80" s="216"/>
      <c r="W80" s="217"/>
      <c r="X80" s="216"/>
      <c r="Y80" s="216"/>
      <c r="Z80" s="216"/>
      <c r="AA80" s="217"/>
      <c r="AB80" s="216"/>
      <c r="AC80" s="216"/>
      <c r="AD80" s="216"/>
      <c r="AE80" s="217"/>
      <c r="AF80" s="216"/>
      <c r="AG80" s="216"/>
      <c r="AH80" s="216"/>
      <c r="AI80" s="217"/>
      <c r="AJ80" s="216"/>
      <c r="AK80" s="216"/>
      <c r="AL80" s="216"/>
      <c r="AM80" s="217"/>
      <c r="AN80" s="216"/>
      <c r="AO80" s="216"/>
      <c r="AP80" s="216"/>
      <c r="AQ80" s="217"/>
      <c r="AR80" s="216"/>
      <c r="AS80" s="216"/>
      <c r="AT80" s="218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</row>
    <row r="81" spans="1:58" s="143" customFormat="1">
      <c r="A81" s="210"/>
      <c r="B81" s="211"/>
      <c r="C81" s="140"/>
      <c r="D81" s="210"/>
      <c r="G81" s="212"/>
      <c r="H81" s="212"/>
      <c r="I81" s="213"/>
      <c r="J81" s="212"/>
      <c r="K81" s="214"/>
      <c r="L81" s="159"/>
      <c r="M81" s="215"/>
      <c r="N81" s="216"/>
      <c r="O81" s="217"/>
      <c r="P81" s="216"/>
      <c r="Q81" s="216"/>
      <c r="R81" s="216"/>
      <c r="S81" s="217"/>
      <c r="T81" s="216"/>
      <c r="U81" s="216"/>
      <c r="V81" s="216"/>
      <c r="W81" s="217"/>
      <c r="X81" s="216"/>
      <c r="Y81" s="216"/>
      <c r="Z81" s="216"/>
      <c r="AA81" s="217"/>
      <c r="AB81" s="216"/>
      <c r="AC81" s="216"/>
      <c r="AD81" s="216"/>
      <c r="AE81" s="217"/>
      <c r="AF81" s="216"/>
      <c r="AG81" s="216"/>
      <c r="AH81" s="216"/>
      <c r="AI81" s="217"/>
      <c r="AJ81" s="216"/>
      <c r="AK81" s="216"/>
      <c r="AL81" s="216"/>
      <c r="AM81" s="217"/>
      <c r="AN81" s="216"/>
      <c r="AO81" s="216"/>
      <c r="AP81" s="216"/>
      <c r="AQ81" s="217"/>
      <c r="AR81" s="216"/>
      <c r="AS81" s="216"/>
      <c r="AT81" s="218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</row>
    <row r="82" spans="1:58" s="143" customFormat="1">
      <c r="A82" s="210"/>
      <c r="B82" s="211"/>
      <c r="C82" s="140"/>
      <c r="D82" s="210"/>
      <c r="G82" s="212"/>
      <c r="H82" s="212"/>
      <c r="I82" s="213"/>
      <c r="J82" s="212"/>
      <c r="K82" s="214"/>
      <c r="L82" s="159"/>
      <c r="M82" s="215"/>
      <c r="N82" s="216"/>
      <c r="O82" s="217"/>
      <c r="P82" s="216"/>
      <c r="Q82" s="216"/>
      <c r="R82" s="216"/>
      <c r="S82" s="217"/>
      <c r="T82" s="216"/>
      <c r="U82" s="216"/>
      <c r="V82" s="216"/>
      <c r="W82" s="217"/>
      <c r="X82" s="216"/>
      <c r="Y82" s="216"/>
      <c r="Z82" s="216"/>
      <c r="AA82" s="217"/>
      <c r="AB82" s="216"/>
      <c r="AC82" s="216"/>
      <c r="AD82" s="216"/>
      <c r="AE82" s="217"/>
      <c r="AF82" s="216"/>
      <c r="AG82" s="216"/>
      <c r="AH82" s="216"/>
      <c r="AI82" s="217"/>
      <c r="AJ82" s="216"/>
      <c r="AK82" s="216"/>
      <c r="AL82" s="216"/>
      <c r="AM82" s="217"/>
      <c r="AN82" s="216"/>
      <c r="AO82" s="216"/>
      <c r="AP82" s="216"/>
      <c r="AQ82" s="217"/>
      <c r="AR82" s="216"/>
      <c r="AS82" s="216"/>
      <c r="AT82" s="218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</row>
    <row r="83" spans="1:58" s="143" customFormat="1">
      <c r="A83" s="210"/>
      <c r="B83" s="211"/>
      <c r="C83" s="140"/>
      <c r="D83" s="210"/>
      <c r="G83" s="212"/>
      <c r="H83" s="212"/>
      <c r="I83" s="213"/>
      <c r="J83" s="212"/>
      <c r="K83" s="214"/>
      <c r="L83" s="159"/>
      <c r="M83" s="215"/>
      <c r="N83" s="216"/>
      <c r="O83" s="217"/>
      <c r="P83" s="216"/>
      <c r="Q83" s="216"/>
      <c r="R83" s="216"/>
      <c r="S83" s="217"/>
      <c r="T83" s="216"/>
      <c r="U83" s="216"/>
      <c r="V83" s="216"/>
      <c r="W83" s="217"/>
      <c r="X83" s="216"/>
      <c r="Y83" s="216"/>
      <c r="Z83" s="216"/>
      <c r="AA83" s="217"/>
      <c r="AB83" s="216"/>
      <c r="AC83" s="216"/>
      <c r="AD83" s="216"/>
      <c r="AE83" s="217"/>
      <c r="AF83" s="216"/>
      <c r="AG83" s="216"/>
      <c r="AH83" s="216"/>
      <c r="AI83" s="217"/>
      <c r="AJ83" s="216"/>
      <c r="AK83" s="216"/>
      <c r="AL83" s="216"/>
      <c r="AM83" s="217"/>
      <c r="AN83" s="216"/>
      <c r="AO83" s="216"/>
      <c r="AP83" s="216"/>
      <c r="AQ83" s="217"/>
      <c r="AR83" s="216"/>
      <c r="AS83" s="216"/>
      <c r="AT83" s="218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</row>
    <row r="84" spans="1:58" s="143" customFormat="1">
      <c r="A84" s="210"/>
      <c r="B84" s="211"/>
      <c r="C84" s="140"/>
      <c r="D84" s="210"/>
      <c r="G84" s="212"/>
      <c r="H84" s="212"/>
      <c r="I84" s="213"/>
      <c r="J84" s="212"/>
      <c r="K84" s="214"/>
      <c r="L84" s="159"/>
      <c r="M84" s="215"/>
      <c r="N84" s="216"/>
      <c r="O84" s="217"/>
      <c r="P84" s="216"/>
      <c r="Q84" s="216"/>
      <c r="R84" s="216"/>
      <c r="S84" s="217"/>
      <c r="T84" s="216"/>
      <c r="U84" s="216"/>
      <c r="V84" s="216"/>
      <c r="W84" s="217"/>
      <c r="X84" s="216"/>
      <c r="Y84" s="216"/>
      <c r="Z84" s="216"/>
      <c r="AA84" s="217"/>
      <c r="AB84" s="216"/>
      <c r="AC84" s="216"/>
      <c r="AD84" s="216"/>
      <c r="AE84" s="217"/>
      <c r="AF84" s="216"/>
      <c r="AG84" s="216"/>
      <c r="AH84" s="216"/>
      <c r="AI84" s="217"/>
      <c r="AJ84" s="216"/>
      <c r="AK84" s="216"/>
      <c r="AL84" s="216"/>
      <c r="AM84" s="217"/>
      <c r="AN84" s="216"/>
      <c r="AO84" s="216"/>
      <c r="AP84" s="216"/>
      <c r="AQ84" s="217"/>
      <c r="AR84" s="216"/>
      <c r="AS84" s="216"/>
      <c r="AT84" s="218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</row>
    <row r="85" spans="1:58" s="143" customFormat="1">
      <c r="A85" s="210"/>
      <c r="B85" s="211"/>
      <c r="C85" s="140"/>
      <c r="D85" s="210"/>
      <c r="G85" s="212"/>
      <c r="H85" s="212"/>
      <c r="I85" s="213"/>
      <c r="J85" s="212"/>
      <c r="K85" s="214"/>
      <c r="L85" s="159"/>
      <c r="M85" s="215"/>
      <c r="N85" s="216"/>
      <c r="O85" s="217"/>
      <c r="P85" s="216"/>
      <c r="Q85" s="216"/>
      <c r="R85" s="216"/>
      <c r="S85" s="217"/>
      <c r="T85" s="216"/>
      <c r="U85" s="216"/>
      <c r="V85" s="216"/>
      <c r="W85" s="217"/>
      <c r="X85" s="216"/>
      <c r="Y85" s="216"/>
      <c r="Z85" s="216"/>
      <c r="AA85" s="217"/>
      <c r="AB85" s="216"/>
      <c r="AC85" s="216"/>
      <c r="AD85" s="216"/>
      <c r="AE85" s="217"/>
      <c r="AF85" s="216"/>
      <c r="AG85" s="216"/>
      <c r="AH85" s="216"/>
      <c r="AI85" s="217"/>
      <c r="AJ85" s="216"/>
      <c r="AK85" s="216"/>
      <c r="AL85" s="216"/>
      <c r="AM85" s="217"/>
      <c r="AN85" s="216"/>
      <c r="AO85" s="216"/>
      <c r="AP85" s="216"/>
      <c r="AQ85" s="217"/>
      <c r="AR85" s="216"/>
      <c r="AS85" s="216"/>
      <c r="AT85" s="218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</row>
    <row r="86" spans="1:58" s="143" customFormat="1">
      <c r="A86" s="210"/>
      <c r="B86" s="211"/>
      <c r="C86" s="140"/>
      <c r="D86" s="210"/>
      <c r="G86" s="212"/>
      <c r="H86" s="212"/>
      <c r="I86" s="213"/>
      <c r="J86" s="212"/>
      <c r="K86" s="214"/>
      <c r="L86" s="159"/>
      <c r="M86" s="215"/>
      <c r="N86" s="216"/>
      <c r="O86" s="217"/>
      <c r="P86" s="216"/>
      <c r="Q86" s="216"/>
      <c r="R86" s="216"/>
      <c r="S86" s="217"/>
      <c r="T86" s="216"/>
      <c r="U86" s="216"/>
      <c r="V86" s="216"/>
      <c r="W86" s="217"/>
      <c r="X86" s="216"/>
      <c r="Y86" s="216"/>
      <c r="Z86" s="216"/>
      <c r="AA86" s="217"/>
      <c r="AB86" s="216"/>
      <c r="AC86" s="216"/>
      <c r="AD86" s="216"/>
      <c r="AE86" s="217"/>
      <c r="AF86" s="216"/>
      <c r="AG86" s="216"/>
      <c r="AH86" s="216"/>
      <c r="AI86" s="217"/>
      <c r="AJ86" s="216"/>
      <c r="AK86" s="216"/>
      <c r="AL86" s="216"/>
      <c r="AM86" s="217"/>
      <c r="AN86" s="216"/>
      <c r="AO86" s="216"/>
      <c r="AP86" s="216"/>
      <c r="AQ86" s="217"/>
      <c r="AR86" s="216"/>
      <c r="AS86" s="216"/>
      <c r="AT86" s="218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</row>
    <row r="87" spans="1:58" s="143" customFormat="1">
      <c r="A87" s="210"/>
      <c r="B87" s="211"/>
      <c r="C87" s="140"/>
      <c r="D87" s="210"/>
      <c r="G87" s="212"/>
      <c r="H87" s="212"/>
      <c r="I87" s="213"/>
      <c r="J87" s="212"/>
      <c r="K87" s="214"/>
      <c r="L87" s="159"/>
      <c r="M87" s="215"/>
      <c r="N87" s="216"/>
      <c r="O87" s="217"/>
      <c r="P87" s="216"/>
      <c r="Q87" s="216"/>
      <c r="R87" s="216"/>
      <c r="S87" s="217"/>
      <c r="T87" s="216"/>
      <c r="U87" s="216"/>
      <c r="V87" s="216"/>
      <c r="W87" s="217"/>
      <c r="X87" s="216"/>
      <c r="Y87" s="216"/>
      <c r="Z87" s="216"/>
      <c r="AA87" s="217"/>
      <c r="AB87" s="216"/>
      <c r="AC87" s="216"/>
      <c r="AD87" s="216"/>
      <c r="AE87" s="217"/>
      <c r="AF87" s="216"/>
      <c r="AG87" s="216"/>
      <c r="AH87" s="216"/>
      <c r="AI87" s="217"/>
      <c r="AJ87" s="216"/>
      <c r="AK87" s="216"/>
      <c r="AL87" s="216"/>
      <c r="AM87" s="217"/>
      <c r="AN87" s="216"/>
      <c r="AO87" s="216"/>
      <c r="AP87" s="216"/>
      <c r="AQ87" s="217"/>
      <c r="AR87" s="216"/>
      <c r="AS87" s="216"/>
      <c r="AT87" s="218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</row>
    <row r="88" spans="1:58" s="143" customFormat="1">
      <c r="A88" s="210"/>
      <c r="B88" s="211"/>
      <c r="C88" s="140"/>
      <c r="D88" s="210"/>
      <c r="G88" s="212"/>
      <c r="H88" s="212"/>
      <c r="I88" s="213"/>
      <c r="J88" s="212"/>
      <c r="K88" s="214"/>
      <c r="L88" s="159"/>
      <c r="M88" s="215"/>
      <c r="N88" s="216"/>
      <c r="O88" s="217"/>
      <c r="P88" s="216"/>
      <c r="Q88" s="216"/>
      <c r="R88" s="216"/>
      <c r="S88" s="217"/>
      <c r="T88" s="216"/>
      <c r="U88" s="216"/>
      <c r="V88" s="216"/>
      <c r="W88" s="217"/>
      <c r="X88" s="216"/>
      <c r="Y88" s="216"/>
      <c r="Z88" s="216"/>
      <c r="AA88" s="217"/>
      <c r="AB88" s="216"/>
      <c r="AC88" s="216"/>
      <c r="AD88" s="216"/>
      <c r="AE88" s="217"/>
      <c r="AF88" s="216"/>
      <c r="AG88" s="216"/>
      <c r="AH88" s="216"/>
      <c r="AI88" s="217"/>
      <c r="AJ88" s="216"/>
      <c r="AK88" s="216"/>
      <c r="AL88" s="216"/>
      <c r="AM88" s="217"/>
      <c r="AN88" s="216"/>
      <c r="AO88" s="216"/>
      <c r="AP88" s="216"/>
      <c r="AQ88" s="217"/>
      <c r="AR88" s="216"/>
      <c r="AS88" s="216"/>
      <c r="AT88" s="218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</row>
    <row r="89" spans="1:58" s="143" customFormat="1">
      <c r="A89" s="210"/>
      <c r="B89" s="211"/>
      <c r="C89" s="140"/>
      <c r="D89" s="210"/>
      <c r="G89" s="212"/>
      <c r="H89" s="212"/>
      <c r="I89" s="213"/>
      <c r="J89" s="212"/>
      <c r="K89" s="214"/>
      <c r="L89" s="159"/>
      <c r="M89" s="215"/>
      <c r="N89" s="216"/>
      <c r="O89" s="217"/>
      <c r="P89" s="216"/>
      <c r="Q89" s="216"/>
      <c r="R89" s="216"/>
      <c r="S89" s="217"/>
      <c r="T89" s="216"/>
      <c r="U89" s="216"/>
      <c r="V89" s="216"/>
      <c r="W89" s="217"/>
      <c r="X89" s="216"/>
      <c r="Y89" s="216"/>
      <c r="Z89" s="216"/>
      <c r="AA89" s="217"/>
      <c r="AB89" s="216"/>
      <c r="AC89" s="216"/>
      <c r="AD89" s="216"/>
      <c r="AE89" s="217"/>
      <c r="AF89" s="216"/>
      <c r="AG89" s="216"/>
      <c r="AH89" s="216"/>
      <c r="AI89" s="217"/>
      <c r="AJ89" s="216"/>
      <c r="AK89" s="216"/>
      <c r="AL89" s="216"/>
      <c r="AM89" s="217"/>
      <c r="AN89" s="216"/>
      <c r="AO89" s="216"/>
      <c r="AP89" s="216"/>
      <c r="AQ89" s="217"/>
      <c r="AR89" s="216"/>
      <c r="AS89" s="216"/>
      <c r="AT89" s="218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</row>
    <row r="90" spans="1:58" s="143" customFormat="1">
      <c r="A90" s="210"/>
      <c r="B90" s="211"/>
      <c r="C90" s="140"/>
      <c r="D90" s="210"/>
      <c r="G90" s="212"/>
      <c r="H90" s="212"/>
      <c r="I90" s="213"/>
      <c r="J90" s="212"/>
      <c r="K90" s="214"/>
      <c r="L90" s="159"/>
      <c r="M90" s="215"/>
      <c r="N90" s="216"/>
      <c r="O90" s="217"/>
      <c r="P90" s="216"/>
      <c r="Q90" s="216"/>
      <c r="R90" s="216"/>
      <c r="S90" s="217"/>
      <c r="T90" s="216"/>
      <c r="U90" s="216"/>
      <c r="V90" s="216"/>
      <c r="W90" s="217"/>
      <c r="X90" s="216"/>
      <c r="Y90" s="216"/>
      <c r="Z90" s="216"/>
      <c r="AA90" s="217"/>
      <c r="AB90" s="216"/>
      <c r="AC90" s="216"/>
      <c r="AD90" s="216"/>
      <c r="AE90" s="217"/>
      <c r="AF90" s="216"/>
      <c r="AG90" s="216"/>
      <c r="AH90" s="216"/>
      <c r="AI90" s="217"/>
      <c r="AJ90" s="216"/>
      <c r="AK90" s="216"/>
      <c r="AL90" s="216"/>
      <c r="AM90" s="217"/>
      <c r="AN90" s="216"/>
      <c r="AO90" s="216"/>
      <c r="AP90" s="216"/>
      <c r="AQ90" s="217"/>
      <c r="AR90" s="216"/>
      <c r="AS90" s="216"/>
      <c r="AT90" s="218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</row>
    <row r="91" spans="1:58" s="143" customFormat="1">
      <c r="A91" s="210"/>
      <c r="B91" s="211"/>
      <c r="C91" s="140"/>
      <c r="D91" s="210"/>
      <c r="G91" s="212"/>
      <c r="H91" s="212"/>
      <c r="I91" s="213"/>
      <c r="J91" s="212"/>
      <c r="K91" s="214"/>
      <c r="L91" s="159"/>
      <c r="M91" s="215"/>
      <c r="N91" s="216"/>
      <c r="O91" s="217"/>
      <c r="P91" s="216"/>
      <c r="Q91" s="216"/>
      <c r="R91" s="216"/>
      <c r="S91" s="217"/>
      <c r="T91" s="216"/>
      <c r="U91" s="216"/>
      <c r="V91" s="216"/>
      <c r="W91" s="217"/>
      <c r="X91" s="216"/>
      <c r="Y91" s="216"/>
      <c r="Z91" s="216"/>
      <c r="AA91" s="217"/>
      <c r="AB91" s="216"/>
      <c r="AC91" s="216"/>
      <c r="AD91" s="216"/>
      <c r="AE91" s="217"/>
      <c r="AF91" s="216"/>
      <c r="AG91" s="216"/>
      <c r="AH91" s="216"/>
      <c r="AI91" s="217"/>
      <c r="AJ91" s="216"/>
      <c r="AK91" s="216"/>
      <c r="AL91" s="216"/>
      <c r="AM91" s="217"/>
      <c r="AN91" s="216"/>
      <c r="AO91" s="216"/>
      <c r="AP91" s="216"/>
      <c r="AQ91" s="217"/>
      <c r="AR91" s="216"/>
      <c r="AS91" s="216"/>
      <c r="AT91" s="218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</row>
    <row r="92" spans="1:58" s="143" customFormat="1">
      <c r="A92" s="210"/>
      <c r="B92" s="211"/>
      <c r="C92" s="140"/>
      <c r="D92" s="210"/>
      <c r="G92" s="212"/>
      <c r="H92" s="212"/>
      <c r="I92" s="213"/>
      <c r="J92" s="212"/>
      <c r="K92" s="214"/>
      <c r="L92" s="159"/>
      <c r="M92" s="215"/>
      <c r="N92" s="216"/>
      <c r="O92" s="217"/>
      <c r="P92" s="216"/>
      <c r="Q92" s="216"/>
      <c r="R92" s="216"/>
      <c r="S92" s="217"/>
      <c r="T92" s="216"/>
      <c r="U92" s="216"/>
      <c r="V92" s="216"/>
      <c r="W92" s="217"/>
      <c r="X92" s="216"/>
      <c r="Y92" s="216"/>
      <c r="Z92" s="216"/>
      <c r="AA92" s="217"/>
      <c r="AB92" s="216"/>
      <c r="AC92" s="216"/>
      <c r="AD92" s="216"/>
      <c r="AE92" s="217"/>
      <c r="AF92" s="216"/>
      <c r="AG92" s="216"/>
      <c r="AH92" s="216"/>
      <c r="AI92" s="217"/>
      <c r="AJ92" s="216"/>
      <c r="AK92" s="216"/>
      <c r="AL92" s="216"/>
      <c r="AM92" s="217"/>
      <c r="AN92" s="216"/>
      <c r="AO92" s="216"/>
      <c r="AP92" s="216"/>
      <c r="AQ92" s="217"/>
      <c r="AR92" s="216"/>
      <c r="AS92" s="216"/>
      <c r="AT92" s="218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</row>
    <row r="93" spans="1:58" s="143" customFormat="1">
      <c r="A93" s="210"/>
      <c r="B93" s="211"/>
      <c r="C93" s="140"/>
      <c r="D93" s="210"/>
      <c r="G93" s="212"/>
      <c r="H93" s="212"/>
      <c r="I93" s="213"/>
      <c r="J93" s="212"/>
      <c r="K93" s="214"/>
      <c r="L93" s="159"/>
      <c r="M93" s="215"/>
      <c r="N93" s="216"/>
      <c r="O93" s="217"/>
      <c r="P93" s="216"/>
      <c r="Q93" s="216"/>
      <c r="R93" s="216"/>
      <c r="S93" s="217"/>
      <c r="T93" s="216"/>
      <c r="U93" s="216"/>
      <c r="V93" s="216"/>
      <c r="W93" s="217"/>
      <c r="X93" s="216"/>
      <c r="Y93" s="216"/>
      <c r="Z93" s="216"/>
      <c r="AA93" s="217"/>
      <c r="AB93" s="216"/>
      <c r="AC93" s="216"/>
      <c r="AD93" s="216"/>
      <c r="AE93" s="217"/>
      <c r="AF93" s="216"/>
      <c r="AG93" s="216"/>
      <c r="AH93" s="216"/>
      <c r="AI93" s="217"/>
      <c r="AJ93" s="216"/>
      <c r="AK93" s="216"/>
      <c r="AL93" s="216"/>
      <c r="AM93" s="217"/>
      <c r="AN93" s="216"/>
      <c r="AO93" s="216"/>
      <c r="AP93" s="216"/>
      <c r="AQ93" s="217"/>
      <c r="AR93" s="216"/>
      <c r="AS93" s="216"/>
      <c r="AT93" s="218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</row>
    <row r="94" spans="1:58" s="143" customFormat="1">
      <c r="A94" s="210"/>
      <c r="B94" s="211"/>
      <c r="C94" s="140"/>
      <c r="D94" s="210"/>
      <c r="G94" s="212"/>
      <c r="H94" s="212"/>
      <c r="I94" s="213"/>
      <c r="J94" s="212"/>
      <c r="K94" s="214"/>
      <c r="L94" s="159"/>
      <c r="M94" s="215"/>
      <c r="N94" s="216"/>
      <c r="O94" s="217"/>
      <c r="P94" s="216"/>
      <c r="Q94" s="216"/>
      <c r="R94" s="216"/>
      <c r="S94" s="217"/>
      <c r="T94" s="216"/>
      <c r="U94" s="216"/>
      <c r="V94" s="216"/>
      <c r="W94" s="217"/>
      <c r="X94" s="216"/>
      <c r="Y94" s="216"/>
      <c r="Z94" s="216"/>
      <c r="AA94" s="217"/>
      <c r="AB94" s="216"/>
      <c r="AC94" s="216"/>
      <c r="AD94" s="216"/>
      <c r="AE94" s="217"/>
      <c r="AF94" s="216"/>
      <c r="AG94" s="216"/>
      <c r="AH94" s="216"/>
      <c r="AI94" s="217"/>
      <c r="AJ94" s="216"/>
      <c r="AK94" s="216"/>
      <c r="AL94" s="216"/>
      <c r="AM94" s="217"/>
      <c r="AN94" s="216"/>
      <c r="AO94" s="216"/>
      <c r="AP94" s="216"/>
      <c r="AQ94" s="217"/>
      <c r="AR94" s="216"/>
      <c r="AS94" s="216"/>
      <c r="AT94" s="218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</row>
    <row r="95" spans="1:58" s="143" customFormat="1">
      <c r="A95" s="210"/>
      <c r="B95" s="211"/>
      <c r="C95" s="140"/>
      <c r="D95" s="210"/>
      <c r="G95" s="212"/>
      <c r="H95" s="212"/>
      <c r="I95" s="213"/>
      <c r="J95" s="212"/>
      <c r="K95" s="214"/>
      <c r="L95" s="159"/>
      <c r="M95" s="215"/>
      <c r="N95" s="216"/>
      <c r="O95" s="217"/>
      <c r="P95" s="216"/>
      <c r="Q95" s="216"/>
      <c r="R95" s="216"/>
      <c r="S95" s="217"/>
      <c r="T95" s="216"/>
      <c r="U95" s="216"/>
      <c r="V95" s="216"/>
      <c r="W95" s="217"/>
      <c r="X95" s="216"/>
      <c r="Y95" s="216"/>
      <c r="Z95" s="216"/>
      <c r="AA95" s="217"/>
      <c r="AB95" s="216"/>
      <c r="AC95" s="216"/>
      <c r="AD95" s="216"/>
      <c r="AE95" s="217"/>
      <c r="AF95" s="216"/>
      <c r="AG95" s="216"/>
      <c r="AH95" s="216"/>
      <c r="AI95" s="217"/>
      <c r="AJ95" s="216"/>
      <c r="AK95" s="216"/>
      <c r="AL95" s="216"/>
      <c r="AM95" s="217"/>
      <c r="AN95" s="216"/>
      <c r="AO95" s="216"/>
      <c r="AP95" s="216"/>
      <c r="AQ95" s="217"/>
      <c r="AR95" s="216"/>
      <c r="AS95" s="216"/>
      <c r="AT95" s="218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</row>
    <row r="96" spans="1:58" s="143" customFormat="1">
      <c r="A96" s="210"/>
      <c r="B96" s="211"/>
      <c r="C96" s="140"/>
      <c r="D96" s="210"/>
      <c r="G96" s="212"/>
      <c r="H96" s="212"/>
      <c r="I96" s="213"/>
      <c r="J96" s="212"/>
      <c r="K96" s="214"/>
      <c r="L96" s="159"/>
      <c r="M96" s="215"/>
      <c r="N96" s="216"/>
      <c r="O96" s="217"/>
      <c r="P96" s="216"/>
      <c r="Q96" s="216"/>
      <c r="R96" s="216"/>
      <c r="S96" s="217"/>
      <c r="T96" s="216"/>
      <c r="U96" s="216"/>
      <c r="V96" s="216"/>
      <c r="W96" s="217"/>
      <c r="X96" s="216"/>
      <c r="Y96" s="216"/>
      <c r="Z96" s="216"/>
      <c r="AA96" s="217"/>
      <c r="AB96" s="216"/>
      <c r="AC96" s="216"/>
      <c r="AD96" s="216"/>
      <c r="AE96" s="217"/>
      <c r="AF96" s="216"/>
      <c r="AG96" s="216"/>
      <c r="AH96" s="216"/>
      <c r="AI96" s="217"/>
      <c r="AJ96" s="216"/>
      <c r="AK96" s="216"/>
      <c r="AL96" s="216"/>
      <c r="AM96" s="217"/>
      <c r="AN96" s="216"/>
      <c r="AO96" s="216"/>
      <c r="AP96" s="216"/>
      <c r="AQ96" s="217"/>
      <c r="AR96" s="216"/>
      <c r="AS96" s="216"/>
      <c r="AT96" s="218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</row>
    <row r="97" spans="1:58" s="143" customFormat="1">
      <c r="A97" s="210"/>
      <c r="B97" s="211"/>
      <c r="C97" s="140"/>
      <c r="D97" s="210"/>
      <c r="G97" s="212"/>
      <c r="H97" s="212"/>
      <c r="I97" s="213"/>
      <c r="J97" s="212"/>
      <c r="K97" s="214"/>
      <c r="L97" s="159"/>
      <c r="M97" s="215"/>
      <c r="N97" s="216"/>
      <c r="O97" s="217"/>
      <c r="P97" s="216"/>
      <c r="Q97" s="216"/>
      <c r="R97" s="216"/>
      <c r="S97" s="217"/>
      <c r="T97" s="216"/>
      <c r="U97" s="216"/>
      <c r="V97" s="216"/>
      <c r="W97" s="217"/>
      <c r="X97" s="216"/>
      <c r="Y97" s="216"/>
      <c r="Z97" s="216"/>
      <c r="AA97" s="217"/>
      <c r="AB97" s="216"/>
      <c r="AC97" s="216"/>
      <c r="AD97" s="216"/>
      <c r="AE97" s="217"/>
      <c r="AF97" s="216"/>
      <c r="AG97" s="216"/>
      <c r="AH97" s="216"/>
      <c r="AI97" s="217"/>
      <c r="AJ97" s="216"/>
      <c r="AK97" s="216"/>
      <c r="AL97" s="216"/>
      <c r="AM97" s="217"/>
      <c r="AN97" s="216"/>
      <c r="AO97" s="216"/>
      <c r="AP97" s="216"/>
      <c r="AQ97" s="217"/>
      <c r="AR97" s="216"/>
      <c r="AS97" s="216"/>
      <c r="AT97" s="218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</row>
    <row r="98" spans="1:58" s="143" customFormat="1">
      <c r="A98" s="210"/>
      <c r="B98" s="211"/>
      <c r="C98" s="140"/>
      <c r="D98" s="210"/>
      <c r="G98" s="212"/>
      <c r="H98" s="212"/>
      <c r="I98" s="213"/>
      <c r="J98" s="212"/>
      <c r="K98" s="214"/>
      <c r="L98" s="159"/>
      <c r="M98" s="215"/>
      <c r="N98" s="216"/>
      <c r="O98" s="217"/>
      <c r="P98" s="216"/>
      <c r="Q98" s="216"/>
      <c r="R98" s="216"/>
      <c r="S98" s="217"/>
      <c r="T98" s="216"/>
      <c r="U98" s="216"/>
      <c r="V98" s="216"/>
      <c r="W98" s="217"/>
      <c r="X98" s="216"/>
      <c r="Y98" s="216"/>
      <c r="Z98" s="216"/>
      <c r="AA98" s="217"/>
      <c r="AB98" s="216"/>
      <c r="AC98" s="216"/>
      <c r="AD98" s="216"/>
      <c r="AE98" s="217"/>
      <c r="AF98" s="216"/>
      <c r="AG98" s="216"/>
      <c r="AH98" s="216"/>
      <c r="AI98" s="217"/>
      <c r="AJ98" s="216"/>
      <c r="AK98" s="216"/>
      <c r="AL98" s="216"/>
      <c r="AM98" s="217"/>
      <c r="AN98" s="216"/>
      <c r="AO98" s="216"/>
      <c r="AP98" s="216"/>
      <c r="AQ98" s="217"/>
      <c r="AR98" s="216"/>
      <c r="AS98" s="216"/>
      <c r="AT98" s="218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</row>
    <row r="99" spans="1:58" s="143" customFormat="1">
      <c r="A99" s="210"/>
      <c r="B99" s="211"/>
      <c r="C99" s="140"/>
      <c r="D99" s="210"/>
      <c r="G99" s="212"/>
      <c r="H99" s="212"/>
      <c r="I99" s="213"/>
      <c r="J99" s="212"/>
      <c r="K99" s="214"/>
      <c r="L99" s="159"/>
      <c r="M99" s="215"/>
      <c r="N99" s="216"/>
      <c r="O99" s="217"/>
      <c r="P99" s="216"/>
      <c r="Q99" s="216"/>
      <c r="R99" s="216"/>
      <c r="S99" s="217"/>
      <c r="T99" s="216"/>
      <c r="U99" s="216"/>
      <c r="V99" s="216"/>
      <c r="W99" s="217"/>
      <c r="X99" s="216"/>
      <c r="Y99" s="216"/>
      <c r="Z99" s="216"/>
      <c r="AA99" s="217"/>
      <c r="AB99" s="216"/>
      <c r="AC99" s="216"/>
      <c r="AD99" s="216"/>
      <c r="AE99" s="217"/>
      <c r="AF99" s="216"/>
      <c r="AG99" s="216"/>
      <c r="AH99" s="216"/>
      <c r="AI99" s="217"/>
      <c r="AJ99" s="216"/>
      <c r="AK99" s="216"/>
      <c r="AL99" s="216"/>
      <c r="AM99" s="217"/>
      <c r="AN99" s="216"/>
      <c r="AO99" s="216"/>
      <c r="AP99" s="216"/>
      <c r="AQ99" s="217"/>
      <c r="AR99" s="216"/>
      <c r="AS99" s="216"/>
      <c r="AT99" s="218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</row>
    <row r="100" spans="1:58" s="143" customFormat="1">
      <c r="A100" s="210"/>
      <c r="B100" s="211"/>
      <c r="C100" s="140"/>
      <c r="D100" s="210"/>
      <c r="G100" s="212"/>
      <c r="H100" s="212"/>
      <c r="I100" s="213"/>
      <c r="J100" s="212"/>
      <c r="K100" s="214"/>
      <c r="L100" s="159"/>
      <c r="M100" s="215"/>
      <c r="N100" s="216"/>
      <c r="O100" s="217"/>
      <c r="P100" s="216"/>
      <c r="Q100" s="216"/>
      <c r="R100" s="216"/>
      <c r="S100" s="217"/>
      <c r="T100" s="216"/>
      <c r="U100" s="216"/>
      <c r="V100" s="216"/>
      <c r="W100" s="217"/>
      <c r="X100" s="216"/>
      <c r="Y100" s="216"/>
      <c r="Z100" s="216"/>
      <c r="AA100" s="217"/>
      <c r="AB100" s="216"/>
      <c r="AC100" s="216"/>
      <c r="AD100" s="216"/>
      <c r="AE100" s="217"/>
      <c r="AF100" s="216"/>
      <c r="AG100" s="216"/>
      <c r="AH100" s="216"/>
      <c r="AI100" s="217"/>
      <c r="AJ100" s="216"/>
      <c r="AK100" s="216"/>
      <c r="AL100" s="216"/>
      <c r="AM100" s="217"/>
      <c r="AN100" s="216"/>
      <c r="AO100" s="216"/>
      <c r="AP100" s="216"/>
      <c r="AQ100" s="217"/>
      <c r="AR100" s="216"/>
      <c r="AS100" s="216"/>
      <c r="AT100" s="218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</row>
    <row r="101" spans="1:58" s="143" customFormat="1">
      <c r="A101" s="210"/>
      <c r="B101" s="211"/>
      <c r="C101" s="140"/>
      <c r="D101" s="210"/>
      <c r="G101" s="212"/>
      <c r="H101" s="212"/>
      <c r="I101" s="213"/>
      <c r="J101" s="212"/>
      <c r="K101" s="214"/>
      <c r="L101" s="159"/>
      <c r="M101" s="215"/>
      <c r="N101" s="216"/>
      <c r="O101" s="217"/>
      <c r="P101" s="216"/>
      <c r="Q101" s="216"/>
      <c r="R101" s="216"/>
      <c r="S101" s="217"/>
      <c r="T101" s="216"/>
      <c r="U101" s="216"/>
      <c r="V101" s="216"/>
      <c r="W101" s="217"/>
      <c r="X101" s="216"/>
      <c r="Y101" s="216"/>
      <c r="Z101" s="216"/>
      <c r="AA101" s="217"/>
      <c r="AB101" s="216"/>
      <c r="AC101" s="216"/>
      <c r="AD101" s="216"/>
      <c r="AE101" s="217"/>
      <c r="AF101" s="216"/>
      <c r="AG101" s="216"/>
      <c r="AH101" s="216"/>
      <c r="AI101" s="217"/>
      <c r="AJ101" s="216"/>
      <c r="AK101" s="216"/>
      <c r="AL101" s="216"/>
      <c r="AM101" s="217"/>
      <c r="AN101" s="216"/>
      <c r="AO101" s="216"/>
      <c r="AP101" s="216"/>
      <c r="AQ101" s="217"/>
      <c r="AR101" s="216"/>
      <c r="AS101" s="216"/>
      <c r="AT101" s="218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</row>
    <row r="102" spans="1:58" s="143" customFormat="1">
      <c r="A102" s="210"/>
      <c r="B102" s="211"/>
      <c r="C102" s="140"/>
      <c r="D102" s="210"/>
      <c r="G102" s="212"/>
      <c r="H102" s="212"/>
      <c r="I102" s="213"/>
      <c r="J102" s="212"/>
      <c r="K102" s="214"/>
      <c r="L102" s="159"/>
      <c r="M102" s="215"/>
      <c r="N102" s="216"/>
      <c r="O102" s="217"/>
      <c r="P102" s="216"/>
      <c r="Q102" s="216"/>
      <c r="R102" s="216"/>
      <c r="S102" s="217"/>
      <c r="T102" s="216"/>
      <c r="U102" s="216"/>
      <c r="V102" s="216"/>
      <c r="W102" s="217"/>
      <c r="X102" s="216"/>
      <c r="Y102" s="216"/>
      <c r="Z102" s="216"/>
      <c r="AA102" s="217"/>
      <c r="AB102" s="216"/>
      <c r="AC102" s="216"/>
      <c r="AD102" s="216"/>
      <c r="AE102" s="217"/>
      <c r="AF102" s="216"/>
      <c r="AG102" s="216"/>
      <c r="AH102" s="216"/>
      <c r="AI102" s="217"/>
      <c r="AJ102" s="216"/>
      <c r="AK102" s="216"/>
      <c r="AL102" s="216"/>
      <c r="AM102" s="217"/>
      <c r="AN102" s="216"/>
      <c r="AO102" s="216"/>
      <c r="AP102" s="216"/>
      <c r="AQ102" s="217"/>
      <c r="AR102" s="216"/>
      <c r="AS102" s="216"/>
      <c r="AT102" s="218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</row>
    <row r="103" spans="1:58" s="143" customFormat="1">
      <c r="A103" s="210"/>
      <c r="B103" s="211"/>
      <c r="C103" s="140"/>
      <c r="D103" s="210"/>
      <c r="G103" s="212"/>
      <c r="H103" s="212"/>
      <c r="I103" s="213"/>
      <c r="J103" s="212"/>
      <c r="K103" s="214"/>
      <c r="L103" s="159"/>
      <c r="M103" s="215"/>
      <c r="N103" s="216"/>
      <c r="O103" s="217"/>
      <c r="P103" s="216"/>
      <c r="Q103" s="216"/>
      <c r="R103" s="216"/>
      <c r="S103" s="217"/>
      <c r="T103" s="216"/>
      <c r="U103" s="216"/>
      <c r="V103" s="216"/>
      <c r="W103" s="217"/>
      <c r="X103" s="216"/>
      <c r="Y103" s="216"/>
      <c r="Z103" s="216"/>
      <c r="AA103" s="217"/>
      <c r="AB103" s="216"/>
      <c r="AC103" s="216"/>
      <c r="AD103" s="216"/>
      <c r="AE103" s="217"/>
      <c r="AF103" s="216"/>
      <c r="AG103" s="216"/>
      <c r="AH103" s="216"/>
      <c r="AI103" s="217"/>
      <c r="AJ103" s="216"/>
      <c r="AK103" s="216"/>
      <c r="AL103" s="216"/>
      <c r="AM103" s="217"/>
      <c r="AN103" s="216"/>
      <c r="AO103" s="216"/>
      <c r="AP103" s="216"/>
      <c r="AQ103" s="217"/>
      <c r="AR103" s="216"/>
      <c r="AS103" s="216"/>
      <c r="AT103" s="218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</row>
    <row r="104" spans="1:58" s="143" customFormat="1">
      <c r="A104" s="210"/>
      <c r="B104" s="211"/>
      <c r="C104" s="140"/>
      <c r="D104" s="210"/>
      <c r="G104" s="212"/>
      <c r="H104" s="212"/>
      <c r="I104" s="213"/>
      <c r="J104" s="212"/>
      <c r="K104" s="214"/>
      <c r="L104" s="159"/>
      <c r="M104" s="215"/>
      <c r="N104" s="216"/>
      <c r="O104" s="217"/>
      <c r="P104" s="216"/>
      <c r="Q104" s="216"/>
      <c r="R104" s="216"/>
      <c r="S104" s="217"/>
      <c r="T104" s="216"/>
      <c r="U104" s="216"/>
      <c r="V104" s="216"/>
      <c r="W104" s="217"/>
      <c r="X104" s="216"/>
      <c r="Y104" s="216"/>
      <c r="Z104" s="216"/>
      <c r="AA104" s="217"/>
      <c r="AB104" s="216"/>
      <c r="AC104" s="216"/>
      <c r="AD104" s="216"/>
      <c r="AE104" s="217"/>
      <c r="AF104" s="216"/>
      <c r="AG104" s="216"/>
      <c r="AH104" s="216"/>
      <c r="AI104" s="217"/>
      <c r="AJ104" s="216"/>
      <c r="AK104" s="216"/>
      <c r="AL104" s="216"/>
      <c r="AM104" s="217"/>
      <c r="AN104" s="216"/>
      <c r="AO104" s="216"/>
      <c r="AP104" s="216"/>
      <c r="AQ104" s="217"/>
      <c r="AR104" s="216"/>
      <c r="AS104" s="216"/>
      <c r="AT104" s="218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</row>
    <row r="105" spans="1:58" s="143" customFormat="1">
      <c r="A105" s="210"/>
      <c r="B105" s="211"/>
      <c r="C105" s="140"/>
      <c r="D105" s="210"/>
      <c r="G105" s="212"/>
      <c r="H105" s="212"/>
      <c r="I105" s="213"/>
      <c r="J105" s="212"/>
      <c r="K105" s="214"/>
      <c r="L105" s="159"/>
      <c r="M105" s="215"/>
      <c r="N105" s="216"/>
      <c r="O105" s="217"/>
      <c r="P105" s="216"/>
      <c r="Q105" s="216"/>
      <c r="R105" s="216"/>
      <c r="S105" s="217"/>
      <c r="T105" s="216"/>
      <c r="U105" s="216"/>
      <c r="V105" s="216"/>
      <c r="W105" s="217"/>
      <c r="X105" s="216"/>
      <c r="Y105" s="216"/>
      <c r="Z105" s="216"/>
      <c r="AA105" s="217"/>
      <c r="AB105" s="216"/>
      <c r="AC105" s="216"/>
      <c r="AD105" s="216"/>
      <c r="AE105" s="217"/>
      <c r="AF105" s="216"/>
      <c r="AG105" s="216"/>
      <c r="AH105" s="216"/>
      <c r="AI105" s="217"/>
      <c r="AJ105" s="216"/>
      <c r="AK105" s="216"/>
      <c r="AL105" s="216"/>
      <c r="AM105" s="217"/>
      <c r="AN105" s="216"/>
      <c r="AO105" s="216"/>
      <c r="AP105" s="216"/>
      <c r="AQ105" s="217"/>
      <c r="AR105" s="216"/>
      <c r="AS105" s="216"/>
      <c r="AT105" s="218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</row>
    <row r="106" spans="1:58" s="143" customFormat="1">
      <c r="A106" s="210"/>
      <c r="B106" s="211"/>
      <c r="C106" s="140"/>
      <c r="D106" s="210"/>
      <c r="G106" s="212"/>
      <c r="H106" s="212"/>
      <c r="I106" s="213"/>
      <c r="J106" s="212"/>
      <c r="K106" s="214"/>
      <c r="L106" s="159"/>
      <c r="M106" s="215"/>
      <c r="N106" s="216"/>
      <c r="O106" s="217"/>
      <c r="P106" s="216"/>
      <c r="Q106" s="216"/>
      <c r="R106" s="216"/>
      <c r="S106" s="217"/>
      <c r="T106" s="216"/>
      <c r="U106" s="216"/>
      <c r="V106" s="216"/>
      <c r="W106" s="217"/>
      <c r="X106" s="216"/>
      <c r="Y106" s="216"/>
      <c r="Z106" s="216"/>
      <c r="AA106" s="217"/>
      <c r="AB106" s="216"/>
      <c r="AC106" s="216"/>
      <c r="AD106" s="216"/>
      <c r="AE106" s="217"/>
      <c r="AF106" s="216"/>
      <c r="AG106" s="216"/>
      <c r="AH106" s="216"/>
      <c r="AI106" s="217"/>
      <c r="AJ106" s="216"/>
      <c r="AK106" s="216"/>
      <c r="AL106" s="216"/>
      <c r="AM106" s="217"/>
      <c r="AN106" s="216"/>
      <c r="AO106" s="216"/>
      <c r="AP106" s="216"/>
      <c r="AQ106" s="217"/>
      <c r="AR106" s="216"/>
      <c r="AS106" s="216"/>
      <c r="AT106" s="218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</row>
    <row r="107" spans="1:58" s="143" customFormat="1">
      <c r="A107" s="210"/>
      <c r="B107" s="211"/>
      <c r="C107" s="140"/>
      <c r="D107" s="210"/>
      <c r="G107" s="212"/>
      <c r="H107" s="212"/>
      <c r="I107" s="213"/>
      <c r="J107" s="212"/>
      <c r="K107" s="214"/>
      <c r="L107" s="159"/>
      <c r="M107" s="215"/>
      <c r="N107" s="216"/>
      <c r="O107" s="217"/>
      <c r="P107" s="216"/>
      <c r="Q107" s="216"/>
      <c r="R107" s="216"/>
      <c r="S107" s="217"/>
      <c r="T107" s="216"/>
      <c r="U107" s="216"/>
      <c r="V107" s="216"/>
      <c r="W107" s="217"/>
      <c r="X107" s="216"/>
      <c r="Y107" s="216"/>
      <c r="Z107" s="216"/>
      <c r="AA107" s="217"/>
      <c r="AB107" s="216"/>
      <c r="AC107" s="216"/>
      <c r="AD107" s="216"/>
      <c r="AE107" s="217"/>
      <c r="AF107" s="216"/>
      <c r="AG107" s="216"/>
      <c r="AH107" s="216"/>
      <c r="AI107" s="217"/>
      <c r="AJ107" s="216"/>
      <c r="AK107" s="216"/>
      <c r="AL107" s="216"/>
      <c r="AM107" s="217"/>
      <c r="AN107" s="216"/>
      <c r="AO107" s="216"/>
      <c r="AP107" s="216"/>
      <c r="AQ107" s="217"/>
      <c r="AR107" s="216"/>
      <c r="AS107" s="216"/>
      <c r="AT107" s="218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</row>
    <row r="108" spans="1:58" s="143" customFormat="1">
      <c r="A108" s="210"/>
      <c r="B108" s="211"/>
      <c r="C108" s="140"/>
      <c r="D108" s="210"/>
      <c r="G108" s="212"/>
      <c r="H108" s="212"/>
      <c r="I108" s="213"/>
      <c r="J108" s="212"/>
      <c r="K108" s="214"/>
      <c r="L108" s="159"/>
      <c r="M108" s="215"/>
      <c r="N108" s="216"/>
      <c r="O108" s="217"/>
      <c r="P108" s="216"/>
      <c r="Q108" s="216"/>
      <c r="R108" s="216"/>
      <c r="S108" s="217"/>
      <c r="T108" s="216"/>
      <c r="U108" s="216"/>
      <c r="V108" s="216"/>
      <c r="W108" s="217"/>
      <c r="X108" s="216"/>
      <c r="Y108" s="216"/>
      <c r="Z108" s="216"/>
      <c r="AA108" s="217"/>
      <c r="AB108" s="216"/>
      <c r="AC108" s="216"/>
      <c r="AD108" s="216"/>
      <c r="AE108" s="217"/>
      <c r="AF108" s="216"/>
      <c r="AG108" s="216"/>
      <c r="AH108" s="216"/>
      <c r="AI108" s="217"/>
      <c r="AJ108" s="216"/>
      <c r="AK108" s="216"/>
      <c r="AL108" s="216"/>
      <c r="AM108" s="217"/>
      <c r="AN108" s="216"/>
      <c r="AO108" s="216"/>
      <c r="AP108" s="216"/>
      <c r="AQ108" s="217"/>
      <c r="AR108" s="216"/>
      <c r="AS108" s="216"/>
      <c r="AT108" s="218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</row>
    <row r="109" spans="1:58" s="143" customFormat="1">
      <c r="A109" s="210"/>
      <c r="B109" s="211"/>
      <c r="C109" s="140"/>
      <c r="D109" s="210"/>
      <c r="G109" s="212"/>
      <c r="H109" s="212"/>
      <c r="I109" s="213"/>
      <c r="J109" s="212"/>
      <c r="K109" s="214"/>
      <c r="L109" s="159"/>
      <c r="M109" s="215"/>
      <c r="N109" s="216"/>
      <c r="O109" s="217"/>
      <c r="P109" s="216"/>
      <c r="Q109" s="216"/>
      <c r="R109" s="216"/>
      <c r="S109" s="217"/>
      <c r="T109" s="216"/>
      <c r="U109" s="216"/>
      <c r="V109" s="216"/>
      <c r="W109" s="217"/>
      <c r="X109" s="216"/>
      <c r="Y109" s="216"/>
      <c r="Z109" s="216"/>
      <c r="AA109" s="217"/>
      <c r="AB109" s="216"/>
      <c r="AC109" s="216"/>
      <c r="AD109" s="216"/>
      <c r="AE109" s="217"/>
      <c r="AF109" s="216"/>
      <c r="AG109" s="216"/>
      <c r="AH109" s="216"/>
      <c r="AI109" s="217"/>
      <c r="AJ109" s="216"/>
      <c r="AK109" s="216"/>
      <c r="AL109" s="216"/>
      <c r="AM109" s="217"/>
      <c r="AN109" s="216"/>
      <c r="AO109" s="216"/>
      <c r="AP109" s="216"/>
      <c r="AQ109" s="217"/>
      <c r="AR109" s="216"/>
      <c r="AS109" s="216"/>
      <c r="AT109" s="218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</row>
    <row r="110" spans="1:58" s="143" customFormat="1">
      <c r="A110" s="210"/>
      <c r="B110" s="211"/>
      <c r="C110" s="140"/>
      <c r="D110" s="210"/>
      <c r="G110" s="212"/>
      <c r="H110" s="212"/>
      <c r="I110" s="213"/>
      <c r="J110" s="212"/>
      <c r="K110" s="214"/>
      <c r="L110" s="159"/>
      <c r="M110" s="215"/>
      <c r="N110" s="216"/>
      <c r="O110" s="217"/>
      <c r="P110" s="216"/>
      <c r="Q110" s="216"/>
      <c r="R110" s="216"/>
      <c r="S110" s="217"/>
      <c r="T110" s="216"/>
      <c r="U110" s="216"/>
      <c r="V110" s="216"/>
      <c r="W110" s="217"/>
      <c r="X110" s="216"/>
      <c r="Y110" s="216"/>
      <c r="Z110" s="216"/>
      <c r="AA110" s="217"/>
      <c r="AB110" s="216"/>
      <c r="AC110" s="216"/>
      <c r="AD110" s="216"/>
      <c r="AE110" s="217"/>
      <c r="AF110" s="216"/>
      <c r="AG110" s="216"/>
      <c r="AH110" s="216"/>
      <c r="AI110" s="217"/>
      <c r="AJ110" s="216"/>
      <c r="AK110" s="216"/>
      <c r="AL110" s="216"/>
      <c r="AM110" s="217"/>
      <c r="AN110" s="216"/>
      <c r="AO110" s="216"/>
      <c r="AP110" s="216"/>
      <c r="AQ110" s="217"/>
      <c r="AR110" s="216"/>
      <c r="AS110" s="216"/>
      <c r="AT110" s="218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</row>
    <row r="111" spans="1:58" s="143" customFormat="1">
      <c r="A111" s="210"/>
      <c r="B111" s="211"/>
      <c r="C111" s="140"/>
      <c r="D111" s="210"/>
      <c r="G111" s="212"/>
      <c r="H111" s="212"/>
      <c r="I111" s="213"/>
      <c r="J111" s="212"/>
      <c r="K111" s="214"/>
      <c r="L111" s="159"/>
      <c r="M111" s="215"/>
      <c r="N111" s="216"/>
      <c r="O111" s="217"/>
      <c r="P111" s="216"/>
      <c r="Q111" s="216"/>
      <c r="R111" s="216"/>
      <c r="S111" s="217"/>
      <c r="T111" s="216"/>
      <c r="U111" s="216"/>
      <c r="V111" s="216"/>
      <c r="W111" s="217"/>
      <c r="X111" s="216"/>
      <c r="Y111" s="216"/>
      <c r="Z111" s="216"/>
      <c r="AA111" s="217"/>
      <c r="AB111" s="216"/>
      <c r="AC111" s="216"/>
      <c r="AD111" s="216"/>
      <c r="AE111" s="217"/>
      <c r="AF111" s="216"/>
      <c r="AG111" s="216"/>
      <c r="AH111" s="216"/>
      <c r="AI111" s="217"/>
      <c r="AJ111" s="216"/>
      <c r="AK111" s="216"/>
      <c r="AL111" s="216"/>
      <c r="AM111" s="217"/>
      <c r="AN111" s="216"/>
      <c r="AO111" s="216"/>
      <c r="AP111" s="216"/>
      <c r="AQ111" s="217"/>
      <c r="AR111" s="216"/>
      <c r="AS111" s="216"/>
      <c r="AT111" s="218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</row>
    <row r="112" spans="1:58" s="143" customFormat="1">
      <c r="A112" s="210"/>
      <c r="B112" s="211"/>
      <c r="C112" s="140"/>
      <c r="D112" s="210"/>
      <c r="G112" s="212"/>
      <c r="H112" s="212"/>
      <c r="I112" s="213"/>
      <c r="J112" s="212"/>
      <c r="K112" s="214"/>
      <c r="L112" s="159"/>
      <c r="M112" s="215"/>
      <c r="N112" s="216"/>
      <c r="O112" s="217"/>
      <c r="P112" s="216"/>
      <c r="Q112" s="216"/>
      <c r="R112" s="216"/>
      <c r="S112" s="217"/>
      <c r="T112" s="216"/>
      <c r="U112" s="216"/>
      <c r="V112" s="216"/>
      <c r="W112" s="217"/>
      <c r="X112" s="216"/>
      <c r="Y112" s="216"/>
      <c r="Z112" s="216"/>
      <c r="AA112" s="217"/>
      <c r="AB112" s="216"/>
      <c r="AC112" s="216"/>
      <c r="AD112" s="216"/>
      <c r="AE112" s="217"/>
      <c r="AF112" s="216"/>
      <c r="AG112" s="216"/>
      <c r="AH112" s="216"/>
      <c r="AI112" s="217"/>
      <c r="AJ112" s="216"/>
      <c r="AK112" s="216"/>
      <c r="AL112" s="216"/>
      <c r="AM112" s="217"/>
      <c r="AN112" s="216"/>
      <c r="AO112" s="216"/>
      <c r="AP112" s="216"/>
      <c r="AQ112" s="217"/>
      <c r="AR112" s="216"/>
      <c r="AS112" s="216"/>
      <c r="AT112" s="218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</row>
    <row r="113" spans="1:58" s="143" customFormat="1">
      <c r="A113" s="210"/>
      <c r="B113" s="211"/>
      <c r="C113" s="140"/>
      <c r="D113" s="210"/>
      <c r="G113" s="212"/>
      <c r="H113" s="212"/>
      <c r="I113" s="213"/>
      <c r="J113" s="212"/>
      <c r="K113" s="214"/>
      <c r="L113" s="159"/>
      <c r="M113" s="215"/>
      <c r="N113" s="216"/>
      <c r="O113" s="217"/>
      <c r="P113" s="216"/>
      <c r="Q113" s="216"/>
      <c r="R113" s="216"/>
      <c r="S113" s="217"/>
      <c r="T113" s="216"/>
      <c r="U113" s="216"/>
      <c r="V113" s="216"/>
      <c r="W113" s="217"/>
      <c r="X113" s="216"/>
      <c r="Y113" s="216"/>
      <c r="Z113" s="216"/>
      <c r="AA113" s="217"/>
      <c r="AB113" s="216"/>
      <c r="AC113" s="216"/>
      <c r="AD113" s="216"/>
      <c r="AE113" s="217"/>
      <c r="AF113" s="216"/>
      <c r="AG113" s="216"/>
      <c r="AH113" s="216"/>
      <c r="AI113" s="217"/>
      <c r="AJ113" s="216"/>
      <c r="AK113" s="216"/>
      <c r="AL113" s="216"/>
      <c r="AM113" s="217"/>
      <c r="AN113" s="216"/>
      <c r="AO113" s="216"/>
      <c r="AP113" s="216"/>
      <c r="AQ113" s="217"/>
      <c r="AR113" s="216"/>
      <c r="AS113" s="216"/>
      <c r="AT113" s="218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</row>
    <row r="114" spans="1:58" s="143" customFormat="1">
      <c r="A114" s="210"/>
      <c r="B114" s="211"/>
      <c r="C114" s="140"/>
      <c r="D114" s="210"/>
      <c r="G114" s="212"/>
      <c r="H114" s="212"/>
      <c r="I114" s="213"/>
      <c r="J114" s="212"/>
      <c r="K114" s="214"/>
      <c r="L114" s="159"/>
      <c r="M114" s="215"/>
      <c r="N114" s="216"/>
      <c r="O114" s="217"/>
      <c r="P114" s="216"/>
      <c r="Q114" s="216"/>
      <c r="R114" s="216"/>
      <c r="S114" s="217"/>
      <c r="T114" s="216"/>
      <c r="U114" s="216"/>
      <c r="V114" s="216"/>
      <c r="W114" s="217"/>
      <c r="X114" s="216"/>
      <c r="Y114" s="216"/>
      <c r="Z114" s="216"/>
      <c r="AA114" s="217"/>
      <c r="AB114" s="216"/>
      <c r="AC114" s="216"/>
      <c r="AD114" s="216"/>
      <c r="AE114" s="217"/>
      <c r="AF114" s="216"/>
      <c r="AG114" s="216"/>
      <c r="AH114" s="216"/>
      <c r="AI114" s="217"/>
      <c r="AJ114" s="216"/>
      <c r="AK114" s="216"/>
      <c r="AL114" s="216"/>
      <c r="AM114" s="217"/>
      <c r="AN114" s="216"/>
      <c r="AO114" s="216"/>
      <c r="AP114" s="216"/>
      <c r="AQ114" s="217"/>
      <c r="AR114" s="216"/>
      <c r="AS114" s="216"/>
      <c r="AT114" s="218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</row>
    <row r="115" spans="1:58" s="143" customFormat="1">
      <c r="A115" s="210"/>
      <c r="B115" s="211"/>
      <c r="C115" s="140"/>
      <c r="D115" s="210"/>
      <c r="G115" s="212"/>
      <c r="H115" s="212"/>
      <c r="I115" s="213"/>
      <c r="J115" s="212"/>
      <c r="K115" s="214"/>
      <c r="L115" s="159"/>
      <c r="M115" s="215"/>
      <c r="N115" s="216"/>
      <c r="O115" s="217"/>
      <c r="P115" s="216"/>
      <c r="Q115" s="216"/>
      <c r="R115" s="216"/>
      <c r="S115" s="217"/>
      <c r="T115" s="216"/>
      <c r="U115" s="216"/>
      <c r="V115" s="216"/>
      <c r="W115" s="217"/>
      <c r="X115" s="216"/>
      <c r="Y115" s="216"/>
      <c r="Z115" s="216"/>
      <c r="AA115" s="217"/>
      <c r="AB115" s="216"/>
      <c r="AC115" s="216"/>
      <c r="AD115" s="216"/>
      <c r="AE115" s="217"/>
      <c r="AF115" s="216"/>
      <c r="AG115" s="216"/>
      <c r="AH115" s="216"/>
      <c r="AI115" s="217"/>
      <c r="AJ115" s="216"/>
      <c r="AK115" s="216"/>
      <c r="AL115" s="216"/>
      <c r="AM115" s="217"/>
      <c r="AN115" s="216"/>
      <c r="AO115" s="216"/>
      <c r="AP115" s="216"/>
      <c r="AQ115" s="217"/>
      <c r="AR115" s="216"/>
      <c r="AS115" s="216"/>
      <c r="AT115" s="218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</row>
    <row r="116" spans="1:58" s="143" customFormat="1">
      <c r="A116" s="210"/>
      <c r="B116" s="211"/>
      <c r="C116" s="140"/>
      <c r="D116" s="210"/>
      <c r="G116" s="212"/>
      <c r="H116" s="212"/>
      <c r="I116" s="213"/>
      <c r="J116" s="212"/>
      <c r="K116" s="214"/>
      <c r="L116" s="159"/>
      <c r="M116" s="215"/>
      <c r="N116" s="216"/>
      <c r="O116" s="217"/>
      <c r="P116" s="216"/>
      <c r="Q116" s="216"/>
      <c r="R116" s="216"/>
      <c r="S116" s="217"/>
      <c r="T116" s="216"/>
      <c r="U116" s="216"/>
      <c r="V116" s="216"/>
      <c r="W116" s="217"/>
      <c r="X116" s="216"/>
      <c r="Y116" s="216"/>
      <c r="Z116" s="216"/>
      <c r="AA116" s="217"/>
      <c r="AB116" s="216"/>
      <c r="AC116" s="216"/>
      <c r="AD116" s="216"/>
      <c r="AE116" s="217"/>
      <c r="AF116" s="216"/>
      <c r="AG116" s="216"/>
      <c r="AH116" s="216"/>
      <c r="AI116" s="217"/>
      <c r="AJ116" s="216"/>
      <c r="AK116" s="216"/>
      <c r="AL116" s="216"/>
      <c r="AM116" s="217"/>
      <c r="AN116" s="216"/>
      <c r="AO116" s="216"/>
      <c r="AP116" s="216"/>
      <c r="AQ116" s="217"/>
      <c r="AR116" s="216"/>
      <c r="AS116" s="216"/>
      <c r="AT116" s="218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</row>
    <row r="117" spans="1:58" s="143" customFormat="1">
      <c r="A117" s="210"/>
      <c r="B117" s="211"/>
      <c r="C117" s="140"/>
      <c r="D117" s="210"/>
      <c r="G117" s="212"/>
      <c r="H117" s="212"/>
      <c r="I117" s="213"/>
      <c r="J117" s="212"/>
      <c r="K117" s="214"/>
      <c r="L117" s="159"/>
      <c r="M117" s="215"/>
      <c r="N117" s="216"/>
      <c r="O117" s="217"/>
      <c r="P117" s="216"/>
      <c r="Q117" s="216"/>
      <c r="R117" s="216"/>
      <c r="S117" s="217"/>
      <c r="T117" s="216"/>
      <c r="U117" s="216"/>
      <c r="V117" s="216"/>
      <c r="W117" s="217"/>
      <c r="X117" s="216"/>
      <c r="Y117" s="216"/>
      <c r="Z117" s="216"/>
      <c r="AA117" s="217"/>
      <c r="AB117" s="216"/>
      <c r="AC117" s="216"/>
      <c r="AD117" s="216"/>
      <c r="AE117" s="217"/>
      <c r="AF117" s="216"/>
      <c r="AG117" s="216"/>
      <c r="AH117" s="216"/>
      <c r="AI117" s="217"/>
      <c r="AJ117" s="216"/>
      <c r="AK117" s="216"/>
      <c r="AL117" s="216"/>
      <c r="AM117" s="217"/>
      <c r="AN117" s="216"/>
      <c r="AO117" s="216"/>
      <c r="AP117" s="216"/>
      <c r="AQ117" s="217"/>
      <c r="AR117" s="216"/>
      <c r="AS117" s="216"/>
      <c r="AT117" s="218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</row>
    <row r="118" spans="1:58" s="143" customFormat="1">
      <c r="A118" s="210"/>
      <c r="B118" s="211"/>
      <c r="C118" s="140"/>
      <c r="D118" s="210"/>
      <c r="G118" s="212"/>
      <c r="H118" s="212"/>
      <c r="I118" s="213"/>
      <c r="J118" s="212"/>
      <c r="K118" s="214"/>
      <c r="L118" s="159"/>
      <c r="M118" s="215"/>
      <c r="N118" s="216"/>
      <c r="O118" s="217"/>
      <c r="P118" s="216"/>
      <c r="Q118" s="216"/>
      <c r="R118" s="216"/>
      <c r="S118" s="217"/>
      <c r="T118" s="216"/>
      <c r="U118" s="216"/>
      <c r="V118" s="216"/>
      <c r="W118" s="217"/>
      <c r="X118" s="216"/>
      <c r="Y118" s="216"/>
      <c r="Z118" s="216"/>
      <c r="AA118" s="217"/>
      <c r="AB118" s="216"/>
      <c r="AC118" s="216"/>
      <c r="AD118" s="216"/>
      <c r="AE118" s="217"/>
      <c r="AF118" s="216"/>
      <c r="AG118" s="216"/>
      <c r="AH118" s="216"/>
      <c r="AI118" s="217"/>
      <c r="AJ118" s="216"/>
      <c r="AK118" s="216"/>
      <c r="AL118" s="216"/>
      <c r="AM118" s="217"/>
      <c r="AN118" s="216"/>
      <c r="AO118" s="216"/>
      <c r="AP118" s="216"/>
      <c r="AQ118" s="217"/>
      <c r="AR118" s="216"/>
      <c r="AS118" s="216"/>
      <c r="AT118" s="218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</row>
    <row r="119" spans="1:58" s="143" customFormat="1">
      <c r="A119" s="210"/>
      <c r="B119" s="211"/>
      <c r="C119" s="140"/>
      <c r="D119" s="210"/>
      <c r="G119" s="212"/>
      <c r="H119" s="212"/>
      <c r="I119" s="213"/>
      <c r="J119" s="212"/>
      <c r="K119" s="214"/>
      <c r="L119" s="159"/>
      <c r="M119" s="215"/>
      <c r="N119" s="216"/>
      <c r="O119" s="217"/>
      <c r="P119" s="216"/>
      <c r="Q119" s="216"/>
      <c r="R119" s="216"/>
      <c r="S119" s="217"/>
      <c r="T119" s="216"/>
      <c r="U119" s="216"/>
      <c r="V119" s="216"/>
      <c r="W119" s="217"/>
      <c r="X119" s="216"/>
      <c r="Y119" s="216"/>
      <c r="Z119" s="216"/>
      <c r="AA119" s="217"/>
      <c r="AB119" s="216"/>
      <c r="AC119" s="216"/>
      <c r="AD119" s="216"/>
      <c r="AE119" s="217"/>
      <c r="AF119" s="216"/>
      <c r="AG119" s="216"/>
      <c r="AH119" s="216"/>
      <c r="AI119" s="217"/>
      <c r="AJ119" s="216"/>
      <c r="AK119" s="216"/>
      <c r="AL119" s="216"/>
      <c r="AM119" s="217"/>
      <c r="AN119" s="216"/>
      <c r="AO119" s="216"/>
      <c r="AP119" s="216"/>
      <c r="AQ119" s="217"/>
      <c r="AR119" s="216"/>
      <c r="AS119" s="216"/>
      <c r="AT119" s="218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</row>
    <row r="120" spans="1:58" s="143" customFormat="1">
      <c r="A120" s="210"/>
      <c r="B120" s="211"/>
      <c r="C120" s="140"/>
      <c r="D120" s="210"/>
      <c r="G120" s="212"/>
      <c r="H120" s="212"/>
      <c r="I120" s="213"/>
      <c r="J120" s="212"/>
      <c r="K120" s="214"/>
      <c r="L120" s="159"/>
      <c r="M120" s="215"/>
      <c r="N120" s="216"/>
      <c r="O120" s="217"/>
      <c r="P120" s="216"/>
      <c r="Q120" s="216"/>
      <c r="R120" s="216"/>
      <c r="S120" s="217"/>
      <c r="T120" s="216"/>
      <c r="U120" s="216"/>
      <c r="V120" s="216"/>
      <c r="W120" s="217"/>
      <c r="X120" s="216"/>
      <c r="Y120" s="216"/>
      <c r="Z120" s="216"/>
      <c r="AA120" s="217"/>
      <c r="AB120" s="216"/>
      <c r="AC120" s="216"/>
      <c r="AD120" s="216"/>
      <c r="AE120" s="217"/>
      <c r="AF120" s="216"/>
      <c r="AG120" s="216"/>
      <c r="AH120" s="216"/>
      <c r="AI120" s="217"/>
      <c r="AJ120" s="216"/>
      <c r="AK120" s="216"/>
      <c r="AL120" s="216"/>
      <c r="AM120" s="217"/>
      <c r="AN120" s="216"/>
      <c r="AO120" s="216"/>
      <c r="AP120" s="216"/>
      <c r="AQ120" s="217"/>
      <c r="AR120" s="216"/>
      <c r="AS120" s="216"/>
      <c r="AT120" s="218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</row>
    <row r="121" spans="1:58" s="143" customFormat="1">
      <c r="A121" s="210"/>
      <c r="B121" s="211"/>
      <c r="C121" s="140"/>
      <c r="D121" s="210"/>
      <c r="G121" s="212"/>
      <c r="H121" s="212"/>
      <c r="I121" s="213"/>
      <c r="J121" s="212"/>
      <c r="K121" s="214"/>
      <c r="L121" s="159"/>
      <c r="M121" s="215"/>
      <c r="N121" s="216"/>
      <c r="O121" s="217"/>
      <c r="P121" s="216"/>
      <c r="Q121" s="216"/>
      <c r="R121" s="216"/>
      <c r="S121" s="217"/>
      <c r="T121" s="216"/>
      <c r="U121" s="216"/>
      <c r="V121" s="216"/>
      <c r="W121" s="217"/>
      <c r="X121" s="216"/>
      <c r="Y121" s="216"/>
      <c r="Z121" s="216"/>
      <c r="AA121" s="217"/>
      <c r="AB121" s="216"/>
      <c r="AC121" s="216"/>
      <c r="AD121" s="216"/>
      <c r="AE121" s="217"/>
      <c r="AF121" s="216"/>
      <c r="AG121" s="216"/>
      <c r="AH121" s="216"/>
      <c r="AI121" s="217"/>
      <c r="AJ121" s="216"/>
      <c r="AK121" s="216"/>
      <c r="AL121" s="216"/>
      <c r="AM121" s="217"/>
      <c r="AN121" s="216"/>
      <c r="AO121" s="216"/>
      <c r="AP121" s="216"/>
      <c r="AQ121" s="217"/>
      <c r="AR121" s="216"/>
      <c r="AS121" s="216"/>
      <c r="AT121" s="218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</row>
    <row r="122" spans="1:58" s="143" customFormat="1">
      <c r="A122" s="210"/>
      <c r="B122" s="211"/>
      <c r="C122" s="140"/>
      <c r="D122" s="210"/>
      <c r="G122" s="212"/>
      <c r="H122" s="212"/>
      <c r="I122" s="213"/>
      <c r="J122" s="212"/>
      <c r="K122" s="214"/>
      <c r="L122" s="159"/>
      <c r="M122" s="215"/>
      <c r="N122" s="216"/>
      <c r="O122" s="217"/>
      <c r="P122" s="216"/>
      <c r="Q122" s="216"/>
      <c r="R122" s="216"/>
      <c r="S122" s="217"/>
      <c r="T122" s="216"/>
      <c r="U122" s="216"/>
      <c r="V122" s="216"/>
      <c r="W122" s="217"/>
      <c r="X122" s="216"/>
      <c r="Y122" s="216"/>
      <c r="Z122" s="216"/>
      <c r="AA122" s="217"/>
      <c r="AB122" s="216"/>
      <c r="AC122" s="216"/>
      <c r="AD122" s="216"/>
      <c r="AE122" s="217"/>
      <c r="AF122" s="216"/>
      <c r="AG122" s="216"/>
      <c r="AH122" s="216"/>
      <c r="AI122" s="217"/>
      <c r="AJ122" s="216"/>
      <c r="AK122" s="216"/>
      <c r="AL122" s="216"/>
      <c r="AM122" s="217"/>
      <c r="AN122" s="216"/>
      <c r="AO122" s="216"/>
      <c r="AP122" s="216"/>
      <c r="AQ122" s="217"/>
      <c r="AR122" s="216"/>
      <c r="AS122" s="216"/>
      <c r="AT122" s="218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</row>
    <row r="123" spans="1:58" s="143" customFormat="1">
      <c r="A123" s="210"/>
      <c r="B123" s="211"/>
      <c r="C123" s="140"/>
      <c r="D123" s="210"/>
      <c r="G123" s="212"/>
      <c r="H123" s="212"/>
      <c r="I123" s="213"/>
      <c r="J123" s="212"/>
      <c r="K123" s="214"/>
      <c r="L123" s="159"/>
      <c r="M123" s="215"/>
      <c r="N123" s="216"/>
      <c r="O123" s="217"/>
      <c r="P123" s="216"/>
      <c r="Q123" s="216"/>
      <c r="R123" s="216"/>
      <c r="S123" s="217"/>
      <c r="T123" s="216"/>
      <c r="U123" s="216"/>
      <c r="V123" s="216"/>
      <c r="W123" s="217"/>
      <c r="X123" s="216"/>
      <c r="Y123" s="216"/>
      <c r="Z123" s="216"/>
      <c r="AA123" s="217"/>
      <c r="AB123" s="216"/>
      <c r="AC123" s="216"/>
      <c r="AD123" s="216"/>
      <c r="AE123" s="217"/>
      <c r="AF123" s="216"/>
      <c r="AG123" s="216"/>
      <c r="AH123" s="216"/>
      <c r="AI123" s="217"/>
      <c r="AJ123" s="216"/>
      <c r="AK123" s="216"/>
      <c r="AL123" s="216"/>
      <c r="AM123" s="217"/>
      <c r="AN123" s="216"/>
      <c r="AO123" s="216"/>
      <c r="AP123" s="216"/>
      <c r="AQ123" s="217"/>
      <c r="AR123" s="216"/>
      <c r="AS123" s="216"/>
      <c r="AT123" s="218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</row>
    <row r="124" spans="1:58" s="143" customFormat="1">
      <c r="A124" s="210"/>
      <c r="B124" s="211"/>
      <c r="C124" s="140"/>
      <c r="D124" s="210"/>
      <c r="G124" s="212"/>
      <c r="H124" s="212"/>
      <c r="I124" s="213"/>
      <c r="J124" s="212"/>
      <c r="K124" s="214"/>
      <c r="L124" s="159"/>
      <c r="M124" s="215"/>
      <c r="N124" s="216"/>
      <c r="O124" s="217"/>
      <c r="P124" s="216"/>
      <c r="Q124" s="216"/>
      <c r="R124" s="216"/>
      <c r="S124" s="217"/>
      <c r="T124" s="216"/>
      <c r="U124" s="216"/>
      <c r="V124" s="216"/>
      <c r="W124" s="217"/>
      <c r="X124" s="216"/>
      <c r="Y124" s="216"/>
      <c r="Z124" s="216"/>
      <c r="AA124" s="217"/>
      <c r="AB124" s="216"/>
      <c r="AC124" s="216"/>
      <c r="AD124" s="216"/>
      <c r="AE124" s="217"/>
      <c r="AF124" s="216"/>
      <c r="AG124" s="216"/>
      <c r="AH124" s="216"/>
      <c r="AI124" s="217"/>
      <c r="AJ124" s="216"/>
      <c r="AK124" s="216"/>
      <c r="AL124" s="216"/>
      <c r="AM124" s="217"/>
      <c r="AN124" s="216"/>
      <c r="AO124" s="216"/>
      <c r="AP124" s="216"/>
      <c r="AQ124" s="217"/>
      <c r="AR124" s="216"/>
      <c r="AS124" s="216"/>
      <c r="AT124" s="218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</row>
    <row r="125" spans="1:58" s="143" customFormat="1">
      <c r="A125" s="210"/>
      <c r="B125" s="211"/>
      <c r="C125" s="140"/>
      <c r="D125" s="210"/>
      <c r="G125" s="212"/>
      <c r="H125" s="212"/>
      <c r="I125" s="213"/>
      <c r="J125" s="212"/>
      <c r="K125" s="214"/>
      <c r="L125" s="159"/>
      <c r="M125" s="215"/>
      <c r="N125" s="216"/>
      <c r="O125" s="217"/>
      <c r="P125" s="216"/>
      <c r="Q125" s="216"/>
      <c r="R125" s="216"/>
      <c r="S125" s="217"/>
      <c r="T125" s="216"/>
      <c r="U125" s="216"/>
      <c r="V125" s="216"/>
      <c r="W125" s="217"/>
      <c r="X125" s="216"/>
      <c r="Y125" s="216"/>
      <c r="Z125" s="216"/>
      <c r="AA125" s="217"/>
      <c r="AB125" s="216"/>
      <c r="AC125" s="216"/>
      <c r="AD125" s="216"/>
      <c r="AE125" s="217"/>
      <c r="AF125" s="216"/>
      <c r="AG125" s="216"/>
      <c r="AH125" s="216"/>
      <c r="AI125" s="217"/>
      <c r="AJ125" s="216"/>
      <c r="AK125" s="216"/>
      <c r="AL125" s="216"/>
      <c r="AM125" s="217"/>
      <c r="AN125" s="216"/>
      <c r="AO125" s="216"/>
      <c r="AP125" s="216"/>
      <c r="AQ125" s="217"/>
      <c r="AR125" s="216"/>
      <c r="AS125" s="216"/>
      <c r="AT125" s="218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</row>
    <row r="126" spans="1:58" s="143" customFormat="1">
      <c r="A126" s="210"/>
      <c r="B126" s="211"/>
      <c r="C126" s="140"/>
      <c r="D126" s="210"/>
      <c r="G126" s="212"/>
      <c r="H126" s="212"/>
      <c r="I126" s="213"/>
      <c r="J126" s="212"/>
      <c r="K126" s="214"/>
      <c r="L126" s="159"/>
      <c r="M126" s="215"/>
      <c r="N126" s="216"/>
      <c r="O126" s="217"/>
      <c r="P126" s="216"/>
      <c r="Q126" s="216"/>
      <c r="R126" s="216"/>
      <c r="S126" s="217"/>
      <c r="T126" s="216"/>
      <c r="U126" s="216"/>
      <c r="V126" s="216"/>
      <c r="W126" s="217"/>
      <c r="X126" s="216"/>
      <c r="Y126" s="216"/>
      <c r="Z126" s="216"/>
      <c r="AA126" s="217"/>
      <c r="AB126" s="216"/>
      <c r="AC126" s="216"/>
      <c r="AD126" s="216"/>
      <c r="AE126" s="217"/>
      <c r="AF126" s="216"/>
      <c r="AG126" s="216"/>
      <c r="AH126" s="216"/>
      <c r="AI126" s="217"/>
      <c r="AJ126" s="216"/>
      <c r="AK126" s="216"/>
      <c r="AL126" s="216"/>
      <c r="AM126" s="217"/>
      <c r="AN126" s="216"/>
      <c r="AO126" s="216"/>
      <c r="AP126" s="216"/>
      <c r="AQ126" s="217"/>
      <c r="AR126" s="216"/>
      <c r="AS126" s="216"/>
      <c r="AT126" s="218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</row>
    <row r="127" spans="1:58" s="143" customFormat="1">
      <c r="A127" s="210"/>
      <c r="B127" s="211"/>
      <c r="C127" s="140"/>
      <c r="D127" s="210"/>
      <c r="G127" s="212"/>
      <c r="H127" s="212"/>
      <c r="I127" s="213"/>
      <c r="J127" s="212"/>
      <c r="K127" s="214"/>
      <c r="L127" s="159"/>
      <c r="M127" s="215"/>
      <c r="N127" s="216"/>
      <c r="O127" s="217"/>
      <c r="P127" s="216"/>
      <c r="Q127" s="216"/>
      <c r="R127" s="216"/>
      <c r="S127" s="217"/>
      <c r="T127" s="216"/>
      <c r="U127" s="216"/>
      <c r="V127" s="216"/>
      <c r="W127" s="217"/>
      <c r="X127" s="216"/>
      <c r="Y127" s="216"/>
      <c r="Z127" s="216"/>
      <c r="AA127" s="217"/>
      <c r="AB127" s="216"/>
      <c r="AC127" s="216"/>
      <c r="AD127" s="216"/>
      <c r="AE127" s="217"/>
      <c r="AF127" s="216"/>
      <c r="AG127" s="216"/>
      <c r="AH127" s="216"/>
      <c r="AI127" s="217"/>
      <c r="AJ127" s="216"/>
      <c r="AK127" s="216"/>
      <c r="AL127" s="216"/>
      <c r="AM127" s="217"/>
      <c r="AN127" s="216"/>
      <c r="AO127" s="216"/>
      <c r="AP127" s="216"/>
      <c r="AQ127" s="217"/>
      <c r="AR127" s="216"/>
      <c r="AS127" s="216"/>
      <c r="AT127" s="218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</row>
    <row r="128" spans="1:58" s="143" customFormat="1">
      <c r="A128" s="210"/>
      <c r="B128" s="211"/>
      <c r="C128" s="140"/>
      <c r="D128" s="210"/>
      <c r="G128" s="212"/>
      <c r="H128" s="212"/>
      <c r="I128" s="213"/>
      <c r="J128" s="212"/>
      <c r="K128" s="214"/>
      <c r="L128" s="159"/>
      <c r="M128" s="215"/>
      <c r="N128" s="216"/>
      <c r="O128" s="217"/>
      <c r="P128" s="216"/>
      <c r="Q128" s="216"/>
      <c r="R128" s="216"/>
      <c r="S128" s="217"/>
      <c r="T128" s="216"/>
      <c r="U128" s="216"/>
      <c r="V128" s="216"/>
      <c r="W128" s="217"/>
      <c r="X128" s="216"/>
      <c r="Y128" s="216"/>
      <c r="Z128" s="216"/>
      <c r="AA128" s="217"/>
      <c r="AB128" s="216"/>
      <c r="AC128" s="216"/>
      <c r="AD128" s="216"/>
      <c r="AE128" s="217"/>
      <c r="AF128" s="216"/>
      <c r="AG128" s="216"/>
      <c r="AH128" s="216"/>
      <c r="AI128" s="217"/>
      <c r="AJ128" s="216"/>
      <c r="AK128" s="216"/>
      <c r="AL128" s="216"/>
      <c r="AM128" s="217"/>
      <c r="AN128" s="216"/>
      <c r="AO128" s="216"/>
      <c r="AP128" s="216"/>
      <c r="AQ128" s="217"/>
      <c r="AR128" s="216"/>
      <c r="AS128" s="216"/>
      <c r="AT128" s="218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</row>
    <row r="129" spans="1:58" s="143" customFormat="1">
      <c r="A129" s="210"/>
      <c r="B129" s="211"/>
      <c r="C129" s="140"/>
      <c r="D129" s="210"/>
      <c r="G129" s="212"/>
      <c r="H129" s="212"/>
      <c r="I129" s="213"/>
      <c r="J129" s="212"/>
      <c r="K129" s="214"/>
      <c r="L129" s="159"/>
      <c r="M129" s="215"/>
      <c r="N129" s="216"/>
      <c r="O129" s="217"/>
      <c r="P129" s="216"/>
      <c r="Q129" s="216"/>
      <c r="R129" s="216"/>
      <c r="S129" s="217"/>
      <c r="T129" s="216"/>
      <c r="U129" s="216"/>
      <c r="V129" s="216"/>
      <c r="W129" s="217"/>
      <c r="X129" s="216"/>
      <c r="Y129" s="216"/>
      <c r="Z129" s="216"/>
      <c r="AA129" s="217"/>
      <c r="AB129" s="216"/>
      <c r="AC129" s="216"/>
      <c r="AD129" s="216"/>
      <c r="AE129" s="217"/>
      <c r="AF129" s="216"/>
      <c r="AG129" s="216"/>
      <c r="AH129" s="216"/>
      <c r="AI129" s="217"/>
      <c r="AJ129" s="216"/>
      <c r="AK129" s="216"/>
      <c r="AL129" s="216"/>
      <c r="AM129" s="217"/>
      <c r="AN129" s="216"/>
      <c r="AO129" s="216"/>
      <c r="AP129" s="216"/>
      <c r="AQ129" s="217"/>
      <c r="AR129" s="216"/>
      <c r="AS129" s="216"/>
      <c r="AT129" s="218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</row>
    <row r="130" spans="1:58" s="143" customFormat="1">
      <c r="A130" s="210"/>
      <c r="B130" s="211"/>
      <c r="C130" s="140"/>
      <c r="D130" s="210"/>
      <c r="G130" s="212"/>
      <c r="H130" s="212"/>
      <c r="I130" s="213"/>
      <c r="J130" s="212"/>
      <c r="K130" s="214"/>
      <c r="L130" s="159"/>
      <c r="M130" s="215"/>
      <c r="N130" s="216"/>
      <c r="O130" s="217"/>
      <c r="P130" s="216"/>
      <c r="Q130" s="216"/>
      <c r="R130" s="216"/>
      <c r="S130" s="217"/>
      <c r="T130" s="216"/>
      <c r="U130" s="216"/>
      <c r="V130" s="216"/>
      <c r="W130" s="217"/>
      <c r="X130" s="216"/>
      <c r="Y130" s="216"/>
      <c r="Z130" s="216"/>
      <c r="AA130" s="217"/>
      <c r="AB130" s="216"/>
      <c r="AC130" s="216"/>
      <c r="AD130" s="216"/>
      <c r="AE130" s="217"/>
      <c r="AF130" s="216"/>
      <c r="AG130" s="216"/>
      <c r="AH130" s="216"/>
      <c r="AI130" s="217"/>
      <c r="AJ130" s="216"/>
      <c r="AK130" s="216"/>
      <c r="AL130" s="216"/>
      <c r="AM130" s="217"/>
      <c r="AN130" s="216"/>
      <c r="AO130" s="216"/>
      <c r="AP130" s="216"/>
      <c r="AQ130" s="217"/>
      <c r="AR130" s="216"/>
      <c r="AS130" s="216"/>
      <c r="AT130" s="218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</row>
    <row r="131" spans="1:58" s="143" customFormat="1">
      <c r="A131" s="210"/>
      <c r="B131" s="211"/>
      <c r="C131" s="140"/>
      <c r="D131" s="210"/>
      <c r="G131" s="212"/>
      <c r="H131" s="212"/>
      <c r="I131" s="213"/>
      <c r="J131" s="212"/>
      <c r="K131" s="214"/>
      <c r="L131" s="159"/>
      <c r="M131" s="215"/>
      <c r="N131" s="216"/>
      <c r="O131" s="217"/>
      <c r="P131" s="216"/>
      <c r="Q131" s="216"/>
      <c r="R131" s="216"/>
      <c r="S131" s="217"/>
      <c r="T131" s="216"/>
      <c r="U131" s="216"/>
      <c r="V131" s="216"/>
      <c r="W131" s="217"/>
      <c r="X131" s="216"/>
      <c r="Y131" s="216"/>
      <c r="Z131" s="216"/>
      <c r="AA131" s="217"/>
      <c r="AB131" s="216"/>
      <c r="AC131" s="216"/>
      <c r="AD131" s="216"/>
      <c r="AE131" s="217"/>
      <c r="AF131" s="216"/>
      <c r="AG131" s="216"/>
      <c r="AH131" s="216"/>
      <c r="AI131" s="217"/>
      <c r="AJ131" s="216"/>
      <c r="AK131" s="216"/>
      <c r="AL131" s="216"/>
      <c r="AM131" s="217"/>
      <c r="AN131" s="216"/>
      <c r="AO131" s="216"/>
      <c r="AP131" s="216"/>
      <c r="AQ131" s="217"/>
      <c r="AR131" s="216"/>
      <c r="AS131" s="216"/>
      <c r="AT131" s="218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</row>
    <row r="132" spans="1:58" s="143" customFormat="1">
      <c r="A132" s="210"/>
      <c r="B132" s="211"/>
      <c r="C132" s="140"/>
      <c r="D132" s="210"/>
      <c r="G132" s="212"/>
      <c r="H132" s="212"/>
      <c r="I132" s="213"/>
      <c r="J132" s="212"/>
      <c r="K132" s="214"/>
      <c r="L132" s="159"/>
      <c r="M132" s="215"/>
      <c r="N132" s="216"/>
      <c r="O132" s="217"/>
      <c r="P132" s="216"/>
      <c r="Q132" s="216"/>
      <c r="R132" s="216"/>
      <c r="S132" s="217"/>
      <c r="T132" s="216"/>
      <c r="U132" s="216"/>
      <c r="V132" s="216"/>
      <c r="W132" s="217"/>
      <c r="X132" s="216"/>
      <c r="Y132" s="216"/>
      <c r="Z132" s="216"/>
      <c r="AA132" s="217"/>
      <c r="AB132" s="216"/>
      <c r="AC132" s="216"/>
      <c r="AD132" s="216"/>
      <c r="AE132" s="217"/>
      <c r="AF132" s="216"/>
      <c r="AG132" s="216"/>
      <c r="AH132" s="216"/>
      <c r="AI132" s="217"/>
      <c r="AJ132" s="216"/>
      <c r="AK132" s="216"/>
      <c r="AL132" s="216"/>
      <c r="AM132" s="217"/>
      <c r="AN132" s="216"/>
      <c r="AO132" s="216"/>
      <c r="AP132" s="216"/>
      <c r="AQ132" s="217"/>
      <c r="AR132" s="216"/>
      <c r="AS132" s="216"/>
      <c r="AT132" s="218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</row>
    <row r="133" spans="1:58" s="143" customFormat="1">
      <c r="A133" s="210"/>
      <c r="B133" s="211"/>
      <c r="C133" s="140"/>
      <c r="D133" s="210"/>
      <c r="G133" s="212"/>
      <c r="H133" s="212"/>
      <c r="I133" s="213"/>
      <c r="J133" s="212"/>
      <c r="K133" s="214"/>
      <c r="L133" s="159"/>
      <c r="M133" s="215"/>
      <c r="N133" s="216"/>
      <c r="O133" s="217"/>
      <c r="P133" s="216"/>
      <c r="Q133" s="216"/>
      <c r="R133" s="216"/>
      <c r="S133" s="217"/>
      <c r="T133" s="216"/>
      <c r="U133" s="216"/>
      <c r="V133" s="216"/>
      <c r="W133" s="217"/>
      <c r="X133" s="216"/>
      <c r="Y133" s="216"/>
      <c r="Z133" s="216"/>
      <c r="AA133" s="217"/>
      <c r="AB133" s="216"/>
      <c r="AC133" s="216"/>
      <c r="AD133" s="216"/>
      <c r="AE133" s="217"/>
      <c r="AF133" s="216"/>
      <c r="AG133" s="216"/>
      <c r="AH133" s="216"/>
      <c r="AI133" s="217"/>
      <c r="AJ133" s="216"/>
      <c r="AK133" s="216"/>
      <c r="AL133" s="216"/>
      <c r="AM133" s="217"/>
      <c r="AN133" s="216"/>
      <c r="AO133" s="216"/>
      <c r="AP133" s="216"/>
      <c r="AQ133" s="217"/>
      <c r="AR133" s="216"/>
      <c r="AS133" s="216"/>
      <c r="AT133" s="218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</row>
    <row r="134" spans="1:58" s="143" customFormat="1">
      <c r="A134" s="210"/>
      <c r="B134" s="211"/>
      <c r="C134" s="140"/>
      <c r="D134" s="210"/>
      <c r="G134" s="212"/>
      <c r="H134" s="212"/>
      <c r="I134" s="213"/>
      <c r="J134" s="212"/>
      <c r="K134" s="214"/>
      <c r="L134" s="159"/>
      <c r="M134" s="215"/>
      <c r="N134" s="216"/>
      <c r="O134" s="217"/>
      <c r="P134" s="216"/>
      <c r="Q134" s="216"/>
      <c r="R134" s="216"/>
      <c r="S134" s="217"/>
      <c r="T134" s="216"/>
      <c r="U134" s="216"/>
      <c r="V134" s="216"/>
      <c r="W134" s="217"/>
      <c r="X134" s="216"/>
      <c r="Y134" s="216"/>
      <c r="Z134" s="216"/>
      <c r="AA134" s="217"/>
      <c r="AB134" s="216"/>
      <c r="AC134" s="216"/>
      <c r="AD134" s="216"/>
      <c r="AE134" s="217"/>
      <c r="AF134" s="216"/>
      <c r="AG134" s="216"/>
      <c r="AH134" s="216"/>
      <c r="AI134" s="217"/>
      <c r="AJ134" s="216"/>
      <c r="AK134" s="216"/>
      <c r="AL134" s="216"/>
      <c r="AM134" s="217"/>
      <c r="AN134" s="216"/>
      <c r="AO134" s="216"/>
      <c r="AP134" s="216"/>
      <c r="AQ134" s="217"/>
      <c r="AR134" s="216"/>
      <c r="AS134" s="216"/>
      <c r="AT134" s="218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</row>
    <row r="135" spans="1:58" s="143" customFormat="1">
      <c r="A135" s="210"/>
      <c r="B135" s="211"/>
      <c r="C135" s="140"/>
      <c r="D135" s="210"/>
      <c r="G135" s="212"/>
      <c r="H135" s="212"/>
      <c r="I135" s="213"/>
      <c r="J135" s="212"/>
      <c r="K135" s="214"/>
      <c r="L135" s="159"/>
      <c r="M135" s="215"/>
      <c r="N135" s="216"/>
      <c r="O135" s="217"/>
      <c r="P135" s="216"/>
      <c r="Q135" s="216"/>
      <c r="R135" s="216"/>
      <c r="S135" s="217"/>
      <c r="T135" s="216"/>
      <c r="U135" s="216"/>
      <c r="V135" s="216"/>
      <c r="W135" s="217"/>
      <c r="X135" s="216"/>
      <c r="Y135" s="216"/>
      <c r="Z135" s="216"/>
      <c r="AA135" s="217"/>
      <c r="AB135" s="216"/>
      <c r="AC135" s="216"/>
      <c r="AD135" s="216"/>
      <c r="AE135" s="217"/>
      <c r="AF135" s="216"/>
      <c r="AG135" s="216"/>
      <c r="AH135" s="216"/>
      <c r="AI135" s="217"/>
      <c r="AJ135" s="216"/>
      <c r="AK135" s="216"/>
      <c r="AL135" s="216"/>
      <c r="AM135" s="217"/>
      <c r="AN135" s="216"/>
      <c r="AO135" s="216"/>
      <c r="AP135" s="216"/>
      <c r="AQ135" s="217"/>
      <c r="AR135" s="216"/>
      <c r="AS135" s="216"/>
      <c r="AT135" s="218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</row>
    <row r="136" spans="1:58" s="143" customFormat="1">
      <c r="A136" s="210"/>
      <c r="B136" s="211"/>
      <c r="C136" s="140"/>
      <c r="D136" s="210"/>
      <c r="G136" s="212"/>
      <c r="H136" s="212"/>
      <c r="I136" s="213"/>
      <c r="J136" s="212"/>
      <c r="K136" s="214"/>
      <c r="L136" s="159"/>
      <c r="M136" s="215"/>
      <c r="N136" s="216"/>
      <c r="O136" s="217"/>
      <c r="P136" s="216"/>
      <c r="Q136" s="216"/>
      <c r="R136" s="216"/>
      <c r="S136" s="217"/>
      <c r="T136" s="216"/>
      <c r="U136" s="216"/>
      <c r="V136" s="216"/>
      <c r="W136" s="217"/>
      <c r="X136" s="216"/>
      <c r="Y136" s="216"/>
      <c r="Z136" s="216"/>
      <c r="AA136" s="217"/>
      <c r="AB136" s="216"/>
      <c r="AC136" s="216"/>
      <c r="AD136" s="216"/>
      <c r="AE136" s="217"/>
      <c r="AF136" s="216"/>
      <c r="AG136" s="216"/>
      <c r="AH136" s="216"/>
      <c r="AI136" s="217"/>
      <c r="AJ136" s="216"/>
      <c r="AK136" s="216"/>
      <c r="AL136" s="216"/>
      <c r="AM136" s="217"/>
      <c r="AN136" s="216"/>
      <c r="AO136" s="216"/>
      <c r="AP136" s="216"/>
      <c r="AQ136" s="217"/>
      <c r="AR136" s="216"/>
      <c r="AS136" s="216"/>
      <c r="AT136" s="218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</row>
    <row r="137" spans="1:58" s="143" customFormat="1">
      <c r="A137" s="210"/>
      <c r="B137" s="211"/>
      <c r="C137" s="140"/>
      <c r="D137" s="210"/>
      <c r="G137" s="212"/>
      <c r="H137" s="212"/>
      <c r="I137" s="213"/>
      <c r="J137" s="212"/>
      <c r="K137" s="214"/>
      <c r="L137" s="159"/>
      <c r="M137" s="215"/>
      <c r="N137" s="216"/>
      <c r="O137" s="217"/>
      <c r="P137" s="216"/>
      <c r="Q137" s="216"/>
      <c r="R137" s="216"/>
      <c r="S137" s="217"/>
      <c r="T137" s="216"/>
      <c r="U137" s="216"/>
      <c r="V137" s="216"/>
      <c r="W137" s="217"/>
      <c r="X137" s="216"/>
      <c r="Y137" s="216"/>
      <c r="Z137" s="216"/>
      <c r="AA137" s="217"/>
      <c r="AB137" s="216"/>
      <c r="AC137" s="216"/>
      <c r="AD137" s="216"/>
      <c r="AE137" s="217"/>
      <c r="AF137" s="216"/>
      <c r="AG137" s="216"/>
      <c r="AH137" s="216"/>
      <c r="AI137" s="217"/>
      <c r="AJ137" s="216"/>
      <c r="AK137" s="216"/>
      <c r="AL137" s="216"/>
      <c r="AM137" s="217"/>
      <c r="AN137" s="216"/>
      <c r="AO137" s="216"/>
      <c r="AP137" s="216"/>
      <c r="AQ137" s="217"/>
      <c r="AR137" s="216"/>
      <c r="AS137" s="216"/>
      <c r="AT137" s="218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</row>
    <row r="138" spans="1:58" s="143" customFormat="1">
      <c r="A138" s="210"/>
      <c r="B138" s="211"/>
      <c r="C138" s="140"/>
      <c r="D138" s="210"/>
      <c r="G138" s="212"/>
      <c r="H138" s="212"/>
      <c r="I138" s="213"/>
      <c r="J138" s="212"/>
      <c r="K138" s="214"/>
      <c r="L138" s="159"/>
      <c r="M138" s="215"/>
      <c r="N138" s="216"/>
      <c r="O138" s="217"/>
      <c r="P138" s="216"/>
      <c r="Q138" s="216"/>
      <c r="R138" s="216"/>
      <c r="S138" s="217"/>
      <c r="T138" s="216"/>
      <c r="U138" s="216"/>
      <c r="V138" s="216"/>
      <c r="W138" s="217"/>
      <c r="X138" s="216"/>
      <c r="Y138" s="216"/>
      <c r="Z138" s="216"/>
      <c r="AA138" s="217"/>
      <c r="AB138" s="216"/>
      <c r="AC138" s="216"/>
      <c r="AD138" s="216"/>
      <c r="AE138" s="217"/>
      <c r="AF138" s="216"/>
      <c r="AG138" s="216"/>
      <c r="AH138" s="216"/>
      <c r="AI138" s="217"/>
      <c r="AJ138" s="216"/>
      <c r="AK138" s="216"/>
      <c r="AL138" s="216"/>
      <c r="AM138" s="217"/>
      <c r="AN138" s="216"/>
      <c r="AO138" s="216"/>
      <c r="AP138" s="216"/>
      <c r="AQ138" s="217"/>
      <c r="AR138" s="216"/>
      <c r="AS138" s="216"/>
      <c r="AT138" s="218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</row>
    <row r="139" spans="1:58" s="143" customFormat="1">
      <c r="A139" s="210"/>
      <c r="B139" s="211"/>
      <c r="C139" s="140"/>
      <c r="D139" s="210"/>
      <c r="G139" s="212"/>
      <c r="H139" s="212"/>
      <c r="I139" s="213"/>
      <c r="J139" s="212"/>
      <c r="K139" s="214"/>
      <c r="L139" s="159"/>
      <c r="M139" s="215"/>
      <c r="N139" s="216"/>
      <c r="O139" s="217"/>
      <c r="P139" s="216"/>
      <c r="Q139" s="216"/>
      <c r="R139" s="216"/>
      <c r="S139" s="217"/>
      <c r="T139" s="216"/>
      <c r="U139" s="216"/>
      <c r="V139" s="216"/>
      <c r="W139" s="217"/>
      <c r="X139" s="216"/>
      <c r="Y139" s="216"/>
      <c r="Z139" s="216"/>
      <c r="AA139" s="217"/>
      <c r="AB139" s="216"/>
      <c r="AC139" s="216"/>
      <c r="AD139" s="216"/>
      <c r="AE139" s="217"/>
      <c r="AF139" s="216"/>
      <c r="AG139" s="216"/>
      <c r="AH139" s="216"/>
      <c r="AI139" s="217"/>
      <c r="AJ139" s="216"/>
      <c r="AK139" s="216"/>
      <c r="AL139" s="216"/>
      <c r="AM139" s="217"/>
      <c r="AN139" s="216"/>
      <c r="AO139" s="216"/>
      <c r="AP139" s="216"/>
      <c r="AQ139" s="217"/>
      <c r="AR139" s="216"/>
      <c r="AS139" s="216"/>
      <c r="AT139" s="218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</row>
    <row r="140" spans="1:58" s="143" customFormat="1">
      <c r="A140" s="210"/>
      <c r="B140" s="211"/>
      <c r="C140" s="140"/>
      <c r="D140" s="210"/>
      <c r="G140" s="212"/>
      <c r="H140" s="212"/>
      <c r="I140" s="213"/>
      <c r="J140" s="212"/>
      <c r="K140" s="214"/>
      <c r="L140" s="159"/>
      <c r="M140" s="215"/>
      <c r="N140" s="216"/>
      <c r="O140" s="217"/>
      <c r="P140" s="216"/>
      <c r="Q140" s="216"/>
      <c r="R140" s="216"/>
      <c r="S140" s="217"/>
      <c r="T140" s="216"/>
      <c r="U140" s="216"/>
      <c r="V140" s="216"/>
      <c r="W140" s="217"/>
      <c r="X140" s="216"/>
      <c r="Y140" s="216"/>
      <c r="Z140" s="216"/>
      <c r="AA140" s="217"/>
      <c r="AB140" s="216"/>
      <c r="AC140" s="216"/>
      <c r="AD140" s="216"/>
      <c r="AE140" s="217"/>
      <c r="AF140" s="216"/>
      <c r="AG140" s="216"/>
      <c r="AH140" s="216"/>
      <c r="AI140" s="217"/>
      <c r="AJ140" s="216"/>
      <c r="AK140" s="216"/>
      <c r="AL140" s="216"/>
      <c r="AM140" s="217"/>
      <c r="AN140" s="216"/>
      <c r="AO140" s="216"/>
      <c r="AP140" s="216"/>
      <c r="AQ140" s="217"/>
      <c r="AR140" s="216"/>
      <c r="AS140" s="216"/>
      <c r="AT140" s="218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</row>
    <row r="141" spans="1:58" s="143" customFormat="1">
      <c r="A141" s="210"/>
      <c r="B141" s="211"/>
      <c r="C141" s="140"/>
      <c r="D141" s="210"/>
      <c r="G141" s="212"/>
      <c r="H141" s="212"/>
      <c r="I141" s="213"/>
      <c r="J141" s="212"/>
      <c r="K141" s="214"/>
      <c r="L141" s="159"/>
      <c r="M141" s="215"/>
      <c r="N141" s="216"/>
      <c r="O141" s="217"/>
      <c r="P141" s="216"/>
      <c r="Q141" s="216"/>
      <c r="R141" s="216"/>
      <c r="S141" s="217"/>
      <c r="T141" s="216"/>
      <c r="U141" s="216"/>
      <c r="V141" s="216"/>
      <c r="W141" s="217"/>
      <c r="X141" s="216"/>
      <c r="Y141" s="216"/>
      <c r="Z141" s="216"/>
      <c r="AA141" s="217"/>
      <c r="AB141" s="216"/>
      <c r="AC141" s="216"/>
      <c r="AD141" s="216"/>
      <c r="AE141" s="217"/>
      <c r="AF141" s="216"/>
      <c r="AG141" s="216"/>
      <c r="AH141" s="216"/>
      <c r="AI141" s="217"/>
      <c r="AJ141" s="216"/>
      <c r="AK141" s="216"/>
      <c r="AL141" s="216"/>
      <c r="AM141" s="217"/>
      <c r="AN141" s="216"/>
      <c r="AO141" s="216"/>
      <c r="AP141" s="216"/>
      <c r="AQ141" s="217"/>
      <c r="AR141" s="216"/>
      <c r="AS141" s="216"/>
      <c r="AT141" s="218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</row>
    <row r="142" spans="1:58" s="143" customFormat="1">
      <c r="A142" s="210"/>
      <c r="B142" s="211"/>
      <c r="C142" s="140"/>
      <c r="D142" s="210"/>
      <c r="G142" s="212"/>
      <c r="H142" s="212"/>
      <c r="I142" s="213"/>
      <c r="J142" s="212"/>
      <c r="K142" s="214"/>
      <c r="L142" s="159"/>
      <c r="M142" s="215"/>
      <c r="N142" s="216"/>
      <c r="O142" s="217"/>
      <c r="P142" s="216"/>
      <c r="Q142" s="216"/>
      <c r="R142" s="216"/>
      <c r="S142" s="217"/>
      <c r="T142" s="216"/>
      <c r="U142" s="216"/>
      <c r="V142" s="216"/>
      <c r="W142" s="217"/>
      <c r="X142" s="216"/>
      <c r="Y142" s="216"/>
      <c r="Z142" s="216"/>
      <c r="AA142" s="217"/>
      <c r="AB142" s="216"/>
      <c r="AC142" s="216"/>
      <c r="AD142" s="216"/>
      <c r="AE142" s="217"/>
      <c r="AF142" s="216"/>
      <c r="AG142" s="216"/>
      <c r="AH142" s="216"/>
      <c r="AI142" s="217"/>
      <c r="AJ142" s="216"/>
      <c r="AK142" s="216"/>
      <c r="AL142" s="216"/>
      <c r="AM142" s="217"/>
      <c r="AN142" s="216"/>
      <c r="AO142" s="216"/>
      <c r="AP142" s="216"/>
      <c r="AQ142" s="217"/>
      <c r="AR142" s="216"/>
      <c r="AS142" s="216"/>
      <c r="AT142" s="218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</row>
    <row r="143" spans="1:58" s="143" customFormat="1">
      <c r="A143" s="210"/>
      <c r="B143" s="211"/>
      <c r="C143" s="140"/>
      <c r="D143" s="210"/>
      <c r="G143" s="212"/>
      <c r="H143" s="212"/>
      <c r="I143" s="213"/>
      <c r="J143" s="212"/>
      <c r="K143" s="214"/>
      <c r="L143" s="159"/>
      <c r="M143" s="215"/>
      <c r="N143" s="216"/>
      <c r="O143" s="217"/>
      <c r="P143" s="216"/>
      <c r="Q143" s="216"/>
      <c r="R143" s="216"/>
      <c r="S143" s="217"/>
      <c r="T143" s="216"/>
      <c r="U143" s="216"/>
      <c r="V143" s="216"/>
      <c r="W143" s="217"/>
      <c r="X143" s="216"/>
      <c r="Y143" s="216"/>
      <c r="Z143" s="216"/>
      <c r="AA143" s="217"/>
      <c r="AB143" s="216"/>
      <c r="AC143" s="216"/>
      <c r="AD143" s="216"/>
      <c r="AE143" s="217"/>
      <c r="AF143" s="216"/>
      <c r="AG143" s="216"/>
      <c r="AH143" s="216"/>
      <c r="AI143" s="217"/>
      <c r="AJ143" s="216"/>
      <c r="AK143" s="216"/>
      <c r="AL143" s="216"/>
      <c r="AM143" s="217"/>
      <c r="AN143" s="216"/>
      <c r="AO143" s="216"/>
      <c r="AP143" s="216"/>
      <c r="AQ143" s="217"/>
      <c r="AR143" s="216"/>
      <c r="AS143" s="216"/>
      <c r="AT143" s="218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</row>
    <row r="144" spans="1:58" s="143" customFormat="1">
      <c r="A144" s="210"/>
      <c r="B144" s="211"/>
      <c r="C144" s="140"/>
      <c r="D144" s="210"/>
      <c r="G144" s="212"/>
      <c r="H144" s="212"/>
      <c r="I144" s="213"/>
      <c r="J144" s="212"/>
      <c r="K144" s="214"/>
      <c r="L144" s="159"/>
      <c r="M144" s="215"/>
      <c r="N144" s="216"/>
      <c r="O144" s="217"/>
      <c r="P144" s="216"/>
      <c r="Q144" s="216"/>
      <c r="R144" s="216"/>
      <c r="S144" s="217"/>
      <c r="T144" s="216"/>
      <c r="U144" s="216"/>
      <c r="V144" s="216"/>
      <c r="W144" s="217"/>
      <c r="X144" s="216"/>
      <c r="Y144" s="216"/>
      <c r="Z144" s="216"/>
      <c r="AA144" s="217"/>
      <c r="AB144" s="216"/>
      <c r="AC144" s="216"/>
      <c r="AD144" s="216"/>
      <c r="AE144" s="217"/>
      <c r="AF144" s="216"/>
      <c r="AG144" s="216"/>
      <c r="AH144" s="216"/>
      <c r="AI144" s="217"/>
      <c r="AJ144" s="216"/>
      <c r="AK144" s="216"/>
      <c r="AL144" s="216"/>
      <c r="AM144" s="217"/>
      <c r="AN144" s="216"/>
      <c r="AO144" s="216"/>
      <c r="AP144" s="216"/>
      <c r="AQ144" s="217"/>
      <c r="AR144" s="216"/>
      <c r="AS144" s="216"/>
      <c r="AT144" s="218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</row>
    <row r="145" spans="1:58" s="143" customFormat="1">
      <c r="A145" s="210"/>
      <c r="B145" s="211"/>
      <c r="C145" s="140"/>
      <c r="D145" s="210"/>
      <c r="G145" s="212"/>
      <c r="H145" s="212"/>
      <c r="I145" s="213"/>
      <c r="J145" s="212"/>
      <c r="K145" s="214"/>
      <c r="L145" s="159"/>
      <c r="M145" s="215"/>
      <c r="N145" s="216"/>
      <c r="O145" s="217"/>
      <c r="P145" s="216"/>
      <c r="Q145" s="216"/>
      <c r="R145" s="216"/>
      <c r="S145" s="217"/>
      <c r="T145" s="216"/>
      <c r="U145" s="216"/>
      <c r="V145" s="216"/>
      <c r="W145" s="217"/>
      <c r="X145" s="216"/>
      <c r="Y145" s="216"/>
      <c r="Z145" s="216"/>
      <c r="AA145" s="217"/>
      <c r="AB145" s="216"/>
      <c r="AC145" s="216"/>
      <c r="AD145" s="216"/>
      <c r="AE145" s="217"/>
      <c r="AF145" s="216"/>
      <c r="AG145" s="216"/>
      <c r="AH145" s="216"/>
      <c r="AI145" s="217"/>
      <c r="AJ145" s="216"/>
      <c r="AK145" s="216"/>
      <c r="AL145" s="216"/>
      <c r="AM145" s="217"/>
      <c r="AN145" s="216"/>
      <c r="AO145" s="216"/>
      <c r="AP145" s="216"/>
      <c r="AQ145" s="217"/>
      <c r="AR145" s="216"/>
      <c r="AS145" s="216"/>
      <c r="AT145" s="218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</row>
    <row r="146" spans="1:58" s="143" customFormat="1">
      <c r="A146" s="210"/>
      <c r="B146" s="211"/>
      <c r="C146" s="140"/>
      <c r="D146" s="210"/>
      <c r="G146" s="212"/>
      <c r="H146" s="212"/>
      <c r="I146" s="213"/>
      <c r="J146" s="212"/>
      <c r="K146" s="214"/>
      <c r="L146" s="159"/>
      <c r="M146" s="215"/>
      <c r="N146" s="216"/>
      <c r="O146" s="217"/>
      <c r="P146" s="216"/>
      <c r="Q146" s="216"/>
      <c r="R146" s="216"/>
      <c r="S146" s="217"/>
      <c r="T146" s="216"/>
      <c r="U146" s="216"/>
      <c r="V146" s="216"/>
      <c r="W146" s="217"/>
      <c r="X146" s="216"/>
      <c r="Y146" s="216"/>
      <c r="Z146" s="216"/>
      <c r="AA146" s="217"/>
      <c r="AB146" s="216"/>
      <c r="AC146" s="216"/>
      <c r="AD146" s="216"/>
      <c r="AE146" s="217"/>
      <c r="AF146" s="216"/>
      <c r="AG146" s="216"/>
      <c r="AH146" s="216"/>
      <c r="AI146" s="217"/>
      <c r="AJ146" s="216"/>
      <c r="AK146" s="216"/>
      <c r="AL146" s="216"/>
      <c r="AM146" s="217"/>
      <c r="AN146" s="216"/>
      <c r="AO146" s="216"/>
      <c r="AP146" s="216"/>
      <c r="AQ146" s="217"/>
      <c r="AR146" s="216"/>
      <c r="AS146" s="216"/>
      <c r="AT146" s="218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</row>
    <row r="147" spans="1:58" s="143" customFormat="1">
      <c r="A147" s="210"/>
      <c r="B147" s="211"/>
      <c r="C147" s="140"/>
      <c r="D147" s="210"/>
      <c r="G147" s="212"/>
      <c r="H147" s="212"/>
      <c r="I147" s="213"/>
      <c r="J147" s="212"/>
      <c r="K147" s="214"/>
      <c r="L147" s="159"/>
      <c r="M147" s="215"/>
      <c r="N147" s="216"/>
      <c r="O147" s="217"/>
      <c r="P147" s="216"/>
      <c r="Q147" s="216"/>
      <c r="R147" s="216"/>
      <c r="S147" s="217"/>
      <c r="T147" s="216"/>
      <c r="U147" s="216"/>
      <c r="V147" s="216"/>
      <c r="W147" s="217"/>
      <c r="X147" s="216"/>
      <c r="Y147" s="216"/>
      <c r="Z147" s="216"/>
      <c r="AA147" s="217"/>
      <c r="AB147" s="216"/>
      <c r="AC147" s="216"/>
      <c r="AD147" s="216"/>
      <c r="AE147" s="217"/>
      <c r="AF147" s="216"/>
      <c r="AG147" s="216"/>
      <c r="AH147" s="216"/>
      <c r="AI147" s="217"/>
      <c r="AJ147" s="216"/>
      <c r="AK147" s="216"/>
      <c r="AL147" s="216"/>
      <c r="AM147" s="217"/>
      <c r="AN147" s="216"/>
      <c r="AO147" s="216"/>
      <c r="AP147" s="216"/>
      <c r="AQ147" s="217"/>
      <c r="AR147" s="216"/>
      <c r="AS147" s="216"/>
      <c r="AT147" s="218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</row>
    <row r="148" spans="1:58" s="143" customFormat="1">
      <c r="A148" s="210"/>
      <c r="B148" s="211"/>
      <c r="C148" s="140"/>
      <c r="D148" s="210"/>
      <c r="G148" s="212"/>
      <c r="H148" s="212"/>
      <c r="I148" s="213"/>
      <c r="J148" s="212"/>
      <c r="K148" s="214"/>
      <c r="L148" s="159"/>
      <c r="M148" s="215"/>
      <c r="N148" s="216"/>
      <c r="O148" s="217"/>
      <c r="P148" s="216"/>
      <c r="Q148" s="216"/>
      <c r="R148" s="216"/>
      <c r="S148" s="217"/>
      <c r="T148" s="216"/>
      <c r="U148" s="216"/>
      <c r="V148" s="216"/>
      <c r="W148" s="217"/>
      <c r="X148" s="216"/>
      <c r="Y148" s="216"/>
      <c r="Z148" s="216"/>
      <c r="AA148" s="217"/>
      <c r="AB148" s="216"/>
      <c r="AC148" s="216"/>
      <c r="AD148" s="216"/>
      <c r="AE148" s="217"/>
      <c r="AF148" s="216"/>
      <c r="AG148" s="216"/>
      <c r="AH148" s="216"/>
      <c r="AI148" s="217"/>
      <c r="AJ148" s="216"/>
      <c r="AK148" s="216"/>
      <c r="AL148" s="216"/>
      <c r="AM148" s="217"/>
      <c r="AN148" s="216"/>
      <c r="AO148" s="216"/>
      <c r="AP148" s="216"/>
      <c r="AQ148" s="217"/>
      <c r="AR148" s="216"/>
      <c r="AS148" s="216"/>
      <c r="AT148" s="218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</row>
    <row r="149" spans="1:58" s="143" customFormat="1">
      <c r="A149" s="210"/>
      <c r="B149" s="211"/>
      <c r="C149" s="140"/>
      <c r="D149" s="210"/>
      <c r="G149" s="212"/>
      <c r="H149" s="212"/>
      <c r="I149" s="213"/>
      <c r="J149" s="212"/>
      <c r="K149" s="214"/>
      <c r="L149" s="159"/>
      <c r="M149" s="215"/>
      <c r="N149" s="216"/>
      <c r="O149" s="217"/>
      <c r="P149" s="216"/>
      <c r="Q149" s="216"/>
      <c r="R149" s="216"/>
      <c r="S149" s="217"/>
      <c r="T149" s="216"/>
      <c r="U149" s="216"/>
      <c r="V149" s="216"/>
      <c r="W149" s="217"/>
      <c r="X149" s="216"/>
      <c r="Y149" s="216"/>
      <c r="Z149" s="216"/>
      <c r="AA149" s="217"/>
      <c r="AB149" s="216"/>
      <c r="AC149" s="216"/>
      <c r="AD149" s="216"/>
      <c r="AE149" s="217"/>
      <c r="AF149" s="216"/>
      <c r="AG149" s="216"/>
      <c r="AH149" s="216"/>
      <c r="AI149" s="217"/>
      <c r="AJ149" s="216"/>
      <c r="AK149" s="216"/>
      <c r="AL149" s="216"/>
      <c r="AM149" s="217"/>
      <c r="AN149" s="216"/>
      <c r="AO149" s="216"/>
      <c r="AP149" s="216"/>
      <c r="AQ149" s="217"/>
      <c r="AR149" s="216"/>
      <c r="AS149" s="216"/>
      <c r="AT149" s="218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</row>
    <row r="150" spans="1:58" s="143" customFormat="1">
      <c r="A150" s="210"/>
      <c r="B150" s="211"/>
      <c r="C150" s="140"/>
      <c r="D150" s="210"/>
      <c r="G150" s="212"/>
      <c r="H150" s="212"/>
      <c r="I150" s="213"/>
      <c r="J150" s="212"/>
      <c r="K150" s="214"/>
      <c r="L150" s="159"/>
      <c r="M150" s="215"/>
      <c r="N150" s="216"/>
      <c r="O150" s="217"/>
      <c r="P150" s="216"/>
      <c r="Q150" s="216"/>
      <c r="R150" s="216"/>
      <c r="S150" s="217"/>
      <c r="T150" s="216"/>
      <c r="U150" s="216"/>
      <c r="V150" s="216"/>
      <c r="W150" s="217"/>
      <c r="X150" s="216"/>
      <c r="Y150" s="216"/>
      <c r="Z150" s="216"/>
      <c r="AA150" s="217"/>
      <c r="AB150" s="216"/>
      <c r="AC150" s="216"/>
      <c r="AD150" s="216"/>
      <c r="AE150" s="217"/>
      <c r="AF150" s="216"/>
      <c r="AG150" s="216"/>
      <c r="AH150" s="216"/>
      <c r="AI150" s="217"/>
      <c r="AJ150" s="216"/>
      <c r="AK150" s="216"/>
      <c r="AL150" s="216"/>
      <c r="AM150" s="217"/>
      <c r="AN150" s="216"/>
      <c r="AO150" s="216"/>
      <c r="AP150" s="216"/>
      <c r="AQ150" s="217"/>
      <c r="AR150" s="216"/>
      <c r="AS150" s="216"/>
      <c r="AT150" s="218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</row>
    <row r="151" spans="1:58" s="143" customFormat="1">
      <c r="A151" s="210"/>
      <c r="B151" s="211"/>
      <c r="C151" s="140"/>
      <c r="D151" s="210"/>
      <c r="G151" s="212"/>
      <c r="H151" s="212"/>
      <c r="I151" s="213"/>
      <c r="J151" s="212"/>
      <c r="K151" s="214"/>
      <c r="L151" s="159"/>
      <c r="M151" s="215"/>
      <c r="N151" s="216"/>
      <c r="O151" s="217"/>
      <c r="P151" s="216"/>
      <c r="Q151" s="216"/>
      <c r="R151" s="216"/>
      <c r="S151" s="217"/>
      <c r="T151" s="216"/>
      <c r="U151" s="216"/>
      <c r="V151" s="216"/>
      <c r="W151" s="217"/>
      <c r="X151" s="216"/>
      <c r="Y151" s="216"/>
      <c r="Z151" s="216"/>
      <c r="AA151" s="217"/>
      <c r="AB151" s="216"/>
      <c r="AC151" s="216"/>
      <c r="AD151" s="216"/>
      <c r="AE151" s="217"/>
      <c r="AF151" s="216"/>
      <c r="AG151" s="216"/>
      <c r="AH151" s="216"/>
      <c r="AI151" s="217"/>
      <c r="AJ151" s="216"/>
      <c r="AK151" s="216"/>
      <c r="AL151" s="216"/>
      <c r="AM151" s="217"/>
      <c r="AN151" s="216"/>
      <c r="AO151" s="216"/>
      <c r="AP151" s="216"/>
      <c r="AQ151" s="217"/>
      <c r="AR151" s="216"/>
      <c r="AS151" s="216"/>
      <c r="AT151" s="218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</row>
    <row r="152" spans="1:58" s="143" customFormat="1">
      <c r="A152" s="210"/>
      <c r="B152" s="211"/>
      <c r="C152" s="140"/>
      <c r="D152" s="210"/>
      <c r="G152" s="212"/>
      <c r="H152" s="212"/>
      <c r="I152" s="213"/>
      <c r="J152" s="212"/>
      <c r="K152" s="214"/>
      <c r="L152" s="159"/>
      <c r="M152" s="215"/>
      <c r="N152" s="216"/>
      <c r="O152" s="217"/>
      <c r="P152" s="216"/>
      <c r="Q152" s="216"/>
      <c r="R152" s="216"/>
      <c r="S152" s="217"/>
      <c r="T152" s="216"/>
      <c r="U152" s="216"/>
      <c r="V152" s="216"/>
      <c r="W152" s="217"/>
      <c r="X152" s="216"/>
      <c r="Y152" s="216"/>
      <c r="Z152" s="216"/>
      <c r="AA152" s="217"/>
      <c r="AB152" s="216"/>
      <c r="AC152" s="216"/>
      <c r="AD152" s="216"/>
      <c r="AE152" s="217"/>
      <c r="AF152" s="216"/>
      <c r="AG152" s="216"/>
      <c r="AH152" s="216"/>
      <c r="AI152" s="217"/>
      <c r="AJ152" s="216"/>
      <c r="AK152" s="216"/>
      <c r="AL152" s="216"/>
      <c r="AM152" s="217"/>
      <c r="AN152" s="216"/>
      <c r="AO152" s="216"/>
      <c r="AP152" s="216"/>
      <c r="AQ152" s="217"/>
      <c r="AR152" s="216"/>
      <c r="AS152" s="216"/>
      <c r="AT152" s="218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</row>
    <row r="153" spans="1:58" s="143" customFormat="1">
      <c r="A153" s="210"/>
      <c r="B153" s="211"/>
      <c r="C153" s="140"/>
      <c r="D153" s="210"/>
      <c r="G153" s="212"/>
      <c r="H153" s="212"/>
      <c r="I153" s="213"/>
      <c r="J153" s="212"/>
      <c r="K153" s="214"/>
      <c r="L153" s="159"/>
      <c r="M153" s="215"/>
      <c r="N153" s="216"/>
      <c r="O153" s="217"/>
      <c r="P153" s="216"/>
      <c r="Q153" s="216"/>
      <c r="R153" s="216"/>
      <c r="S153" s="217"/>
      <c r="T153" s="216"/>
      <c r="U153" s="216"/>
      <c r="V153" s="216"/>
      <c r="W153" s="217"/>
      <c r="X153" s="216"/>
      <c r="Y153" s="216"/>
      <c r="Z153" s="216"/>
      <c r="AA153" s="217"/>
      <c r="AB153" s="216"/>
      <c r="AC153" s="216"/>
      <c r="AD153" s="216"/>
      <c r="AE153" s="217"/>
      <c r="AF153" s="216"/>
      <c r="AG153" s="216"/>
      <c r="AH153" s="216"/>
      <c r="AI153" s="217"/>
      <c r="AJ153" s="216"/>
      <c r="AK153" s="216"/>
      <c r="AL153" s="216"/>
      <c r="AM153" s="217"/>
      <c r="AN153" s="216"/>
      <c r="AO153" s="216"/>
      <c r="AP153" s="216"/>
      <c r="AQ153" s="217"/>
      <c r="AR153" s="216"/>
      <c r="AS153" s="216"/>
      <c r="AT153" s="218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</row>
    <row r="154" spans="1:58" s="143" customFormat="1">
      <c r="A154" s="210"/>
      <c r="B154" s="211"/>
      <c r="C154" s="140"/>
      <c r="D154" s="210"/>
      <c r="G154" s="212"/>
      <c r="H154" s="212"/>
      <c r="I154" s="213"/>
      <c r="J154" s="212"/>
      <c r="K154" s="214"/>
      <c r="L154" s="159"/>
      <c r="M154" s="215"/>
      <c r="N154" s="216"/>
      <c r="O154" s="217"/>
      <c r="P154" s="216"/>
      <c r="Q154" s="216"/>
      <c r="R154" s="216"/>
      <c r="S154" s="217"/>
      <c r="T154" s="216"/>
      <c r="U154" s="216"/>
      <c r="V154" s="216"/>
      <c r="W154" s="217"/>
      <c r="X154" s="216"/>
      <c r="Y154" s="216"/>
      <c r="Z154" s="216"/>
      <c r="AA154" s="217"/>
      <c r="AB154" s="216"/>
      <c r="AC154" s="216"/>
      <c r="AD154" s="216"/>
      <c r="AE154" s="217"/>
      <c r="AF154" s="216"/>
      <c r="AG154" s="216"/>
      <c r="AH154" s="216"/>
      <c r="AI154" s="217"/>
      <c r="AJ154" s="216"/>
      <c r="AK154" s="216"/>
      <c r="AL154" s="216"/>
      <c r="AM154" s="217"/>
      <c r="AN154" s="216"/>
      <c r="AO154" s="216"/>
      <c r="AP154" s="216"/>
      <c r="AQ154" s="217"/>
      <c r="AR154" s="216"/>
      <c r="AS154" s="216"/>
      <c r="AT154" s="218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</row>
    <row r="155" spans="1:58" s="143" customFormat="1">
      <c r="A155" s="210"/>
      <c r="B155" s="211"/>
      <c r="C155" s="140"/>
      <c r="D155" s="210"/>
      <c r="G155" s="212"/>
      <c r="H155" s="212"/>
      <c r="I155" s="213"/>
      <c r="J155" s="212"/>
      <c r="K155" s="214"/>
      <c r="L155" s="159"/>
      <c r="M155" s="215"/>
      <c r="N155" s="216"/>
      <c r="O155" s="217"/>
      <c r="P155" s="216"/>
      <c r="Q155" s="216"/>
      <c r="R155" s="216"/>
      <c r="S155" s="217"/>
      <c r="T155" s="216"/>
      <c r="U155" s="216"/>
      <c r="V155" s="216"/>
      <c r="W155" s="217"/>
      <c r="X155" s="216"/>
      <c r="Y155" s="216"/>
      <c r="Z155" s="216"/>
      <c r="AA155" s="217"/>
      <c r="AB155" s="216"/>
      <c r="AC155" s="216"/>
      <c r="AD155" s="216"/>
      <c r="AE155" s="217"/>
      <c r="AF155" s="216"/>
      <c r="AG155" s="216"/>
      <c r="AH155" s="216"/>
      <c r="AI155" s="217"/>
      <c r="AJ155" s="216"/>
      <c r="AK155" s="216"/>
      <c r="AL155" s="216"/>
      <c r="AM155" s="217"/>
      <c r="AN155" s="216"/>
      <c r="AO155" s="216"/>
      <c r="AP155" s="216"/>
      <c r="AQ155" s="217"/>
      <c r="AR155" s="216"/>
      <c r="AS155" s="216"/>
      <c r="AT155" s="218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</row>
    <row r="156" spans="1:58" s="143" customFormat="1">
      <c r="A156" s="210"/>
      <c r="B156" s="211"/>
      <c r="C156" s="140"/>
      <c r="D156" s="210"/>
      <c r="G156" s="212"/>
      <c r="H156" s="212"/>
      <c r="I156" s="213"/>
      <c r="J156" s="212"/>
      <c r="K156" s="214"/>
      <c r="L156" s="159"/>
      <c r="M156" s="215"/>
      <c r="N156" s="216"/>
      <c r="O156" s="217"/>
      <c r="P156" s="216"/>
      <c r="Q156" s="216"/>
      <c r="R156" s="216"/>
      <c r="S156" s="217"/>
      <c r="T156" s="216"/>
      <c r="U156" s="216"/>
      <c r="V156" s="216"/>
      <c r="W156" s="217"/>
      <c r="X156" s="216"/>
      <c r="Y156" s="216"/>
      <c r="Z156" s="216"/>
      <c r="AA156" s="217"/>
      <c r="AB156" s="216"/>
      <c r="AC156" s="216"/>
      <c r="AD156" s="216"/>
      <c r="AE156" s="217"/>
      <c r="AF156" s="216"/>
      <c r="AG156" s="216"/>
      <c r="AH156" s="216"/>
      <c r="AI156" s="217"/>
      <c r="AJ156" s="216"/>
      <c r="AK156" s="216"/>
      <c r="AL156" s="216"/>
      <c r="AM156" s="217"/>
      <c r="AN156" s="216"/>
      <c r="AO156" s="216"/>
      <c r="AP156" s="216"/>
      <c r="AQ156" s="217"/>
      <c r="AR156" s="216"/>
      <c r="AS156" s="216"/>
      <c r="AT156" s="218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</row>
    <row r="157" spans="1:58" s="143" customFormat="1">
      <c r="A157" s="210"/>
      <c r="B157" s="211"/>
      <c r="C157" s="140"/>
      <c r="D157" s="210"/>
      <c r="G157" s="212"/>
      <c r="H157" s="212"/>
      <c r="I157" s="213"/>
      <c r="J157" s="212"/>
      <c r="K157" s="214"/>
      <c r="L157" s="159"/>
      <c r="M157" s="215"/>
      <c r="N157" s="216"/>
      <c r="O157" s="217"/>
      <c r="P157" s="216"/>
      <c r="Q157" s="216"/>
      <c r="R157" s="216"/>
      <c r="S157" s="217"/>
      <c r="T157" s="216"/>
      <c r="U157" s="216"/>
      <c r="V157" s="216"/>
      <c r="W157" s="217"/>
      <c r="X157" s="216"/>
      <c r="Y157" s="216"/>
      <c r="Z157" s="216"/>
      <c r="AA157" s="217"/>
      <c r="AB157" s="216"/>
      <c r="AC157" s="216"/>
      <c r="AD157" s="216"/>
      <c r="AE157" s="217"/>
      <c r="AF157" s="216"/>
      <c r="AG157" s="216"/>
      <c r="AH157" s="216"/>
      <c r="AI157" s="217"/>
      <c r="AJ157" s="216"/>
      <c r="AK157" s="216"/>
      <c r="AL157" s="216"/>
      <c r="AM157" s="217"/>
      <c r="AN157" s="216"/>
      <c r="AO157" s="216"/>
      <c r="AP157" s="216"/>
      <c r="AQ157" s="217"/>
      <c r="AR157" s="216"/>
      <c r="AS157" s="216"/>
      <c r="AT157" s="218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</row>
    <row r="158" spans="1:58" s="143" customFormat="1">
      <c r="A158" s="210"/>
      <c r="B158" s="211"/>
      <c r="C158" s="140"/>
      <c r="D158" s="210"/>
      <c r="G158" s="212"/>
      <c r="H158" s="212"/>
      <c r="I158" s="213"/>
      <c r="J158" s="212"/>
      <c r="K158" s="214"/>
      <c r="L158" s="159"/>
      <c r="M158" s="215"/>
      <c r="N158" s="216"/>
      <c r="O158" s="217"/>
      <c r="P158" s="216"/>
      <c r="Q158" s="216"/>
      <c r="R158" s="216"/>
      <c r="S158" s="217"/>
      <c r="T158" s="216"/>
      <c r="U158" s="216"/>
      <c r="V158" s="216"/>
      <c r="W158" s="217"/>
      <c r="X158" s="216"/>
      <c r="Y158" s="216"/>
      <c r="Z158" s="216"/>
      <c r="AA158" s="217"/>
      <c r="AB158" s="216"/>
      <c r="AC158" s="216"/>
      <c r="AD158" s="216"/>
      <c r="AE158" s="217"/>
      <c r="AF158" s="216"/>
      <c r="AG158" s="216"/>
      <c r="AH158" s="216"/>
      <c r="AI158" s="217"/>
      <c r="AJ158" s="216"/>
      <c r="AK158" s="216"/>
      <c r="AL158" s="216"/>
      <c r="AM158" s="217"/>
      <c r="AN158" s="216"/>
      <c r="AO158" s="216"/>
      <c r="AP158" s="216"/>
      <c r="AQ158" s="217"/>
      <c r="AR158" s="216"/>
      <c r="AS158" s="216"/>
      <c r="AT158" s="218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</row>
    <row r="159" spans="1:58" s="143" customFormat="1">
      <c r="A159" s="210"/>
      <c r="B159" s="211"/>
      <c r="C159" s="140"/>
      <c r="D159" s="210"/>
      <c r="G159" s="212"/>
      <c r="H159" s="212"/>
      <c r="I159" s="213"/>
      <c r="J159" s="212"/>
      <c r="K159" s="214"/>
      <c r="L159" s="159"/>
      <c r="M159" s="215"/>
      <c r="N159" s="216"/>
      <c r="O159" s="217"/>
      <c r="P159" s="216"/>
      <c r="Q159" s="216"/>
      <c r="R159" s="216"/>
      <c r="S159" s="217"/>
      <c r="T159" s="216"/>
      <c r="U159" s="216"/>
      <c r="V159" s="216"/>
      <c r="W159" s="217"/>
      <c r="X159" s="216"/>
      <c r="Y159" s="216"/>
      <c r="Z159" s="216"/>
      <c r="AA159" s="217"/>
      <c r="AB159" s="216"/>
      <c r="AC159" s="216"/>
      <c r="AD159" s="216"/>
      <c r="AE159" s="217"/>
      <c r="AF159" s="216"/>
      <c r="AG159" s="216"/>
      <c r="AH159" s="216"/>
      <c r="AI159" s="217"/>
      <c r="AJ159" s="216"/>
      <c r="AK159" s="216"/>
      <c r="AL159" s="216"/>
      <c r="AM159" s="217"/>
      <c r="AN159" s="216"/>
      <c r="AO159" s="216"/>
      <c r="AP159" s="216"/>
      <c r="AQ159" s="217"/>
      <c r="AR159" s="216"/>
      <c r="AS159" s="216"/>
      <c r="AT159" s="218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</row>
    <row r="160" spans="1:58" s="143" customFormat="1">
      <c r="A160" s="210"/>
      <c r="B160" s="211"/>
      <c r="C160" s="140"/>
      <c r="D160" s="210"/>
      <c r="G160" s="212"/>
      <c r="H160" s="212"/>
      <c r="I160" s="213"/>
      <c r="J160" s="212"/>
      <c r="K160" s="214"/>
      <c r="L160" s="159"/>
      <c r="M160" s="215"/>
      <c r="N160" s="216"/>
      <c r="O160" s="217"/>
      <c r="P160" s="216"/>
      <c r="Q160" s="216"/>
      <c r="R160" s="216"/>
      <c r="S160" s="217"/>
      <c r="T160" s="216"/>
      <c r="U160" s="216"/>
      <c r="V160" s="216"/>
      <c r="W160" s="217"/>
      <c r="X160" s="216"/>
      <c r="Y160" s="216"/>
      <c r="Z160" s="216"/>
      <c r="AA160" s="217"/>
      <c r="AB160" s="216"/>
      <c r="AC160" s="216"/>
      <c r="AD160" s="216"/>
      <c r="AE160" s="217"/>
      <c r="AF160" s="216"/>
      <c r="AG160" s="216"/>
      <c r="AH160" s="216"/>
      <c r="AI160" s="217"/>
      <c r="AJ160" s="216"/>
      <c r="AK160" s="216"/>
      <c r="AL160" s="216"/>
      <c r="AM160" s="217"/>
      <c r="AN160" s="216"/>
      <c r="AO160" s="216"/>
      <c r="AP160" s="216"/>
      <c r="AQ160" s="217"/>
      <c r="AR160" s="216"/>
      <c r="AS160" s="216"/>
      <c r="AT160" s="218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</row>
    <row r="161" spans="1:58" s="143" customFormat="1">
      <c r="A161" s="210"/>
      <c r="B161" s="211"/>
      <c r="C161" s="140"/>
      <c r="D161" s="210"/>
      <c r="G161" s="212"/>
      <c r="H161" s="212"/>
      <c r="I161" s="213"/>
      <c r="J161" s="212"/>
      <c r="K161" s="214"/>
      <c r="L161" s="159"/>
      <c r="M161" s="215"/>
      <c r="N161" s="216"/>
      <c r="O161" s="217"/>
      <c r="P161" s="216"/>
      <c r="Q161" s="216"/>
      <c r="R161" s="216"/>
      <c r="S161" s="217"/>
      <c r="T161" s="216"/>
      <c r="U161" s="216"/>
      <c r="V161" s="216"/>
      <c r="W161" s="217"/>
      <c r="X161" s="216"/>
      <c r="Y161" s="216"/>
      <c r="Z161" s="216"/>
      <c r="AA161" s="217"/>
      <c r="AB161" s="216"/>
      <c r="AC161" s="216"/>
      <c r="AD161" s="216"/>
      <c r="AE161" s="217"/>
      <c r="AF161" s="216"/>
      <c r="AG161" s="216"/>
      <c r="AH161" s="216"/>
      <c r="AI161" s="217"/>
      <c r="AJ161" s="216"/>
      <c r="AK161" s="216"/>
      <c r="AL161" s="216"/>
      <c r="AM161" s="217"/>
      <c r="AN161" s="216"/>
      <c r="AO161" s="216"/>
      <c r="AP161" s="216"/>
      <c r="AQ161" s="217"/>
      <c r="AR161" s="216"/>
      <c r="AS161" s="216"/>
      <c r="AT161" s="218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</row>
    <row r="162" spans="1:58" s="143" customFormat="1">
      <c r="A162" s="210"/>
      <c r="B162" s="211"/>
      <c r="C162" s="140"/>
      <c r="D162" s="210"/>
      <c r="G162" s="212"/>
      <c r="H162" s="212"/>
      <c r="I162" s="213"/>
      <c r="J162" s="212"/>
      <c r="K162" s="214"/>
      <c r="L162" s="159"/>
      <c r="M162" s="215"/>
      <c r="N162" s="216"/>
      <c r="O162" s="217"/>
      <c r="P162" s="216"/>
      <c r="Q162" s="216"/>
      <c r="R162" s="216"/>
      <c r="S162" s="217"/>
      <c r="T162" s="216"/>
      <c r="U162" s="216"/>
      <c r="V162" s="216"/>
      <c r="W162" s="217"/>
      <c r="X162" s="216"/>
      <c r="Y162" s="216"/>
      <c r="Z162" s="216"/>
      <c r="AA162" s="217"/>
      <c r="AB162" s="216"/>
      <c r="AC162" s="216"/>
      <c r="AD162" s="216"/>
      <c r="AE162" s="217"/>
      <c r="AF162" s="216"/>
      <c r="AG162" s="216"/>
      <c r="AH162" s="216"/>
      <c r="AI162" s="217"/>
      <c r="AJ162" s="216"/>
      <c r="AK162" s="216"/>
      <c r="AL162" s="216"/>
      <c r="AM162" s="217"/>
      <c r="AN162" s="216"/>
      <c r="AO162" s="216"/>
      <c r="AP162" s="216"/>
      <c r="AQ162" s="217"/>
      <c r="AR162" s="216"/>
      <c r="AS162" s="216"/>
      <c r="AT162" s="218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</row>
    <row r="163" spans="1:58" s="143" customFormat="1">
      <c r="A163" s="210"/>
      <c r="B163" s="211"/>
      <c r="C163" s="140"/>
      <c r="D163" s="210"/>
      <c r="G163" s="212"/>
      <c r="H163" s="212"/>
      <c r="I163" s="213"/>
      <c r="J163" s="212"/>
      <c r="K163" s="214"/>
      <c r="L163" s="159"/>
      <c r="M163" s="215"/>
      <c r="N163" s="216"/>
      <c r="O163" s="217"/>
      <c r="P163" s="216"/>
      <c r="Q163" s="216"/>
      <c r="R163" s="216"/>
      <c r="S163" s="217"/>
      <c r="T163" s="216"/>
      <c r="U163" s="216"/>
      <c r="V163" s="216"/>
      <c r="W163" s="217"/>
      <c r="X163" s="216"/>
      <c r="Y163" s="216"/>
      <c r="Z163" s="216"/>
      <c r="AA163" s="217"/>
      <c r="AB163" s="216"/>
      <c r="AC163" s="216"/>
      <c r="AD163" s="216"/>
      <c r="AE163" s="217"/>
      <c r="AF163" s="216"/>
      <c r="AG163" s="216"/>
      <c r="AH163" s="216"/>
      <c r="AI163" s="217"/>
      <c r="AJ163" s="216"/>
      <c r="AK163" s="216"/>
      <c r="AL163" s="216"/>
      <c r="AM163" s="217"/>
      <c r="AN163" s="216"/>
      <c r="AO163" s="216"/>
      <c r="AP163" s="216"/>
      <c r="AQ163" s="217"/>
      <c r="AR163" s="216"/>
      <c r="AS163" s="216"/>
      <c r="AT163" s="218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</row>
    <row r="164" spans="1:58" s="143" customFormat="1">
      <c r="A164" s="210"/>
      <c r="B164" s="211"/>
      <c r="C164" s="140"/>
      <c r="D164" s="210"/>
      <c r="G164" s="212"/>
      <c r="H164" s="212"/>
      <c r="I164" s="213"/>
      <c r="J164" s="212"/>
      <c r="K164" s="214"/>
      <c r="L164" s="159"/>
      <c r="M164" s="215"/>
      <c r="N164" s="216"/>
      <c r="O164" s="217"/>
      <c r="P164" s="216"/>
      <c r="Q164" s="216"/>
      <c r="R164" s="216"/>
      <c r="S164" s="217"/>
      <c r="T164" s="216"/>
      <c r="U164" s="216"/>
      <c r="V164" s="216"/>
      <c r="W164" s="217"/>
      <c r="X164" s="216"/>
      <c r="Y164" s="216"/>
      <c r="Z164" s="216"/>
      <c r="AA164" s="217"/>
      <c r="AB164" s="216"/>
      <c r="AC164" s="216"/>
      <c r="AD164" s="216"/>
      <c r="AE164" s="217"/>
      <c r="AF164" s="216"/>
      <c r="AG164" s="216"/>
      <c r="AH164" s="216"/>
      <c r="AI164" s="217"/>
      <c r="AJ164" s="216"/>
      <c r="AK164" s="216"/>
      <c r="AL164" s="216"/>
      <c r="AM164" s="217"/>
      <c r="AN164" s="216"/>
      <c r="AO164" s="216"/>
      <c r="AP164" s="216"/>
      <c r="AQ164" s="217"/>
      <c r="AR164" s="216"/>
      <c r="AS164" s="216"/>
      <c r="AT164" s="218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</row>
    <row r="165" spans="1:58" s="143" customFormat="1">
      <c r="A165" s="210"/>
      <c r="B165" s="211"/>
      <c r="C165" s="140"/>
      <c r="D165" s="210"/>
      <c r="G165" s="212"/>
      <c r="H165" s="212"/>
      <c r="I165" s="213"/>
      <c r="J165" s="212"/>
      <c r="K165" s="214"/>
      <c r="L165" s="159"/>
      <c r="M165" s="215"/>
      <c r="N165" s="216"/>
      <c r="O165" s="217"/>
      <c r="P165" s="216"/>
      <c r="Q165" s="216"/>
      <c r="R165" s="216"/>
      <c r="S165" s="217"/>
      <c r="T165" s="216"/>
      <c r="U165" s="216"/>
      <c r="V165" s="216"/>
      <c r="W165" s="217"/>
      <c r="X165" s="216"/>
      <c r="Y165" s="216"/>
      <c r="Z165" s="216"/>
      <c r="AA165" s="217"/>
      <c r="AB165" s="216"/>
      <c r="AC165" s="216"/>
      <c r="AD165" s="216"/>
      <c r="AE165" s="217"/>
      <c r="AF165" s="216"/>
      <c r="AG165" s="216"/>
      <c r="AH165" s="216"/>
      <c r="AI165" s="217"/>
      <c r="AJ165" s="216"/>
      <c r="AK165" s="216"/>
      <c r="AL165" s="216"/>
      <c r="AM165" s="217"/>
      <c r="AN165" s="216"/>
      <c r="AO165" s="216"/>
      <c r="AP165" s="216"/>
      <c r="AQ165" s="217"/>
      <c r="AR165" s="216"/>
      <c r="AS165" s="216"/>
      <c r="AT165" s="218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</row>
    <row r="166" spans="1:58" s="143" customFormat="1">
      <c r="A166" s="210"/>
      <c r="B166" s="211"/>
      <c r="C166" s="140"/>
      <c r="D166" s="210"/>
      <c r="G166" s="212"/>
      <c r="H166" s="212"/>
      <c r="I166" s="213"/>
      <c r="J166" s="212"/>
      <c r="K166" s="214"/>
      <c r="L166" s="159"/>
      <c r="M166" s="215"/>
      <c r="N166" s="216"/>
      <c r="O166" s="217"/>
      <c r="P166" s="216"/>
      <c r="Q166" s="216"/>
      <c r="R166" s="216"/>
      <c r="S166" s="217"/>
      <c r="T166" s="216"/>
      <c r="U166" s="216"/>
      <c r="V166" s="216"/>
      <c r="W166" s="217"/>
      <c r="X166" s="216"/>
      <c r="Y166" s="216"/>
      <c r="Z166" s="216"/>
      <c r="AA166" s="217"/>
      <c r="AB166" s="216"/>
      <c r="AC166" s="216"/>
      <c r="AD166" s="216"/>
      <c r="AE166" s="217"/>
      <c r="AF166" s="216"/>
      <c r="AG166" s="216"/>
      <c r="AH166" s="216"/>
      <c r="AI166" s="217"/>
      <c r="AJ166" s="216"/>
      <c r="AK166" s="216"/>
      <c r="AL166" s="216"/>
      <c r="AM166" s="217"/>
      <c r="AN166" s="216"/>
      <c r="AO166" s="216"/>
      <c r="AP166" s="216"/>
      <c r="AQ166" s="217"/>
      <c r="AR166" s="216"/>
      <c r="AS166" s="216"/>
      <c r="AT166" s="218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</row>
    <row r="167" spans="1:58" s="143" customFormat="1">
      <c r="A167" s="210"/>
      <c r="B167" s="211"/>
      <c r="C167" s="140"/>
      <c r="D167" s="210"/>
      <c r="G167" s="212"/>
      <c r="H167" s="212"/>
      <c r="I167" s="213"/>
      <c r="J167" s="212"/>
      <c r="K167" s="214"/>
      <c r="L167" s="159"/>
      <c r="M167" s="215"/>
      <c r="N167" s="216"/>
      <c r="O167" s="217"/>
      <c r="P167" s="216"/>
      <c r="Q167" s="216"/>
      <c r="R167" s="216"/>
      <c r="S167" s="217"/>
      <c r="T167" s="216"/>
      <c r="U167" s="216"/>
      <c r="V167" s="216"/>
      <c r="W167" s="217"/>
      <c r="X167" s="216"/>
      <c r="Y167" s="216"/>
      <c r="Z167" s="216"/>
      <c r="AA167" s="217"/>
      <c r="AB167" s="216"/>
      <c r="AC167" s="216"/>
      <c r="AD167" s="216"/>
      <c r="AE167" s="217"/>
      <c r="AF167" s="216"/>
      <c r="AG167" s="216"/>
      <c r="AH167" s="216"/>
      <c r="AI167" s="217"/>
      <c r="AJ167" s="216"/>
      <c r="AK167" s="216"/>
      <c r="AL167" s="216"/>
      <c r="AM167" s="217"/>
      <c r="AN167" s="216"/>
      <c r="AO167" s="216"/>
      <c r="AP167" s="216"/>
      <c r="AQ167" s="217"/>
      <c r="AR167" s="216"/>
      <c r="AS167" s="216"/>
      <c r="AT167" s="218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</row>
    <row r="168" spans="1:58" s="143" customFormat="1">
      <c r="A168" s="210"/>
      <c r="B168" s="211"/>
      <c r="C168" s="140"/>
      <c r="D168" s="210"/>
      <c r="G168" s="212"/>
      <c r="H168" s="212"/>
      <c r="I168" s="213"/>
      <c r="J168" s="212"/>
      <c r="K168" s="214"/>
      <c r="L168" s="159"/>
      <c r="M168" s="215"/>
      <c r="N168" s="216"/>
      <c r="O168" s="217"/>
      <c r="P168" s="216"/>
      <c r="Q168" s="216"/>
      <c r="R168" s="216"/>
      <c r="S168" s="217"/>
      <c r="T168" s="216"/>
      <c r="U168" s="216"/>
      <c r="V168" s="216"/>
      <c r="W168" s="217"/>
      <c r="X168" s="216"/>
      <c r="Y168" s="216"/>
      <c r="Z168" s="216"/>
      <c r="AA168" s="217"/>
      <c r="AB168" s="216"/>
      <c r="AC168" s="216"/>
      <c r="AD168" s="216"/>
      <c r="AE168" s="217"/>
      <c r="AF168" s="216"/>
      <c r="AG168" s="216"/>
      <c r="AH168" s="216"/>
      <c r="AI168" s="217"/>
      <c r="AJ168" s="216"/>
      <c r="AK168" s="216"/>
      <c r="AL168" s="216"/>
      <c r="AM168" s="217"/>
      <c r="AN168" s="216"/>
      <c r="AO168" s="216"/>
      <c r="AP168" s="216"/>
      <c r="AQ168" s="217"/>
      <c r="AR168" s="216"/>
      <c r="AS168" s="216"/>
      <c r="AT168" s="218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</row>
    <row r="169" spans="1:58" s="143" customFormat="1">
      <c r="A169" s="210"/>
      <c r="B169" s="211"/>
      <c r="C169" s="140"/>
      <c r="D169" s="210"/>
      <c r="G169" s="212"/>
      <c r="H169" s="212"/>
      <c r="I169" s="213"/>
      <c r="J169" s="212"/>
      <c r="K169" s="214"/>
      <c r="L169" s="159"/>
      <c r="M169" s="215"/>
      <c r="N169" s="216"/>
      <c r="O169" s="217"/>
      <c r="P169" s="216"/>
      <c r="Q169" s="216"/>
      <c r="R169" s="216"/>
      <c r="S169" s="217"/>
      <c r="T169" s="216"/>
      <c r="U169" s="216"/>
      <c r="V169" s="216"/>
      <c r="W169" s="217"/>
      <c r="X169" s="216"/>
      <c r="Y169" s="216"/>
      <c r="Z169" s="216"/>
      <c r="AA169" s="217"/>
      <c r="AB169" s="216"/>
      <c r="AC169" s="216"/>
      <c r="AD169" s="216"/>
      <c r="AE169" s="217"/>
      <c r="AF169" s="216"/>
      <c r="AG169" s="216"/>
      <c r="AH169" s="216"/>
      <c r="AI169" s="217"/>
      <c r="AJ169" s="216"/>
      <c r="AK169" s="216"/>
      <c r="AL169" s="216"/>
      <c r="AM169" s="217"/>
      <c r="AN169" s="216"/>
      <c r="AO169" s="216"/>
      <c r="AP169" s="216"/>
      <c r="AQ169" s="217"/>
      <c r="AR169" s="216"/>
      <c r="AS169" s="216"/>
      <c r="AT169" s="218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</row>
    <row r="170" spans="1:58" s="143" customFormat="1">
      <c r="A170" s="210"/>
      <c r="B170" s="211"/>
      <c r="C170" s="140"/>
      <c r="D170" s="210"/>
      <c r="G170" s="212"/>
      <c r="H170" s="212"/>
      <c r="I170" s="213"/>
      <c r="J170" s="212"/>
      <c r="K170" s="214"/>
      <c r="L170" s="159"/>
      <c r="M170" s="215"/>
      <c r="N170" s="216"/>
      <c r="O170" s="217"/>
      <c r="P170" s="216"/>
      <c r="Q170" s="216"/>
      <c r="R170" s="216"/>
      <c r="S170" s="217"/>
      <c r="T170" s="216"/>
      <c r="U170" s="216"/>
      <c r="V170" s="216"/>
      <c r="W170" s="217"/>
      <c r="X170" s="216"/>
      <c r="Y170" s="216"/>
      <c r="Z170" s="216"/>
      <c r="AA170" s="217"/>
      <c r="AB170" s="216"/>
      <c r="AC170" s="216"/>
      <c r="AD170" s="216"/>
      <c r="AE170" s="217"/>
      <c r="AF170" s="216"/>
      <c r="AG170" s="216"/>
      <c r="AH170" s="216"/>
      <c r="AI170" s="217"/>
      <c r="AJ170" s="216"/>
      <c r="AK170" s="216"/>
      <c r="AL170" s="216"/>
      <c r="AM170" s="217"/>
      <c r="AN170" s="216"/>
      <c r="AO170" s="216"/>
      <c r="AP170" s="216"/>
      <c r="AQ170" s="217"/>
      <c r="AR170" s="216"/>
      <c r="AS170" s="216"/>
      <c r="AT170" s="218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</row>
    <row r="171" spans="1:58" s="143" customFormat="1">
      <c r="A171" s="210"/>
      <c r="B171" s="211"/>
      <c r="C171" s="140"/>
      <c r="D171" s="210"/>
      <c r="G171" s="212"/>
      <c r="H171" s="212"/>
      <c r="I171" s="213"/>
      <c r="J171" s="212"/>
      <c r="K171" s="214"/>
      <c r="L171" s="159"/>
      <c r="M171" s="215"/>
      <c r="N171" s="216"/>
      <c r="O171" s="217"/>
      <c r="P171" s="216"/>
      <c r="Q171" s="216"/>
      <c r="R171" s="216"/>
      <c r="S171" s="217"/>
      <c r="T171" s="216"/>
      <c r="U171" s="216"/>
      <c r="V171" s="216"/>
      <c r="W171" s="217"/>
      <c r="X171" s="216"/>
      <c r="Y171" s="216"/>
      <c r="Z171" s="216"/>
      <c r="AA171" s="217"/>
      <c r="AB171" s="216"/>
      <c r="AC171" s="216"/>
      <c r="AD171" s="216"/>
      <c r="AE171" s="217"/>
      <c r="AF171" s="216"/>
      <c r="AG171" s="216"/>
      <c r="AH171" s="216"/>
      <c r="AI171" s="217"/>
      <c r="AJ171" s="216"/>
      <c r="AK171" s="216"/>
      <c r="AL171" s="216"/>
      <c r="AM171" s="217"/>
      <c r="AN171" s="216"/>
      <c r="AO171" s="216"/>
      <c r="AP171" s="216"/>
      <c r="AQ171" s="217"/>
      <c r="AR171" s="216"/>
      <c r="AS171" s="216"/>
      <c r="AT171" s="218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</row>
    <row r="172" spans="1:58" s="143" customFormat="1">
      <c r="A172" s="210"/>
      <c r="B172" s="211"/>
      <c r="C172" s="140"/>
      <c r="D172" s="210"/>
      <c r="G172" s="212"/>
      <c r="H172" s="212"/>
      <c r="I172" s="213"/>
      <c r="J172" s="212"/>
      <c r="K172" s="214"/>
      <c r="L172" s="159"/>
      <c r="M172" s="215"/>
      <c r="N172" s="216"/>
      <c r="O172" s="217"/>
      <c r="P172" s="216"/>
      <c r="Q172" s="216"/>
      <c r="R172" s="216"/>
      <c r="S172" s="217"/>
      <c r="T172" s="216"/>
      <c r="U172" s="216"/>
      <c r="V172" s="216"/>
      <c r="W172" s="217"/>
      <c r="X172" s="216"/>
      <c r="Y172" s="216"/>
      <c r="Z172" s="216"/>
      <c r="AA172" s="217"/>
      <c r="AB172" s="216"/>
      <c r="AC172" s="216"/>
      <c r="AD172" s="216"/>
      <c r="AE172" s="217"/>
      <c r="AF172" s="216"/>
      <c r="AG172" s="216"/>
      <c r="AH172" s="216"/>
      <c r="AI172" s="217"/>
      <c r="AJ172" s="216"/>
      <c r="AK172" s="216"/>
      <c r="AL172" s="216"/>
      <c r="AM172" s="217"/>
      <c r="AN172" s="216"/>
      <c r="AO172" s="216"/>
      <c r="AP172" s="216"/>
      <c r="AQ172" s="217"/>
      <c r="AR172" s="216"/>
      <c r="AS172" s="216"/>
      <c r="AT172" s="218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</row>
    <row r="173" spans="1:58" s="143" customFormat="1">
      <c r="A173" s="210"/>
      <c r="B173" s="211"/>
      <c r="C173" s="140"/>
      <c r="D173" s="210"/>
      <c r="G173" s="212"/>
      <c r="H173" s="212"/>
      <c r="I173" s="213"/>
      <c r="J173" s="212"/>
      <c r="K173" s="214"/>
      <c r="L173" s="159"/>
      <c r="M173" s="215"/>
      <c r="N173" s="216"/>
      <c r="O173" s="217"/>
      <c r="P173" s="216"/>
      <c r="Q173" s="216"/>
      <c r="R173" s="216"/>
      <c r="S173" s="217"/>
      <c r="T173" s="216"/>
      <c r="U173" s="216"/>
      <c r="V173" s="216"/>
      <c r="W173" s="217"/>
      <c r="X173" s="216"/>
      <c r="Y173" s="216"/>
      <c r="Z173" s="216"/>
      <c r="AA173" s="217"/>
      <c r="AB173" s="216"/>
      <c r="AC173" s="216"/>
      <c r="AD173" s="216"/>
      <c r="AE173" s="217"/>
      <c r="AF173" s="216"/>
      <c r="AG173" s="216"/>
      <c r="AH173" s="216"/>
      <c r="AI173" s="217"/>
      <c r="AJ173" s="216"/>
      <c r="AK173" s="216"/>
      <c r="AL173" s="216"/>
      <c r="AM173" s="217"/>
      <c r="AN173" s="216"/>
      <c r="AO173" s="216"/>
      <c r="AP173" s="216"/>
      <c r="AQ173" s="217"/>
      <c r="AR173" s="216"/>
      <c r="AS173" s="216"/>
      <c r="AT173" s="218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</row>
    <row r="174" spans="1:58" s="143" customFormat="1">
      <c r="A174" s="210"/>
      <c r="B174" s="211"/>
      <c r="C174" s="140"/>
      <c r="D174" s="210"/>
      <c r="G174" s="212"/>
      <c r="H174" s="212"/>
      <c r="I174" s="213"/>
      <c r="J174" s="212"/>
      <c r="K174" s="214"/>
      <c r="L174" s="159"/>
      <c r="M174" s="215"/>
      <c r="N174" s="216"/>
      <c r="O174" s="217"/>
      <c r="P174" s="216"/>
      <c r="Q174" s="216"/>
      <c r="R174" s="216"/>
      <c r="S174" s="217"/>
      <c r="T174" s="216"/>
      <c r="U174" s="216"/>
      <c r="V174" s="216"/>
      <c r="W174" s="217"/>
      <c r="X174" s="216"/>
      <c r="Y174" s="216"/>
      <c r="Z174" s="216"/>
      <c r="AA174" s="217"/>
      <c r="AB174" s="216"/>
      <c r="AC174" s="216"/>
      <c r="AD174" s="216"/>
      <c r="AE174" s="217"/>
      <c r="AF174" s="216"/>
      <c r="AG174" s="216"/>
      <c r="AH174" s="216"/>
      <c r="AI174" s="217"/>
      <c r="AJ174" s="216"/>
      <c r="AK174" s="216"/>
      <c r="AL174" s="216"/>
      <c r="AM174" s="217"/>
      <c r="AN174" s="216"/>
      <c r="AO174" s="216"/>
      <c r="AP174" s="216"/>
      <c r="AQ174" s="217"/>
      <c r="AR174" s="216"/>
      <c r="AS174" s="216"/>
      <c r="AT174" s="218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</row>
    <row r="175" spans="1:58" s="143" customFormat="1">
      <c r="A175" s="210"/>
      <c r="B175" s="211"/>
      <c r="C175" s="140"/>
      <c r="D175" s="210"/>
      <c r="G175" s="212"/>
      <c r="H175" s="212"/>
      <c r="I175" s="213"/>
      <c r="J175" s="212"/>
      <c r="K175" s="214"/>
      <c r="L175" s="159"/>
      <c r="M175" s="215"/>
      <c r="N175" s="216"/>
      <c r="O175" s="217"/>
      <c r="P175" s="216"/>
      <c r="Q175" s="216"/>
      <c r="R175" s="216"/>
      <c r="S175" s="217"/>
      <c r="T175" s="216"/>
      <c r="U175" s="216"/>
      <c r="V175" s="216"/>
      <c r="W175" s="217"/>
      <c r="X175" s="216"/>
      <c r="Y175" s="216"/>
      <c r="Z175" s="216"/>
      <c r="AA175" s="217"/>
      <c r="AB175" s="216"/>
      <c r="AC175" s="216"/>
      <c r="AD175" s="216"/>
      <c r="AE175" s="217"/>
      <c r="AF175" s="216"/>
      <c r="AG175" s="216"/>
      <c r="AH175" s="216"/>
      <c r="AI175" s="217"/>
      <c r="AJ175" s="216"/>
      <c r="AK175" s="216"/>
      <c r="AL175" s="216"/>
      <c r="AM175" s="217"/>
      <c r="AN175" s="216"/>
      <c r="AO175" s="216"/>
      <c r="AP175" s="216"/>
      <c r="AQ175" s="217"/>
      <c r="AR175" s="216"/>
      <c r="AS175" s="216"/>
      <c r="AT175" s="218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</row>
    <row r="176" spans="1:58" s="143" customFormat="1">
      <c r="A176" s="210"/>
      <c r="B176" s="211"/>
      <c r="C176" s="140"/>
      <c r="D176" s="210"/>
      <c r="G176" s="212"/>
      <c r="H176" s="212"/>
      <c r="I176" s="213"/>
      <c r="J176" s="212"/>
      <c r="K176" s="214"/>
      <c r="L176" s="159"/>
      <c r="M176" s="215"/>
      <c r="N176" s="216"/>
      <c r="O176" s="217"/>
      <c r="P176" s="216"/>
      <c r="Q176" s="216"/>
      <c r="R176" s="216"/>
      <c r="S176" s="217"/>
      <c r="T176" s="216"/>
      <c r="U176" s="216"/>
      <c r="V176" s="216"/>
      <c r="W176" s="217"/>
      <c r="X176" s="216"/>
      <c r="Y176" s="216"/>
      <c r="Z176" s="216"/>
      <c r="AA176" s="217"/>
      <c r="AB176" s="216"/>
      <c r="AC176" s="216"/>
      <c r="AD176" s="216"/>
      <c r="AE176" s="217"/>
      <c r="AF176" s="216"/>
      <c r="AG176" s="216"/>
      <c r="AH176" s="216"/>
      <c r="AI176" s="217"/>
      <c r="AJ176" s="216"/>
      <c r="AK176" s="216"/>
      <c r="AL176" s="216"/>
      <c r="AM176" s="217"/>
      <c r="AN176" s="216"/>
      <c r="AO176" s="216"/>
      <c r="AP176" s="216"/>
      <c r="AQ176" s="217"/>
      <c r="AR176" s="216"/>
      <c r="AS176" s="216"/>
      <c r="AT176" s="218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</row>
    <row r="177" spans="1:58" s="143" customFormat="1">
      <c r="A177" s="210"/>
      <c r="B177" s="211"/>
      <c r="C177" s="140"/>
      <c r="D177" s="210"/>
      <c r="G177" s="212"/>
      <c r="H177" s="212"/>
      <c r="I177" s="213"/>
      <c r="J177" s="212"/>
      <c r="K177" s="214"/>
      <c r="L177" s="159"/>
      <c r="M177" s="215"/>
      <c r="N177" s="216"/>
      <c r="O177" s="217"/>
      <c r="P177" s="216"/>
      <c r="Q177" s="216"/>
      <c r="R177" s="216"/>
      <c r="S177" s="217"/>
      <c r="T177" s="216"/>
      <c r="U177" s="216"/>
      <c r="V177" s="216"/>
      <c r="W177" s="217"/>
      <c r="X177" s="216"/>
      <c r="Y177" s="216"/>
      <c r="Z177" s="216"/>
      <c r="AA177" s="217"/>
      <c r="AB177" s="216"/>
      <c r="AC177" s="216"/>
      <c r="AD177" s="216"/>
      <c r="AE177" s="217"/>
      <c r="AF177" s="216"/>
      <c r="AG177" s="216"/>
      <c r="AH177" s="216"/>
      <c r="AI177" s="217"/>
      <c r="AJ177" s="216"/>
      <c r="AK177" s="216"/>
      <c r="AL177" s="216"/>
      <c r="AM177" s="217"/>
      <c r="AN177" s="216"/>
      <c r="AO177" s="216"/>
      <c r="AP177" s="216"/>
      <c r="AQ177" s="217"/>
      <c r="AR177" s="216"/>
      <c r="AS177" s="216"/>
      <c r="AT177" s="218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</row>
    <row r="178" spans="1:58" s="143" customFormat="1">
      <c r="A178" s="210"/>
      <c r="B178" s="211"/>
      <c r="C178" s="140"/>
      <c r="D178" s="210"/>
      <c r="G178" s="212"/>
      <c r="H178" s="212"/>
      <c r="I178" s="213"/>
      <c r="J178" s="212"/>
      <c r="K178" s="214"/>
      <c r="L178" s="159"/>
      <c r="M178" s="215"/>
      <c r="N178" s="216"/>
      <c r="O178" s="217"/>
      <c r="P178" s="216"/>
      <c r="Q178" s="216"/>
      <c r="R178" s="216"/>
      <c r="S178" s="217"/>
      <c r="T178" s="216"/>
      <c r="U178" s="216"/>
      <c r="V178" s="216"/>
      <c r="W178" s="217"/>
      <c r="X178" s="216"/>
      <c r="Y178" s="216"/>
      <c r="Z178" s="216"/>
      <c r="AA178" s="217"/>
      <c r="AB178" s="216"/>
      <c r="AC178" s="216"/>
      <c r="AD178" s="216"/>
      <c r="AE178" s="217"/>
      <c r="AF178" s="216"/>
      <c r="AG178" s="216"/>
      <c r="AH178" s="216"/>
      <c r="AI178" s="217"/>
      <c r="AJ178" s="216"/>
      <c r="AK178" s="216"/>
      <c r="AL178" s="216"/>
      <c r="AM178" s="217"/>
      <c r="AN178" s="216"/>
      <c r="AO178" s="216"/>
      <c r="AP178" s="216"/>
      <c r="AQ178" s="217"/>
      <c r="AR178" s="216"/>
      <c r="AS178" s="216"/>
      <c r="AT178" s="218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</row>
    <row r="179" spans="1:58" s="143" customFormat="1">
      <c r="A179" s="210"/>
      <c r="B179" s="211"/>
      <c r="C179" s="140"/>
      <c r="D179" s="210"/>
      <c r="G179" s="212"/>
      <c r="H179" s="212"/>
      <c r="I179" s="213"/>
      <c r="J179" s="212"/>
      <c r="K179" s="214"/>
      <c r="L179" s="159"/>
      <c r="M179" s="215"/>
      <c r="N179" s="216"/>
      <c r="O179" s="217"/>
      <c r="P179" s="216"/>
      <c r="Q179" s="216"/>
      <c r="R179" s="216"/>
      <c r="S179" s="217"/>
      <c r="T179" s="216"/>
      <c r="U179" s="216"/>
      <c r="V179" s="216"/>
      <c r="W179" s="217"/>
      <c r="X179" s="216"/>
      <c r="Y179" s="216"/>
      <c r="Z179" s="216"/>
      <c r="AA179" s="217"/>
      <c r="AB179" s="216"/>
      <c r="AC179" s="216"/>
      <c r="AD179" s="216"/>
      <c r="AE179" s="217"/>
      <c r="AF179" s="216"/>
      <c r="AG179" s="216"/>
      <c r="AH179" s="216"/>
      <c r="AI179" s="217"/>
      <c r="AJ179" s="216"/>
      <c r="AK179" s="216"/>
      <c r="AL179" s="216"/>
      <c r="AM179" s="217"/>
      <c r="AN179" s="216"/>
      <c r="AO179" s="216"/>
      <c r="AP179" s="216"/>
      <c r="AQ179" s="217"/>
      <c r="AR179" s="216"/>
      <c r="AS179" s="216"/>
      <c r="AT179" s="218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</row>
    <row r="180" spans="1:58" s="143" customFormat="1">
      <c r="A180" s="210"/>
      <c r="B180" s="211"/>
      <c r="C180" s="140"/>
      <c r="D180" s="210"/>
      <c r="G180" s="212"/>
      <c r="H180" s="212"/>
      <c r="I180" s="213"/>
      <c r="J180" s="212"/>
      <c r="K180" s="214"/>
      <c r="L180" s="159"/>
      <c r="M180" s="215"/>
      <c r="N180" s="216"/>
      <c r="O180" s="217"/>
      <c r="P180" s="216"/>
      <c r="Q180" s="216"/>
      <c r="R180" s="216"/>
      <c r="S180" s="217"/>
      <c r="T180" s="216"/>
      <c r="U180" s="216"/>
      <c r="V180" s="216"/>
      <c r="W180" s="217"/>
      <c r="X180" s="216"/>
      <c r="Y180" s="216"/>
      <c r="Z180" s="216"/>
      <c r="AA180" s="217"/>
      <c r="AB180" s="216"/>
      <c r="AC180" s="216"/>
      <c r="AD180" s="216"/>
      <c r="AE180" s="217"/>
      <c r="AF180" s="216"/>
      <c r="AG180" s="216"/>
      <c r="AH180" s="216"/>
      <c r="AI180" s="217"/>
      <c r="AJ180" s="216"/>
      <c r="AK180" s="216"/>
      <c r="AL180" s="216"/>
      <c r="AM180" s="217"/>
      <c r="AN180" s="216"/>
      <c r="AO180" s="216"/>
      <c r="AP180" s="216"/>
      <c r="AQ180" s="217"/>
      <c r="AR180" s="216"/>
      <c r="AS180" s="216"/>
      <c r="AT180" s="218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</row>
    <row r="181" spans="1:58" s="143" customFormat="1">
      <c r="A181" s="210"/>
      <c r="B181" s="211"/>
      <c r="C181" s="140"/>
      <c r="D181" s="210"/>
      <c r="G181" s="212"/>
      <c r="H181" s="212"/>
      <c r="I181" s="213"/>
      <c r="J181" s="212"/>
      <c r="K181" s="214"/>
      <c r="L181" s="159"/>
      <c r="M181" s="215"/>
      <c r="N181" s="216"/>
      <c r="O181" s="217"/>
      <c r="P181" s="216"/>
      <c r="Q181" s="216"/>
      <c r="R181" s="216"/>
      <c r="S181" s="217"/>
      <c r="T181" s="216"/>
      <c r="U181" s="216"/>
      <c r="V181" s="216"/>
      <c r="W181" s="217"/>
      <c r="X181" s="216"/>
      <c r="Y181" s="216"/>
      <c r="Z181" s="216"/>
      <c r="AA181" s="217"/>
      <c r="AB181" s="216"/>
      <c r="AC181" s="216"/>
      <c r="AD181" s="216"/>
      <c r="AE181" s="217"/>
      <c r="AF181" s="216"/>
      <c r="AG181" s="216"/>
      <c r="AH181" s="216"/>
      <c r="AI181" s="217"/>
      <c r="AJ181" s="216"/>
      <c r="AK181" s="216"/>
      <c r="AL181" s="216"/>
      <c r="AM181" s="217"/>
      <c r="AN181" s="216"/>
      <c r="AO181" s="216"/>
      <c r="AP181" s="216"/>
      <c r="AQ181" s="217"/>
      <c r="AR181" s="216"/>
      <c r="AS181" s="216"/>
      <c r="AT181" s="218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</row>
    <row r="182" spans="1:58" s="143" customFormat="1">
      <c r="A182" s="210"/>
      <c r="B182" s="211"/>
      <c r="C182" s="140"/>
      <c r="D182" s="210"/>
      <c r="G182" s="212"/>
      <c r="H182" s="212"/>
      <c r="I182" s="213"/>
      <c r="J182" s="212"/>
      <c r="K182" s="214"/>
      <c r="L182" s="159"/>
      <c r="M182" s="215"/>
      <c r="N182" s="216"/>
      <c r="O182" s="217"/>
      <c r="P182" s="216"/>
      <c r="Q182" s="216"/>
      <c r="R182" s="216"/>
      <c r="S182" s="217"/>
      <c r="T182" s="216"/>
      <c r="U182" s="216"/>
      <c r="V182" s="216"/>
      <c r="W182" s="217"/>
      <c r="X182" s="216"/>
      <c r="Y182" s="216"/>
      <c r="Z182" s="216"/>
      <c r="AA182" s="217"/>
      <c r="AB182" s="216"/>
      <c r="AC182" s="216"/>
      <c r="AD182" s="216"/>
      <c r="AE182" s="217"/>
      <c r="AF182" s="216"/>
      <c r="AG182" s="216"/>
      <c r="AH182" s="216"/>
      <c r="AI182" s="217"/>
      <c r="AJ182" s="216"/>
      <c r="AK182" s="216"/>
      <c r="AL182" s="216"/>
      <c r="AM182" s="217"/>
      <c r="AN182" s="216"/>
      <c r="AO182" s="216"/>
      <c r="AP182" s="216"/>
      <c r="AQ182" s="217"/>
      <c r="AR182" s="216"/>
      <c r="AS182" s="216"/>
      <c r="AT182" s="218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</row>
    <row r="183" spans="1:58" s="143" customFormat="1">
      <c r="A183" s="210"/>
      <c r="B183" s="211"/>
      <c r="C183" s="140"/>
      <c r="D183" s="210"/>
      <c r="G183" s="212"/>
      <c r="H183" s="212"/>
      <c r="I183" s="213"/>
      <c r="J183" s="212"/>
      <c r="K183" s="214"/>
      <c r="L183" s="159"/>
      <c r="M183" s="215"/>
      <c r="N183" s="216"/>
      <c r="O183" s="217"/>
      <c r="P183" s="216"/>
      <c r="Q183" s="216"/>
      <c r="R183" s="216"/>
      <c r="S183" s="217"/>
      <c r="T183" s="216"/>
      <c r="U183" s="216"/>
      <c r="V183" s="216"/>
      <c r="W183" s="217"/>
      <c r="X183" s="216"/>
      <c r="Y183" s="216"/>
      <c r="Z183" s="216"/>
      <c r="AA183" s="217"/>
      <c r="AB183" s="216"/>
      <c r="AC183" s="216"/>
      <c r="AD183" s="216"/>
      <c r="AE183" s="217"/>
      <c r="AF183" s="216"/>
      <c r="AG183" s="216"/>
      <c r="AH183" s="216"/>
      <c r="AI183" s="217"/>
      <c r="AJ183" s="216"/>
      <c r="AK183" s="216"/>
      <c r="AL183" s="216"/>
      <c r="AM183" s="217"/>
      <c r="AN183" s="216"/>
      <c r="AO183" s="216"/>
      <c r="AP183" s="216"/>
      <c r="AQ183" s="217"/>
      <c r="AR183" s="216"/>
      <c r="AS183" s="216"/>
      <c r="AT183" s="218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</row>
    <row r="184" spans="1:58" s="143" customFormat="1">
      <c r="A184" s="210"/>
      <c r="B184" s="211"/>
      <c r="C184" s="140"/>
      <c r="D184" s="210"/>
      <c r="G184" s="212"/>
      <c r="H184" s="212"/>
      <c r="I184" s="213"/>
      <c r="J184" s="212"/>
      <c r="K184" s="214"/>
      <c r="L184" s="159"/>
      <c r="M184" s="215"/>
      <c r="N184" s="216"/>
      <c r="O184" s="217"/>
      <c r="P184" s="216"/>
      <c r="Q184" s="216"/>
      <c r="R184" s="216"/>
      <c r="S184" s="217"/>
      <c r="T184" s="216"/>
      <c r="U184" s="216"/>
      <c r="V184" s="216"/>
      <c r="W184" s="217"/>
      <c r="X184" s="216"/>
      <c r="Y184" s="216"/>
      <c r="Z184" s="216"/>
      <c r="AA184" s="217"/>
      <c r="AB184" s="216"/>
      <c r="AC184" s="216"/>
      <c r="AD184" s="216"/>
      <c r="AE184" s="217"/>
      <c r="AF184" s="216"/>
      <c r="AG184" s="216"/>
      <c r="AH184" s="216"/>
      <c r="AI184" s="217"/>
      <c r="AJ184" s="216"/>
      <c r="AK184" s="216"/>
      <c r="AL184" s="216"/>
      <c r="AM184" s="217"/>
      <c r="AN184" s="216"/>
      <c r="AO184" s="216"/>
      <c r="AP184" s="216"/>
      <c r="AQ184" s="217"/>
      <c r="AR184" s="216"/>
      <c r="AS184" s="216"/>
      <c r="AT184" s="218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</row>
    <row r="185" spans="1:58" s="143" customFormat="1">
      <c r="A185" s="210"/>
      <c r="B185" s="211"/>
      <c r="C185" s="140"/>
      <c r="D185" s="210"/>
      <c r="G185" s="212"/>
      <c r="H185" s="212"/>
      <c r="I185" s="213"/>
      <c r="J185" s="212"/>
      <c r="K185" s="214"/>
      <c r="L185" s="159"/>
      <c r="M185" s="215"/>
      <c r="N185" s="216"/>
      <c r="O185" s="217"/>
      <c r="P185" s="216"/>
      <c r="Q185" s="216"/>
      <c r="R185" s="216"/>
      <c r="S185" s="217"/>
      <c r="T185" s="216"/>
      <c r="U185" s="216"/>
      <c r="V185" s="216"/>
      <c r="W185" s="217"/>
      <c r="X185" s="216"/>
      <c r="Y185" s="216"/>
      <c r="Z185" s="216"/>
      <c r="AA185" s="217"/>
      <c r="AB185" s="216"/>
      <c r="AC185" s="216"/>
      <c r="AD185" s="216"/>
      <c r="AE185" s="217"/>
      <c r="AF185" s="216"/>
      <c r="AG185" s="216"/>
      <c r="AH185" s="216"/>
      <c r="AI185" s="217"/>
      <c r="AJ185" s="216"/>
      <c r="AK185" s="216"/>
      <c r="AL185" s="216"/>
      <c r="AM185" s="217"/>
      <c r="AN185" s="216"/>
      <c r="AO185" s="216"/>
      <c r="AP185" s="216"/>
      <c r="AQ185" s="217"/>
      <c r="AR185" s="216"/>
      <c r="AS185" s="216"/>
      <c r="AT185" s="218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</row>
    <row r="186" spans="1:58" s="143" customFormat="1">
      <c r="A186" s="210"/>
      <c r="B186" s="211"/>
      <c r="C186" s="140"/>
      <c r="D186" s="210"/>
      <c r="G186" s="212"/>
      <c r="H186" s="212"/>
      <c r="I186" s="213"/>
      <c r="J186" s="212"/>
      <c r="K186" s="214"/>
      <c r="L186" s="159"/>
      <c r="M186" s="215"/>
      <c r="N186" s="216"/>
      <c r="O186" s="217"/>
      <c r="P186" s="216"/>
      <c r="Q186" s="216"/>
      <c r="R186" s="216"/>
      <c r="S186" s="217"/>
      <c r="T186" s="216"/>
      <c r="U186" s="216"/>
      <c r="V186" s="216"/>
      <c r="W186" s="217"/>
      <c r="X186" s="216"/>
      <c r="Y186" s="216"/>
      <c r="Z186" s="216"/>
      <c r="AA186" s="217"/>
      <c r="AB186" s="216"/>
      <c r="AC186" s="216"/>
      <c r="AD186" s="216"/>
      <c r="AE186" s="217"/>
      <c r="AF186" s="216"/>
      <c r="AG186" s="216"/>
      <c r="AH186" s="216"/>
      <c r="AI186" s="217"/>
      <c r="AJ186" s="216"/>
      <c r="AK186" s="216"/>
      <c r="AL186" s="216"/>
      <c r="AM186" s="217"/>
      <c r="AN186" s="216"/>
      <c r="AO186" s="216"/>
      <c r="AP186" s="216"/>
      <c r="AQ186" s="217"/>
      <c r="AR186" s="216"/>
      <c r="AS186" s="216"/>
      <c r="AT186" s="218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</row>
    <row r="187" spans="1:58" s="143" customFormat="1">
      <c r="A187" s="210"/>
      <c r="B187" s="211"/>
      <c r="C187" s="140"/>
      <c r="D187" s="210"/>
      <c r="G187" s="212"/>
      <c r="H187" s="212"/>
      <c r="I187" s="213"/>
      <c r="J187" s="212"/>
      <c r="K187" s="214"/>
      <c r="L187" s="159"/>
      <c r="M187" s="215"/>
      <c r="N187" s="216"/>
      <c r="O187" s="217"/>
      <c r="P187" s="216"/>
      <c r="Q187" s="216"/>
      <c r="R187" s="216"/>
      <c r="S187" s="217"/>
      <c r="T187" s="216"/>
      <c r="U187" s="216"/>
      <c r="V187" s="216"/>
      <c r="W187" s="217"/>
      <c r="X187" s="216"/>
      <c r="Y187" s="216"/>
      <c r="Z187" s="216"/>
      <c r="AA187" s="217"/>
      <c r="AB187" s="216"/>
      <c r="AC187" s="216"/>
      <c r="AD187" s="216"/>
      <c r="AE187" s="217"/>
      <c r="AF187" s="216"/>
      <c r="AG187" s="216"/>
      <c r="AH187" s="216"/>
      <c r="AI187" s="217"/>
      <c r="AJ187" s="216"/>
      <c r="AK187" s="216"/>
      <c r="AL187" s="216"/>
      <c r="AM187" s="217"/>
      <c r="AN187" s="216"/>
      <c r="AO187" s="216"/>
      <c r="AP187" s="216"/>
      <c r="AQ187" s="217"/>
      <c r="AR187" s="216"/>
      <c r="AS187" s="216"/>
      <c r="AT187" s="218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</row>
    <row r="188" spans="1:58" s="143" customFormat="1">
      <c r="A188" s="210"/>
      <c r="B188" s="211"/>
      <c r="C188" s="140"/>
      <c r="D188" s="210"/>
      <c r="G188" s="212"/>
      <c r="H188" s="212"/>
      <c r="I188" s="213"/>
      <c r="J188" s="212"/>
      <c r="K188" s="214"/>
      <c r="L188" s="159"/>
      <c r="M188" s="215"/>
      <c r="N188" s="216"/>
      <c r="O188" s="217"/>
      <c r="P188" s="216"/>
      <c r="Q188" s="216"/>
      <c r="R188" s="216"/>
      <c r="S188" s="217"/>
      <c r="T188" s="216"/>
      <c r="U188" s="216"/>
      <c r="V188" s="216"/>
      <c r="W188" s="217"/>
      <c r="X188" s="216"/>
      <c r="Y188" s="216"/>
      <c r="Z188" s="216"/>
      <c r="AA188" s="217"/>
      <c r="AB188" s="216"/>
      <c r="AC188" s="216"/>
      <c r="AD188" s="216"/>
      <c r="AE188" s="217"/>
      <c r="AF188" s="216"/>
      <c r="AG188" s="216"/>
      <c r="AH188" s="216"/>
      <c r="AI188" s="217"/>
      <c r="AJ188" s="216"/>
      <c r="AK188" s="216"/>
      <c r="AL188" s="216"/>
      <c r="AM188" s="217"/>
      <c r="AN188" s="216"/>
      <c r="AO188" s="216"/>
      <c r="AP188" s="216"/>
      <c r="AQ188" s="217"/>
      <c r="AR188" s="216"/>
      <c r="AS188" s="216"/>
      <c r="AT188" s="218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</row>
    <row r="189" spans="1:58" s="143" customFormat="1">
      <c r="A189" s="210"/>
      <c r="B189" s="211"/>
      <c r="C189" s="140"/>
      <c r="D189" s="210"/>
      <c r="G189" s="212"/>
      <c r="H189" s="212"/>
      <c r="I189" s="213"/>
      <c r="J189" s="212"/>
      <c r="K189" s="214"/>
      <c r="L189" s="159"/>
      <c r="M189" s="215"/>
      <c r="N189" s="216"/>
      <c r="O189" s="217"/>
      <c r="P189" s="216"/>
      <c r="Q189" s="216"/>
      <c r="R189" s="216"/>
      <c r="S189" s="217"/>
      <c r="T189" s="216"/>
      <c r="U189" s="216"/>
      <c r="V189" s="216"/>
      <c r="W189" s="217"/>
      <c r="X189" s="216"/>
      <c r="Y189" s="216"/>
      <c r="Z189" s="216"/>
      <c r="AA189" s="217"/>
      <c r="AB189" s="216"/>
      <c r="AC189" s="216"/>
      <c r="AD189" s="216"/>
      <c r="AE189" s="217"/>
      <c r="AF189" s="216"/>
      <c r="AG189" s="216"/>
      <c r="AH189" s="216"/>
      <c r="AI189" s="217"/>
      <c r="AJ189" s="216"/>
      <c r="AK189" s="216"/>
      <c r="AL189" s="216"/>
      <c r="AM189" s="217"/>
      <c r="AN189" s="216"/>
      <c r="AO189" s="216"/>
      <c r="AP189" s="216"/>
      <c r="AQ189" s="217"/>
      <c r="AR189" s="216"/>
      <c r="AS189" s="216"/>
      <c r="AT189" s="218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</row>
    <row r="190" spans="1:58" s="143" customFormat="1">
      <c r="A190" s="210"/>
      <c r="B190" s="211"/>
      <c r="C190" s="140"/>
      <c r="D190" s="210"/>
      <c r="G190" s="212"/>
      <c r="H190" s="212"/>
      <c r="I190" s="213"/>
      <c r="J190" s="212"/>
      <c r="K190" s="214"/>
      <c r="L190" s="159"/>
      <c r="M190" s="215"/>
      <c r="N190" s="216"/>
      <c r="O190" s="217"/>
      <c r="P190" s="216"/>
      <c r="Q190" s="216"/>
      <c r="R190" s="216"/>
      <c r="S190" s="217"/>
      <c r="T190" s="216"/>
      <c r="U190" s="216"/>
      <c r="V190" s="216"/>
      <c r="W190" s="217"/>
      <c r="X190" s="216"/>
      <c r="Y190" s="216"/>
      <c r="Z190" s="216"/>
      <c r="AA190" s="217"/>
      <c r="AB190" s="216"/>
      <c r="AC190" s="216"/>
      <c r="AD190" s="216"/>
      <c r="AE190" s="217"/>
      <c r="AF190" s="216"/>
      <c r="AG190" s="216"/>
      <c r="AH190" s="216"/>
      <c r="AI190" s="217"/>
      <c r="AJ190" s="216"/>
      <c r="AK190" s="216"/>
      <c r="AL190" s="216"/>
      <c r="AM190" s="217"/>
      <c r="AN190" s="216"/>
      <c r="AO190" s="216"/>
      <c r="AP190" s="216"/>
      <c r="AQ190" s="217"/>
      <c r="AR190" s="216"/>
      <c r="AS190" s="216"/>
      <c r="AT190" s="218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</row>
    <row r="191" spans="1:58" s="143" customFormat="1">
      <c r="A191" s="210"/>
      <c r="B191" s="211"/>
      <c r="C191" s="140"/>
      <c r="D191" s="210"/>
      <c r="G191" s="212"/>
      <c r="H191" s="212"/>
      <c r="I191" s="213"/>
      <c r="J191" s="212"/>
      <c r="K191" s="214"/>
      <c r="L191" s="159"/>
      <c r="M191" s="215"/>
      <c r="N191" s="216"/>
      <c r="O191" s="217"/>
      <c r="P191" s="216"/>
      <c r="Q191" s="216"/>
      <c r="R191" s="216"/>
      <c r="S191" s="217"/>
      <c r="T191" s="216"/>
      <c r="U191" s="216"/>
      <c r="V191" s="216"/>
      <c r="W191" s="217"/>
      <c r="X191" s="216"/>
      <c r="Y191" s="216"/>
      <c r="Z191" s="216"/>
      <c r="AA191" s="217"/>
      <c r="AB191" s="216"/>
      <c r="AC191" s="216"/>
      <c r="AD191" s="216"/>
      <c r="AE191" s="217"/>
      <c r="AF191" s="216"/>
      <c r="AG191" s="216"/>
      <c r="AH191" s="216"/>
      <c r="AI191" s="217"/>
      <c r="AJ191" s="216"/>
      <c r="AK191" s="216"/>
      <c r="AL191" s="216"/>
      <c r="AM191" s="217"/>
      <c r="AN191" s="216"/>
      <c r="AO191" s="216"/>
      <c r="AP191" s="216"/>
      <c r="AQ191" s="217"/>
      <c r="AR191" s="216"/>
      <c r="AS191" s="216"/>
      <c r="AT191" s="218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</row>
    <row r="192" spans="1:58" s="143" customFormat="1">
      <c r="A192" s="210"/>
      <c r="B192" s="211"/>
      <c r="C192" s="140"/>
      <c r="D192" s="210"/>
      <c r="G192" s="212"/>
      <c r="H192" s="212"/>
      <c r="I192" s="213"/>
      <c r="J192" s="212"/>
      <c r="K192" s="214"/>
      <c r="L192" s="159"/>
      <c r="M192" s="215"/>
      <c r="N192" s="216"/>
      <c r="O192" s="217"/>
      <c r="P192" s="216"/>
      <c r="Q192" s="216"/>
      <c r="R192" s="216"/>
      <c r="S192" s="217"/>
      <c r="T192" s="216"/>
      <c r="U192" s="216"/>
      <c r="V192" s="216"/>
      <c r="W192" s="217"/>
      <c r="X192" s="216"/>
      <c r="Y192" s="216"/>
      <c r="Z192" s="216"/>
      <c r="AA192" s="217"/>
      <c r="AB192" s="216"/>
      <c r="AC192" s="216"/>
      <c r="AD192" s="216"/>
      <c r="AE192" s="217"/>
      <c r="AF192" s="216"/>
      <c r="AG192" s="216"/>
      <c r="AH192" s="216"/>
      <c r="AI192" s="217"/>
      <c r="AJ192" s="216"/>
      <c r="AK192" s="216"/>
      <c r="AL192" s="216"/>
      <c r="AM192" s="217"/>
      <c r="AN192" s="216"/>
      <c r="AO192" s="216"/>
      <c r="AP192" s="216"/>
      <c r="AQ192" s="217"/>
      <c r="AR192" s="216"/>
      <c r="AS192" s="216"/>
      <c r="AT192" s="218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</row>
    <row r="193" spans="1:58" s="143" customFormat="1">
      <c r="A193" s="210"/>
      <c r="B193" s="211"/>
      <c r="C193" s="140"/>
      <c r="D193" s="210"/>
      <c r="G193" s="212"/>
      <c r="H193" s="212"/>
      <c r="I193" s="213"/>
      <c r="J193" s="212"/>
      <c r="K193" s="214"/>
      <c r="L193" s="159"/>
      <c r="M193" s="215"/>
      <c r="N193" s="216"/>
      <c r="O193" s="217"/>
      <c r="P193" s="216"/>
      <c r="Q193" s="216"/>
      <c r="R193" s="216"/>
      <c r="S193" s="217"/>
      <c r="T193" s="216"/>
      <c r="U193" s="216"/>
      <c r="V193" s="216"/>
      <c r="W193" s="217"/>
      <c r="X193" s="216"/>
      <c r="Y193" s="216"/>
      <c r="Z193" s="216"/>
      <c r="AA193" s="217"/>
      <c r="AB193" s="216"/>
      <c r="AC193" s="216"/>
      <c r="AD193" s="216"/>
      <c r="AE193" s="217"/>
      <c r="AF193" s="216"/>
      <c r="AG193" s="216"/>
      <c r="AH193" s="216"/>
      <c r="AI193" s="217"/>
      <c r="AJ193" s="216"/>
      <c r="AK193" s="216"/>
      <c r="AL193" s="216"/>
      <c r="AM193" s="217"/>
      <c r="AN193" s="216"/>
      <c r="AO193" s="216"/>
      <c r="AP193" s="216"/>
      <c r="AQ193" s="217"/>
      <c r="AR193" s="216"/>
      <c r="AS193" s="216"/>
      <c r="AT193" s="218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</row>
    <row r="194" spans="1:58" s="143" customFormat="1">
      <c r="A194" s="210"/>
      <c r="B194" s="211"/>
      <c r="C194" s="140"/>
      <c r="D194" s="210"/>
      <c r="G194" s="212"/>
      <c r="H194" s="212"/>
      <c r="I194" s="213"/>
      <c r="J194" s="212"/>
      <c r="K194" s="214"/>
      <c r="L194" s="159"/>
      <c r="M194" s="215"/>
      <c r="N194" s="216"/>
      <c r="O194" s="217"/>
      <c r="P194" s="216"/>
      <c r="Q194" s="216"/>
      <c r="R194" s="216"/>
      <c r="S194" s="217"/>
      <c r="T194" s="216"/>
      <c r="U194" s="216"/>
      <c r="V194" s="216"/>
      <c r="W194" s="217"/>
      <c r="X194" s="216"/>
      <c r="Y194" s="216"/>
      <c r="Z194" s="216"/>
      <c r="AA194" s="217"/>
      <c r="AB194" s="216"/>
      <c r="AC194" s="216"/>
      <c r="AD194" s="216"/>
      <c r="AE194" s="217"/>
      <c r="AF194" s="216"/>
      <c r="AG194" s="216"/>
      <c r="AH194" s="216"/>
      <c r="AI194" s="217"/>
      <c r="AJ194" s="216"/>
      <c r="AK194" s="216"/>
      <c r="AL194" s="216"/>
      <c r="AM194" s="217"/>
      <c r="AN194" s="216"/>
      <c r="AO194" s="216"/>
      <c r="AP194" s="216"/>
      <c r="AQ194" s="217"/>
      <c r="AR194" s="216"/>
      <c r="AS194" s="216"/>
      <c r="AT194" s="218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</row>
    <row r="195" spans="1:58" s="143" customFormat="1">
      <c r="A195" s="210"/>
      <c r="B195" s="211"/>
      <c r="C195" s="140"/>
      <c r="D195" s="210"/>
      <c r="G195" s="212"/>
      <c r="H195" s="212"/>
      <c r="I195" s="213"/>
      <c r="J195" s="212"/>
      <c r="K195" s="214"/>
      <c r="L195" s="159"/>
      <c r="M195" s="215"/>
      <c r="N195" s="216"/>
      <c r="O195" s="217"/>
      <c r="P195" s="216"/>
      <c r="Q195" s="216"/>
      <c r="R195" s="216"/>
      <c r="S195" s="217"/>
      <c r="T195" s="216"/>
      <c r="U195" s="216"/>
      <c r="V195" s="216"/>
      <c r="W195" s="217"/>
      <c r="X195" s="216"/>
      <c r="Y195" s="216"/>
      <c r="Z195" s="216"/>
      <c r="AA195" s="217"/>
      <c r="AB195" s="216"/>
      <c r="AC195" s="216"/>
      <c r="AD195" s="216"/>
      <c r="AE195" s="217"/>
      <c r="AF195" s="216"/>
      <c r="AG195" s="216"/>
      <c r="AH195" s="216"/>
      <c r="AI195" s="217"/>
      <c r="AJ195" s="216"/>
      <c r="AK195" s="216"/>
      <c r="AL195" s="216"/>
      <c r="AM195" s="217"/>
      <c r="AN195" s="216"/>
      <c r="AO195" s="216"/>
      <c r="AP195" s="216"/>
      <c r="AQ195" s="217"/>
      <c r="AR195" s="216"/>
      <c r="AS195" s="216"/>
      <c r="AT195" s="218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</row>
    <row r="196" spans="1:58" s="143" customFormat="1">
      <c r="A196" s="210"/>
      <c r="B196" s="211"/>
      <c r="C196" s="140"/>
      <c r="D196" s="210"/>
      <c r="G196" s="212"/>
      <c r="H196" s="212"/>
      <c r="I196" s="213"/>
      <c r="J196" s="212"/>
      <c r="K196" s="214"/>
      <c r="L196" s="159"/>
      <c r="M196" s="215"/>
      <c r="N196" s="216"/>
      <c r="O196" s="217"/>
      <c r="P196" s="216"/>
      <c r="Q196" s="216"/>
      <c r="R196" s="216"/>
      <c r="S196" s="217"/>
      <c r="T196" s="216"/>
      <c r="U196" s="216"/>
      <c r="V196" s="216"/>
      <c r="W196" s="217"/>
      <c r="X196" s="216"/>
      <c r="Y196" s="216"/>
      <c r="Z196" s="216"/>
      <c r="AA196" s="217"/>
      <c r="AB196" s="216"/>
      <c r="AC196" s="216"/>
      <c r="AD196" s="216"/>
      <c r="AE196" s="217"/>
      <c r="AF196" s="216"/>
      <c r="AG196" s="216"/>
      <c r="AH196" s="216"/>
      <c r="AI196" s="217"/>
      <c r="AJ196" s="216"/>
      <c r="AK196" s="216"/>
      <c r="AL196" s="216"/>
      <c r="AM196" s="217"/>
      <c r="AN196" s="216"/>
      <c r="AO196" s="216"/>
      <c r="AP196" s="216"/>
      <c r="AQ196" s="217"/>
      <c r="AR196" s="216"/>
      <c r="AS196" s="216"/>
      <c r="AT196" s="218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</row>
    <row r="197" spans="1:58" s="143" customFormat="1">
      <c r="A197" s="210"/>
      <c r="B197" s="211"/>
      <c r="C197" s="140"/>
      <c r="D197" s="210"/>
      <c r="G197" s="212"/>
      <c r="H197" s="212"/>
      <c r="I197" s="213"/>
      <c r="J197" s="212"/>
      <c r="K197" s="214"/>
      <c r="L197" s="159"/>
      <c r="M197" s="215"/>
      <c r="N197" s="216"/>
      <c r="O197" s="217"/>
      <c r="P197" s="216"/>
      <c r="Q197" s="216"/>
      <c r="R197" s="216"/>
      <c r="S197" s="217"/>
      <c r="T197" s="216"/>
      <c r="U197" s="216"/>
      <c r="V197" s="216"/>
      <c r="W197" s="217"/>
      <c r="X197" s="216"/>
      <c r="Y197" s="216"/>
      <c r="Z197" s="216"/>
      <c r="AA197" s="217"/>
      <c r="AB197" s="216"/>
      <c r="AC197" s="216"/>
      <c r="AD197" s="216"/>
      <c r="AE197" s="217"/>
      <c r="AF197" s="216"/>
      <c r="AG197" s="216"/>
      <c r="AH197" s="216"/>
      <c r="AI197" s="217"/>
      <c r="AJ197" s="216"/>
      <c r="AK197" s="216"/>
      <c r="AL197" s="216"/>
      <c r="AM197" s="217"/>
      <c r="AN197" s="216"/>
      <c r="AO197" s="216"/>
      <c r="AP197" s="216"/>
      <c r="AQ197" s="217"/>
      <c r="AR197" s="216"/>
      <c r="AS197" s="216"/>
      <c r="AT197" s="218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</row>
    <row r="198" spans="1:58" s="143" customFormat="1">
      <c r="A198" s="210"/>
      <c r="B198" s="211"/>
      <c r="C198" s="140"/>
      <c r="D198" s="210"/>
      <c r="G198" s="212"/>
      <c r="H198" s="212"/>
      <c r="I198" s="213"/>
      <c r="J198" s="212"/>
      <c r="K198" s="214"/>
      <c r="L198" s="159"/>
      <c r="M198" s="215"/>
      <c r="N198" s="216"/>
      <c r="O198" s="217"/>
      <c r="P198" s="216"/>
      <c r="Q198" s="216"/>
      <c r="R198" s="216"/>
      <c r="S198" s="217"/>
      <c r="T198" s="216"/>
      <c r="U198" s="216"/>
      <c r="V198" s="216"/>
      <c r="W198" s="217"/>
      <c r="X198" s="216"/>
      <c r="Y198" s="216"/>
      <c r="Z198" s="216"/>
      <c r="AA198" s="217"/>
      <c r="AB198" s="216"/>
      <c r="AC198" s="216"/>
      <c r="AD198" s="216"/>
      <c r="AE198" s="217"/>
      <c r="AF198" s="216"/>
      <c r="AG198" s="216"/>
      <c r="AH198" s="216"/>
      <c r="AI198" s="217"/>
      <c r="AJ198" s="216"/>
      <c r="AK198" s="216"/>
      <c r="AL198" s="216"/>
      <c r="AM198" s="217"/>
      <c r="AN198" s="216"/>
      <c r="AO198" s="216"/>
      <c r="AP198" s="216"/>
      <c r="AQ198" s="217"/>
      <c r="AR198" s="216"/>
      <c r="AS198" s="216"/>
      <c r="AT198" s="218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</row>
    <row r="199" spans="1:58" s="143" customFormat="1">
      <c r="A199" s="210"/>
      <c r="B199" s="211"/>
      <c r="C199" s="140"/>
      <c r="D199" s="210"/>
      <c r="G199" s="212"/>
      <c r="H199" s="212"/>
      <c r="I199" s="213"/>
      <c r="J199" s="212"/>
      <c r="K199" s="214"/>
      <c r="L199" s="159"/>
      <c r="M199" s="215"/>
      <c r="N199" s="216"/>
      <c r="O199" s="217"/>
      <c r="P199" s="216"/>
      <c r="Q199" s="216"/>
      <c r="R199" s="216"/>
      <c r="S199" s="217"/>
      <c r="T199" s="216"/>
      <c r="U199" s="216"/>
      <c r="V199" s="216"/>
      <c r="W199" s="217"/>
      <c r="X199" s="216"/>
      <c r="Y199" s="216"/>
      <c r="Z199" s="216"/>
      <c r="AA199" s="217"/>
      <c r="AB199" s="216"/>
      <c r="AC199" s="216"/>
      <c r="AD199" s="216"/>
      <c r="AE199" s="217"/>
      <c r="AF199" s="216"/>
      <c r="AG199" s="216"/>
      <c r="AH199" s="216"/>
      <c r="AI199" s="217"/>
      <c r="AJ199" s="216"/>
      <c r="AK199" s="216"/>
      <c r="AL199" s="216"/>
      <c r="AM199" s="217"/>
      <c r="AN199" s="216"/>
      <c r="AO199" s="216"/>
      <c r="AP199" s="216"/>
      <c r="AQ199" s="217"/>
      <c r="AR199" s="216"/>
      <c r="AS199" s="216"/>
      <c r="AT199" s="218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</row>
    <row r="200" spans="1:58" s="143" customFormat="1">
      <c r="A200" s="210"/>
      <c r="B200" s="211"/>
      <c r="C200" s="140"/>
      <c r="D200" s="210"/>
      <c r="G200" s="212"/>
      <c r="H200" s="212"/>
      <c r="I200" s="213"/>
      <c r="J200" s="212"/>
      <c r="K200" s="214"/>
      <c r="L200" s="159"/>
      <c r="M200" s="215"/>
      <c r="N200" s="216"/>
      <c r="O200" s="217"/>
      <c r="P200" s="216"/>
      <c r="Q200" s="216"/>
      <c r="R200" s="216"/>
      <c r="S200" s="217"/>
      <c r="T200" s="216"/>
      <c r="U200" s="216"/>
      <c r="V200" s="216"/>
      <c r="W200" s="217"/>
      <c r="X200" s="216"/>
      <c r="Y200" s="216"/>
      <c r="Z200" s="216"/>
      <c r="AA200" s="217"/>
      <c r="AB200" s="216"/>
      <c r="AC200" s="216"/>
      <c r="AD200" s="216"/>
      <c r="AE200" s="217"/>
      <c r="AF200" s="216"/>
      <c r="AG200" s="216"/>
      <c r="AH200" s="216"/>
      <c r="AI200" s="217"/>
      <c r="AJ200" s="216"/>
      <c r="AK200" s="216"/>
      <c r="AL200" s="216"/>
      <c r="AM200" s="217"/>
      <c r="AN200" s="216"/>
      <c r="AO200" s="216"/>
      <c r="AP200" s="216"/>
      <c r="AQ200" s="217"/>
      <c r="AR200" s="216"/>
      <c r="AS200" s="216"/>
      <c r="AT200" s="218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</row>
    <row r="201" spans="1:58" s="143" customFormat="1">
      <c r="A201" s="210"/>
      <c r="B201" s="211"/>
      <c r="C201" s="140"/>
      <c r="D201" s="210"/>
      <c r="G201" s="212"/>
      <c r="H201" s="212"/>
      <c r="I201" s="213"/>
      <c r="J201" s="212"/>
      <c r="K201" s="214"/>
      <c r="L201" s="159"/>
      <c r="M201" s="215"/>
      <c r="N201" s="216"/>
      <c r="O201" s="217"/>
      <c r="P201" s="216"/>
      <c r="Q201" s="216"/>
      <c r="R201" s="216"/>
      <c r="S201" s="217"/>
      <c r="T201" s="216"/>
      <c r="U201" s="216"/>
      <c r="V201" s="216"/>
      <c r="W201" s="217"/>
      <c r="X201" s="216"/>
      <c r="Y201" s="216"/>
      <c r="Z201" s="216"/>
      <c r="AA201" s="217"/>
      <c r="AB201" s="216"/>
      <c r="AC201" s="216"/>
      <c r="AD201" s="216"/>
      <c r="AE201" s="217"/>
      <c r="AF201" s="216"/>
      <c r="AG201" s="216"/>
      <c r="AH201" s="216"/>
      <c r="AI201" s="217"/>
      <c r="AJ201" s="216"/>
      <c r="AK201" s="216"/>
      <c r="AL201" s="216"/>
      <c r="AM201" s="217"/>
      <c r="AN201" s="216"/>
      <c r="AO201" s="216"/>
      <c r="AP201" s="216"/>
      <c r="AQ201" s="217"/>
      <c r="AR201" s="216"/>
      <c r="AS201" s="216"/>
      <c r="AT201" s="218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</row>
    <row r="202" spans="1:58" s="143" customFormat="1">
      <c r="A202" s="210"/>
      <c r="B202" s="211"/>
      <c r="C202" s="140"/>
      <c r="D202" s="210"/>
      <c r="G202" s="212"/>
      <c r="H202" s="212"/>
      <c r="I202" s="213"/>
      <c r="J202" s="212"/>
      <c r="K202" s="214"/>
      <c r="L202" s="159"/>
      <c r="M202" s="215"/>
      <c r="N202" s="216"/>
      <c r="O202" s="217"/>
      <c r="P202" s="216"/>
      <c r="Q202" s="216"/>
      <c r="R202" s="216"/>
      <c r="S202" s="217"/>
      <c r="T202" s="216"/>
      <c r="U202" s="216"/>
      <c r="V202" s="216"/>
      <c r="W202" s="217"/>
      <c r="X202" s="216"/>
      <c r="Y202" s="216"/>
      <c r="Z202" s="216"/>
      <c r="AA202" s="217"/>
      <c r="AB202" s="216"/>
      <c r="AC202" s="216"/>
      <c r="AD202" s="216"/>
      <c r="AE202" s="217"/>
      <c r="AF202" s="216"/>
      <c r="AG202" s="216"/>
      <c r="AH202" s="216"/>
      <c r="AI202" s="217"/>
      <c r="AJ202" s="216"/>
      <c r="AK202" s="216"/>
      <c r="AL202" s="216"/>
      <c r="AM202" s="217"/>
      <c r="AN202" s="216"/>
      <c r="AO202" s="216"/>
      <c r="AP202" s="216"/>
      <c r="AQ202" s="217"/>
      <c r="AR202" s="216"/>
      <c r="AS202" s="216"/>
      <c r="AT202" s="218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</row>
    <row r="203" spans="1:58" s="143" customFormat="1">
      <c r="A203" s="210"/>
      <c r="B203" s="211"/>
      <c r="C203" s="140"/>
      <c r="D203" s="210"/>
      <c r="G203" s="212"/>
      <c r="H203" s="212"/>
      <c r="I203" s="213"/>
      <c r="J203" s="212"/>
      <c r="K203" s="214"/>
      <c r="L203" s="159"/>
      <c r="M203" s="215"/>
      <c r="N203" s="216"/>
      <c r="O203" s="217"/>
      <c r="P203" s="216"/>
      <c r="Q203" s="216"/>
      <c r="R203" s="216"/>
      <c r="S203" s="217"/>
      <c r="T203" s="216"/>
      <c r="U203" s="216"/>
      <c r="V203" s="216"/>
      <c r="W203" s="217"/>
      <c r="X203" s="216"/>
      <c r="Y203" s="216"/>
      <c r="Z203" s="216"/>
      <c r="AA203" s="217"/>
      <c r="AB203" s="216"/>
      <c r="AC203" s="216"/>
      <c r="AD203" s="216"/>
      <c r="AE203" s="217"/>
      <c r="AF203" s="216"/>
      <c r="AG203" s="216"/>
      <c r="AH203" s="216"/>
      <c r="AI203" s="217"/>
      <c r="AJ203" s="216"/>
      <c r="AK203" s="216"/>
      <c r="AL203" s="216"/>
      <c r="AM203" s="217"/>
      <c r="AN203" s="216"/>
      <c r="AO203" s="216"/>
      <c r="AP203" s="216"/>
      <c r="AQ203" s="217"/>
      <c r="AR203" s="216"/>
      <c r="AS203" s="216"/>
      <c r="AT203" s="218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</row>
    <row r="204" spans="1:58" s="143" customFormat="1">
      <c r="A204" s="210"/>
      <c r="B204" s="211"/>
      <c r="C204" s="140"/>
      <c r="D204" s="210"/>
      <c r="G204" s="212"/>
      <c r="H204" s="212"/>
      <c r="I204" s="213"/>
      <c r="J204" s="212"/>
      <c r="K204" s="214"/>
      <c r="L204" s="159"/>
      <c r="M204" s="215"/>
      <c r="N204" s="216"/>
      <c r="O204" s="217"/>
      <c r="P204" s="216"/>
      <c r="Q204" s="216"/>
      <c r="R204" s="216"/>
      <c r="S204" s="217"/>
      <c r="T204" s="216"/>
      <c r="U204" s="216"/>
      <c r="V204" s="216"/>
      <c r="W204" s="217"/>
      <c r="X204" s="216"/>
      <c r="Y204" s="216"/>
      <c r="Z204" s="216"/>
      <c r="AA204" s="217"/>
      <c r="AB204" s="216"/>
      <c r="AC204" s="216"/>
      <c r="AD204" s="216"/>
      <c r="AE204" s="217"/>
      <c r="AF204" s="216"/>
      <c r="AG204" s="216"/>
      <c r="AH204" s="216"/>
      <c r="AI204" s="217"/>
      <c r="AJ204" s="216"/>
      <c r="AK204" s="216"/>
      <c r="AL204" s="216"/>
      <c r="AM204" s="217"/>
      <c r="AN204" s="216"/>
      <c r="AO204" s="216"/>
      <c r="AP204" s="216"/>
      <c r="AQ204" s="217"/>
      <c r="AR204" s="216"/>
      <c r="AS204" s="216"/>
      <c r="AT204" s="218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</row>
    <row r="205" spans="1:58" s="143" customFormat="1">
      <c r="A205" s="210"/>
      <c r="B205" s="211"/>
      <c r="C205" s="140"/>
      <c r="D205" s="210"/>
      <c r="G205" s="212"/>
      <c r="H205" s="212"/>
      <c r="I205" s="213"/>
      <c r="J205" s="212"/>
      <c r="K205" s="214"/>
      <c r="L205" s="159"/>
      <c r="M205" s="215"/>
      <c r="N205" s="216"/>
      <c r="O205" s="217"/>
      <c r="P205" s="216"/>
      <c r="Q205" s="216"/>
      <c r="R205" s="216"/>
      <c r="S205" s="217"/>
      <c r="T205" s="216"/>
      <c r="U205" s="216"/>
      <c r="V205" s="216"/>
      <c r="W205" s="217"/>
      <c r="X205" s="216"/>
      <c r="Y205" s="216"/>
      <c r="Z205" s="216"/>
      <c r="AA205" s="217"/>
      <c r="AB205" s="216"/>
      <c r="AC205" s="216"/>
      <c r="AD205" s="216"/>
      <c r="AE205" s="217"/>
      <c r="AF205" s="216"/>
      <c r="AG205" s="216"/>
      <c r="AH205" s="216"/>
      <c r="AI205" s="217"/>
      <c r="AJ205" s="216"/>
      <c r="AK205" s="216"/>
      <c r="AL205" s="216"/>
      <c r="AM205" s="217"/>
      <c r="AN205" s="216"/>
      <c r="AO205" s="216"/>
      <c r="AP205" s="216"/>
      <c r="AQ205" s="217"/>
      <c r="AR205" s="216"/>
      <c r="AS205" s="216"/>
      <c r="AT205" s="218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</row>
    <row r="206" spans="1:58" s="143" customFormat="1">
      <c r="A206" s="210"/>
      <c r="B206" s="211"/>
      <c r="C206" s="140"/>
      <c r="D206" s="210"/>
      <c r="G206" s="212"/>
      <c r="H206" s="212"/>
      <c r="I206" s="213"/>
      <c r="J206" s="212"/>
      <c r="K206" s="214"/>
      <c r="L206" s="159"/>
      <c r="M206" s="215"/>
      <c r="N206" s="216"/>
      <c r="O206" s="217"/>
      <c r="P206" s="216"/>
      <c r="Q206" s="216"/>
      <c r="R206" s="216"/>
      <c r="S206" s="217"/>
      <c r="T206" s="216"/>
      <c r="U206" s="216"/>
      <c r="V206" s="216"/>
      <c r="W206" s="217"/>
      <c r="X206" s="216"/>
      <c r="Y206" s="216"/>
      <c r="Z206" s="216"/>
      <c r="AA206" s="217"/>
      <c r="AB206" s="216"/>
      <c r="AC206" s="216"/>
      <c r="AD206" s="216"/>
      <c r="AE206" s="217"/>
      <c r="AF206" s="216"/>
      <c r="AG206" s="216"/>
      <c r="AH206" s="216"/>
      <c r="AI206" s="217"/>
      <c r="AJ206" s="216"/>
      <c r="AK206" s="216"/>
      <c r="AL206" s="216"/>
      <c r="AM206" s="217"/>
      <c r="AN206" s="216"/>
      <c r="AO206" s="216"/>
      <c r="AP206" s="216"/>
      <c r="AQ206" s="217"/>
      <c r="AR206" s="216"/>
      <c r="AS206" s="216"/>
      <c r="AT206" s="218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</row>
    <row r="207" spans="1:58" s="143" customFormat="1">
      <c r="A207" s="210"/>
      <c r="B207" s="211"/>
      <c r="C207" s="140"/>
      <c r="D207" s="210"/>
      <c r="G207" s="212"/>
      <c r="H207" s="212"/>
      <c r="I207" s="213"/>
      <c r="J207" s="212"/>
      <c r="K207" s="214"/>
      <c r="L207" s="159"/>
      <c r="M207" s="215"/>
      <c r="N207" s="216"/>
      <c r="O207" s="217"/>
      <c r="P207" s="216"/>
      <c r="Q207" s="216"/>
      <c r="R207" s="216"/>
      <c r="S207" s="217"/>
      <c r="T207" s="216"/>
      <c r="U207" s="216"/>
      <c r="V207" s="216"/>
      <c r="W207" s="217"/>
      <c r="X207" s="216"/>
      <c r="Y207" s="216"/>
      <c r="Z207" s="216"/>
      <c r="AA207" s="217"/>
      <c r="AB207" s="216"/>
      <c r="AC207" s="216"/>
      <c r="AD207" s="216"/>
      <c r="AE207" s="217"/>
      <c r="AF207" s="216"/>
      <c r="AG207" s="216"/>
      <c r="AH207" s="216"/>
      <c r="AI207" s="217"/>
      <c r="AJ207" s="216"/>
      <c r="AK207" s="216"/>
      <c r="AL207" s="216"/>
      <c r="AM207" s="217"/>
      <c r="AN207" s="216"/>
      <c r="AO207" s="216"/>
      <c r="AP207" s="216"/>
      <c r="AQ207" s="217"/>
      <c r="AR207" s="216"/>
      <c r="AS207" s="216"/>
      <c r="AT207" s="218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</row>
    <row r="208" spans="1:58" s="143" customFormat="1">
      <c r="A208" s="210"/>
      <c r="B208" s="211"/>
      <c r="C208" s="140"/>
      <c r="D208" s="210"/>
      <c r="G208" s="212"/>
      <c r="H208" s="212"/>
      <c r="I208" s="213"/>
      <c r="J208" s="212"/>
      <c r="K208" s="214"/>
      <c r="L208" s="159"/>
      <c r="M208" s="215"/>
      <c r="N208" s="216"/>
      <c r="O208" s="217"/>
      <c r="P208" s="216"/>
      <c r="Q208" s="216"/>
      <c r="R208" s="216"/>
      <c r="S208" s="217"/>
      <c r="T208" s="216"/>
      <c r="U208" s="216"/>
      <c r="V208" s="216"/>
      <c r="W208" s="217"/>
      <c r="X208" s="216"/>
      <c r="Y208" s="216"/>
      <c r="Z208" s="216"/>
      <c r="AA208" s="217"/>
      <c r="AB208" s="216"/>
      <c r="AC208" s="216"/>
      <c r="AD208" s="216"/>
      <c r="AE208" s="217"/>
      <c r="AF208" s="216"/>
      <c r="AG208" s="216"/>
      <c r="AH208" s="216"/>
      <c r="AI208" s="217"/>
      <c r="AJ208" s="216"/>
      <c r="AK208" s="216"/>
      <c r="AL208" s="216"/>
      <c r="AM208" s="217"/>
      <c r="AN208" s="216"/>
      <c r="AO208" s="216"/>
      <c r="AP208" s="216"/>
      <c r="AQ208" s="217"/>
      <c r="AR208" s="216"/>
      <c r="AS208" s="216"/>
      <c r="AT208" s="218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</row>
    <row r="209" spans="1:58" s="143" customFormat="1">
      <c r="A209" s="210"/>
      <c r="B209" s="211"/>
      <c r="C209" s="140"/>
      <c r="D209" s="210"/>
      <c r="G209" s="212"/>
      <c r="H209" s="212"/>
      <c r="I209" s="213"/>
      <c r="J209" s="212"/>
      <c r="K209" s="214"/>
      <c r="L209" s="159"/>
      <c r="M209" s="215"/>
      <c r="N209" s="216"/>
      <c r="O209" s="217"/>
      <c r="P209" s="216"/>
      <c r="Q209" s="216"/>
      <c r="R209" s="216"/>
      <c r="S209" s="217"/>
      <c r="T209" s="216"/>
      <c r="U209" s="216"/>
      <c r="V209" s="216"/>
      <c r="W209" s="217"/>
      <c r="X209" s="216"/>
      <c r="Y209" s="216"/>
      <c r="Z209" s="216"/>
      <c r="AA209" s="217"/>
      <c r="AB209" s="216"/>
      <c r="AC209" s="216"/>
      <c r="AD209" s="216"/>
      <c r="AE209" s="217"/>
      <c r="AF209" s="216"/>
      <c r="AG209" s="216"/>
      <c r="AH209" s="216"/>
      <c r="AI209" s="217"/>
      <c r="AJ209" s="216"/>
      <c r="AK209" s="216"/>
      <c r="AL209" s="216"/>
      <c r="AM209" s="217"/>
      <c r="AN209" s="216"/>
      <c r="AO209" s="216"/>
      <c r="AP209" s="216"/>
      <c r="AQ209" s="217"/>
      <c r="AR209" s="216"/>
      <c r="AS209" s="216"/>
      <c r="AT209" s="218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</row>
    <row r="210" spans="1:58" s="143" customFormat="1">
      <c r="A210" s="210"/>
      <c r="B210" s="211"/>
      <c r="C210" s="140"/>
      <c r="D210" s="210"/>
      <c r="G210" s="212"/>
      <c r="H210" s="212"/>
      <c r="I210" s="213"/>
      <c r="J210" s="212"/>
      <c r="K210" s="214"/>
      <c r="L210" s="159"/>
      <c r="M210" s="215"/>
      <c r="N210" s="216"/>
      <c r="O210" s="217"/>
      <c r="P210" s="216"/>
      <c r="Q210" s="216"/>
      <c r="R210" s="216"/>
      <c r="S210" s="217"/>
      <c r="T210" s="216"/>
      <c r="U210" s="216"/>
      <c r="V210" s="216"/>
      <c r="W210" s="217"/>
      <c r="X210" s="216"/>
      <c r="Y210" s="216"/>
      <c r="Z210" s="216"/>
      <c r="AA210" s="217"/>
      <c r="AB210" s="216"/>
      <c r="AC210" s="216"/>
      <c r="AD210" s="216"/>
      <c r="AE210" s="217"/>
      <c r="AF210" s="216"/>
      <c r="AG210" s="216"/>
      <c r="AH210" s="216"/>
      <c r="AI210" s="217"/>
      <c r="AJ210" s="216"/>
      <c r="AK210" s="216"/>
      <c r="AL210" s="216"/>
      <c r="AM210" s="217"/>
      <c r="AN210" s="216"/>
      <c r="AO210" s="216"/>
      <c r="AP210" s="216"/>
      <c r="AQ210" s="217"/>
      <c r="AR210" s="216"/>
      <c r="AS210" s="216"/>
      <c r="AT210" s="218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</row>
    <row r="211" spans="1:58" s="143" customFormat="1">
      <c r="A211" s="210"/>
      <c r="B211" s="211"/>
      <c r="C211" s="140"/>
      <c r="D211" s="210"/>
      <c r="G211" s="212"/>
      <c r="H211" s="212"/>
      <c r="I211" s="213"/>
      <c r="J211" s="212"/>
      <c r="K211" s="214"/>
      <c r="L211" s="159"/>
      <c r="M211" s="215"/>
      <c r="N211" s="216"/>
      <c r="O211" s="217"/>
      <c r="P211" s="216"/>
      <c r="Q211" s="216"/>
      <c r="R211" s="216"/>
      <c r="S211" s="217"/>
      <c r="T211" s="216"/>
      <c r="U211" s="216"/>
      <c r="V211" s="216"/>
      <c r="W211" s="217"/>
      <c r="X211" s="216"/>
      <c r="Y211" s="216"/>
      <c r="Z211" s="216"/>
      <c r="AA211" s="217"/>
      <c r="AB211" s="216"/>
      <c r="AC211" s="216"/>
      <c r="AD211" s="216"/>
      <c r="AE211" s="217"/>
      <c r="AF211" s="216"/>
      <c r="AG211" s="216"/>
      <c r="AH211" s="216"/>
      <c r="AI211" s="217"/>
      <c r="AJ211" s="216"/>
      <c r="AK211" s="216"/>
      <c r="AL211" s="216"/>
      <c r="AM211" s="217"/>
      <c r="AN211" s="216"/>
      <c r="AO211" s="216"/>
      <c r="AP211" s="216"/>
      <c r="AQ211" s="217"/>
      <c r="AR211" s="216"/>
      <c r="AS211" s="216"/>
      <c r="AT211" s="218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</row>
    <row r="212" spans="1:58" s="143" customFormat="1">
      <c r="A212" s="210"/>
      <c r="B212" s="211"/>
      <c r="C212" s="140"/>
      <c r="D212" s="210"/>
      <c r="G212" s="212"/>
      <c r="H212" s="212"/>
      <c r="I212" s="213"/>
      <c r="J212" s="212"/>
      <c r="K212" s="214"/>
      <c r="L212" s="159"/>
      <c r="M212" s="215"/>
      <c r="N212" s="216"/>
      <c r="O212" s="217"/>
      <c r="P212" s="216"/>
      <c r="Q212" s="216"/>
      <c r="R212" s="216"/>
      <c r="S212" s="217"/>
      <c r="T212" s="216"/>
      <c r="U212" s="216"/>
      <c r="V212" s="216"/>
      <c r="W212" s="217"/>
      <c r="X212" s="216"/>
      <c r="Y212" s="216"/>
      <c r="Z212" s="216"/>
      <c r="AA212" s="217"/>
      <c r="AB212" s="216"/>
      <c r="AC212" s="216"/>
      <c r="AD212" s="216"/>
      <c r="AE212" s="217"/>
      <c r="AF212" s="216"/>
      <c r="AG212" s="216"/>
      <c r="AH212" s="216"/>
      <c r="AI212" s="217"/>
      <c r="AJ212" s="216"/>
      <c r="AK212" s="216"/>
      <c r="AL212" s="216"/>
      <c r="AM212" s="217"/>
      <c r="AN212" s="216"/>
      <c r="AO212" s="216"/>
      <c r="AP212" s="216"/>
      <c r="AQ212" s="217"/>
      <c r="AR212" s="216"/>
      <c r="AS212" s="216"/>
      <c r="AT212" s="218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</row>
    <row r="213" spans="1:58" s="143" customFormat="1">
      <c r="A213" s="210"/>
      <c r="B213" s="211"/>
      <c r="C213" s="140"/>
      <c r="D213" s="210"/>
      <c r="G213" s="212"/>
      <c r="H213" s="212"/>
      <c r="I213" s="213"/>
      <c r="J213" s="212"/>
      <c r="K213" s="214"/>
      <c r="L213" s="159"/>
      <c r="M213" s="215"/>
      <c r="N213" s="216"/>
      <c r="O213" s="217"/>
      <c r="P213" s="216"/>
      <c r="Q213" s="216"/>
      <c r="R213" s="216"/>
      <c r="S213" s="217"/>
      <c r="T213" s="216"/>
      <c r="U213" s="216"/>
      <c r="V213" s="216"/>
      <c r="W213" s="217"/>
      <c r="X213" s="216"/>
      <c r="Y213" s="216"/>
      <c r="Z213" s="216"/>
      <c r="AA213" s="217"/>
      <c r="AB213" s="216"/>
      <c r="AC213" s="216"/>
      <c r="AD213" s="216"/>
      <c r="AE213" s="217"/>
      <c r="AF213" s="216"/>
      <c r="AG213" s="216"/>
      <c r="AH213" s="216"/>
      <c r="AI213" s="217"/>
      <c r="AJ213" s="216"/>
      <c r="AK213" s="216"/>
      <c r="AL213" s="216"/>
      <c r="AM213" s="217"/>
      <c r="AN213" s="216"/>
      <c r="AO213" s="216"/>
      <c r="AP213" s="216"/>
      <c r="AQ213" s="217"/>
      <c r="AR213" s="216"/>
      <c r="AS213" s="216"/>
      <c r="AT213" s="218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</row>
    <row r="214" spans="1:58" s="143" customFormat="1">
      <c r="A214" s="210"/>
      <c r="B214" s="211"/>
      <c r="C214" s="140"/>
      <c r="D214" s="210"/>
      <c r="G214" s="212"/>
      <c r="H214" s="212"/>
      <c r="I214" s="213"/>
      <c r="J214" s="212"/>
      <c r="K214" s="214"/>
      <c r="L214" s="159"/>
      <c r="M214" s="215"/>
      <c r="N214" s="216"/>
      <c r="O214" s="217"/>
      <c r="P214" s="216"/>
      <c r="Q214" s="216"/>
      <c r="R214" s="216"/>
      <c r="S214" s="217"/>
      <c r="T214" s="216"/>
      <c r="U214" s="216"/>
      <c r="V214" s="216"/>
      <c r="W214" s="217"/>
      <c r="X214" s="216"/>
      <c r="Y214" s="216"/>
      <c r="Z214" s="216"/>
      <c r="AA214" s="217"/>
      <c r="AB214" s="216"/>
      <c r="AC214" s="216"/>
      <c r="AD214" s="216"/>
      <c r="AE214" s="217"/>
      <c r="AF214" s="216"/>
      <c r="AG214" s="216"/>
      <c r="AH214" s="216"/>
      <c r="AI214" s="217"/>
      <c r="AJ214" s="216"/>
      <c r="AK214" s="216"/>
      <c r="AL214" s="216"/>
      <c r="AM214" s="217"/>
      <c r="AN214" s="216"/>
      <c r="AO214" s="216"/>
      <c r="AP214" s="216"/>
      <c r="AQ214" s="217"/>
      <c r="AR214" s="216"/>
      <c r="AS214" s="216"/>
      <c r="AT214" s="218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</row>
    <row r="215" spans="1:58" s="143" customFormat="1">
      <c r="A215" s="210"/>
      <c r="B215" s="211"/>
      <c r="C215" s="140"/>
      <c r="D215" s="210"/>
      <c r="G215" s="212"/>
      <c r="H215" s="212"/>
      <c r="I215" s="213"/>
      <c r="J215" s="212"/>
      <c r="K215" s="214"/>
      <c r="L215" s="159"/>
      <c r="M215" s="215"/>
      <c r="N215" s="216"/>
      <c r="O215" s="217"/>
      <c r="P215" s="216"/>
      <c r="Q215" s="216"/>
      <c r="R215" s="216"/>
      <c r="S215" s="217"/>
      <c r="T215" s="216"/>
      <c r="U215" s="216"/>
      <c r="V215" s="216"/>
      <c r="W215" s="217"/>
      <c r="X215" s="216"/>
      <c r="Y215" s="216"/>
      <c r="Z215" s="216"/>
      <c r="AA215" s="217"/>
      <c r="AB215" s="216"/>
      <c r="AC215" s="216"/>
      <c r="AD215" s="216"/>
      <c r="AE215" s="217"/>
      <c r="AF215" s="216"/>
      <c r="AG215" s="216"/>
      <c r="AH215" s="216"/>
      <c r="AI215" s="217"/>
      <c r="AJ215" s="216"/>
      <c r="AK215" s="216"/>
      <c r="AL215" s="216"/>
      <c r="AM215" s="217"/>
      <c r="AN215" s="216"/>
      <c r="AO215" s="216"/>
      <c r="AP215" s="216"/>
      <c r="AQ215" s="217"/>
      <c r="AR215" s="216"/>
      <c r="AS215" s="216"/>
      <c r="AT215" s="218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</row>
    <row r="216" spans="1:58" s="143" customFormat="1">
      <c r="A216" s="210"/>
      <c r="B216" s="211"/>
      <c r="C216" s="140"/>
      <c r="D216" s="210"/>
      <c r="G216" s="212"/>
      <c r="H216" s="212"/>
      <c r="I216" s="213"/>
      <c r="J216" s="212"/>
      <c r="K216" s="214"/>
      <c r="L216" s="159"/>
      <c r="M216" s="215"/>
      <c r="N216" s="216"/>
      <c r="O216" s="217"/>
      <c r="P216" s="216"/>
      <c r="Q216" s="216"/>
      <c r="R216" s="216"/>
      <c r="S216" s="217"/>
      <c r="T216" s="216"/>
      <c r="U216" s="216"/>
      <c r="V216" s="216"/>
      <c r="W216" s="217"/>
      <c r="X216" s="216"/>
      <c r="Y216" s="216"/>
      <c r="Z216" s="216"/>
      <c r="AA216" s="217"/>
      <c r="AB216" s="216"/>
      <c r="AC216" s="216"/>
      <c r="AD216" s="216"/>
      <c r="AE216" s="217"/>
      <c r="AF216" s="216"/>
      <c r="AG216" s="216"/>
      <c r="AH216" s="216"/>
      <c r="AI216" s="217"/>
      <c r="AJ216" s="216"/>
      <c r="AK216" s="216"/>
      <c r="AL216" s="216"/>
      <c r="AM216" s="217"/>
      <c r="AN216" s="216"/>
      <c r="AO216" s="216"/>
      <c r="AP216" s="216"/>
      <c r="AQ216" s="217"/>
      <c r="AR216" s="216"/>
      <c r="AS216" s="216"/>
      <c r="AT216" s="218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</row>
    <row r="217" spans="1:58" s="143" customFormat="1">
      <c r="A217" s="210"/>
      <c r="B217" s="211"/>
      <c r="C217" s="140"/>
      <c r="D217" s="210"/>
      <c r="G217" s="212"/>
      <c r="H217" s="212"/>
      <c r="I217" s="213"/>
      <c r="J217" s="212"/>
      <c r="K217" s="214"/>
      <c r="L217" s="159"/>
      <c r="M217" s="215"/>
      <c r="N217" s="216"/>
      <c r="O217" s="217"/>
      <c r="P217" s="216"/>
      <c r="Q217" s="216"/>
      <c r="R217" s="216"/>
      <c r="S217" s="217"/>
      <c r="T217" s="216"/>
      <c r="U217" s="216"/>
      <c r="V217" s="216"/>
      <c r="W217" s="217"/>
      <c r="X217" s="216"/>
      <c r="Y217" s="216"/>
      <c r="Z217" s="216"/>
      <c r="AA217" s="217"/>
      <c r="AB217" s="216"/>
      <c r="AC217" s="216"/>
      <c r="AD217" s="216"/>
      <c r="AE217" s="217"/>
      <c r="AF217" s="216"/>
      <c r="AG217" s="216"/>
      <c r="AH217" s="216"/>
      <c r="AI217" s="217"/>
      <c r="AJ217" s="216"/>
      <c r="AK217" s="216"/>
      <c r="AL217" s="216"/>
      <c r="AM217" s="217"/>
      <c r="AN217" s="216"/>
      <c r="AO217" s="216"/>
      <c r="AP217" s="216"/>
      <c r="AQ217" s="217"/>
      <c r="AR217" s="216"/>
      <c r="AS217" s="216"/>
      <c r="AT217" s="218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</row>
    <row r="218" spans="1:58" s="143" customFormat="1">
      <c r="A218" s="210"/>
      <c r="B218" s="211"/>
      <c r="C218" s="140"/>
      <c r="D218" s="210"/>
      <c r="G218" s="212"/>
      <c r="H218" s="212"/>
      <c r="I218" s="213"/>
      <c r="J218" s="212"/>
      <c r="K218" s="214"/>
      <c r="L218" s="159"/>
      <c r="M218" s="215"/>
      <c r="N218" s="216"/>
      <c r="O218" s="217"/>
      <c r="P218" s="216"/>
      <c r="Q218" s="216"/>
      <c r="R218" s="216"/>
      <c r="S218" s="217"/>
      <c r="T218" s="216"/>
      <c r="U218" s="216"/>
      <c r="V218" s="216"/>
      <c r="W218" s="217"/>
      <c r="X218" s="216"/>
      <c r="Y218" s="216"/>
      <c r="Z218" s="216"/>
      <c r="AA218" s="217"/>
      <c r="AB218" s="216"/>
      <c r="AC218" s="216"/>
      <c r="AD218" s="216"/>
      <c r="AE218" s="217"/>
      <c r="AF218" s="216"/>
      <c r="AG218" s="216"/>
      <c r="AH218" s="216"/>
      <c r="AI218" s="217"/>
      <c r="AJ218" s="216"/>
      <c r="AK218" s="216"/>
      <c r="AL218" s="216"/>
      <c r="AM218" s="217"/>
      <c r="AN218" s="216"/>
      <c r="AO218" s="216"/>
      <c r="AP218" s="216"/>
      <c r="AQ218" s="217"/>
      <c r="AR218" s="216"/>
      <c r="AS218" s="216"/>
      <c r="AT218" s="218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</row>
    <row r="219" spans="1:58" s="143" customFormat="1">
      <c r="A219" s="210"/>
      <c r="B219" s="211"/>
      <c r="C219" s="140"/>
      <c r="D219" s="210"/>
      <c r="G219" s="212"/>
      <c r="H219" s="212"/>
      <c r="I219" s="213"/>
      <c r="J219" s="212"/>
      <c r="K219" s="214"/>
      <c r="L219" s="159"/>
      <c r="M219" s="215"/>
      <c r="N219" s="216"/>
      <c r="O219" s="217"/>
      <c r="P219" s="216"/>
      <c r="Q219" s="216"/>
      <c r="R219" s="216"/>
      <c r="S219" s="217"/>
      <c r="T219" s="216"/>
      <c r="U219" s="216"/>
      <c r="V219" s="216"/>
      <c r="W219" s="217"/>
      <c r="X219" s="216"/>
      <c r="Y219" s="216"/>
      <c r="Z219" s="216"/>
      <c r="AA219" s="217"/>
      <c r="AB219" s="216"/>
      <c r="AC219" s="216"/>
      <c r="AD219" s="216"/>
      <c r="AE219" s="217"/>
      <c r="AF219" s="216"/>
      <c r="AG219" s="216"/>
      <c r="AH219" s="216"/>
      <c r="AI219" s="217"/>
      <c r="AJ219" s="216"/>
      <c r="AK219" s="216"/>
      <c r="AL219" s="216"/>
      <c r="AM219" s="217"/>
      <c r="AN219" s="216"/>
      <c r="AO219" s="216"/>
      <c r="AP219" s="216"/>
      <c r="AQ219" s="217"/>
      <c r="AR219" s="216"/>
      <c r="AS219" s="216"/>
      <c r="AT219" s="218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</row>
    <row r="220" spans="1:58" s="143" customFormat="1">
      <c r="A220" s="210"/>
      <c r="B220" s="211"/>
      <c r="C220" s="140"/>
      <c r="D220" s="210"/>
      <c r="G220" s="212"/>
      <c r="H220" s="212"/>
      <c r="I220" s="213"/>
      <c r="J220" s="212"/>
      <c r="K220" s="214"/>
      <c r="L220" s="159"/>
      <c r="M220" s="215"/>
      <c r="N220" s="216"/>
      <c r="O220" s="217"/>
      <c r="P220" s="216"/>
      <c r="Q220" s="216"/>
      <c r="R220" s="216"/>
      <c r="S220" s="217"/>
      <c r="T220" s="216"/>
      <c r="U220" s="216"/>
      <c r="V220" s="216"/>
      <c r="W220" s="217"/>
      <c r="X220" s="216"/>
      <c r="Y220" s="216"/>
      <c r="Z220" s="216"/>
      <c r="AA220" s="217"/>
      <c r="AB220" s="216"/>
      <c r="AC220" s="216"/>
      <c r="AD220" s="216"/>
      <c r="AE220" s="217"/>
      <c r="AF220" s="216"/>
      <c r="AG220" s="216"/>
      <c r="AH220" s="216"/>
      <c r="AI220" s="217"/>
      <c r="AJ220" s="216"/>
      <c r="AK220" s="216"/>
      <c r="AL220" s="216"/>
      <c r="AM220" s="217"/>
      <c r="AN220" s="216"/>
      <c r="AO220" s="216"/>
      <c r="AP220" s="216"/>
      <c r="AQ220" s="217"/>
      <c r="AR220" s="216"/>
      <c r="AS220" s="216"/>
      <c r="AT220" s="218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</row>
    <row r="221" spans="1:58" s="143" customFormat="1">
      <c r="A221" s="210"/>
      <c r="B221" s="211"/>
      <c r="C221" s="140"/>
      <c r="D221" s="210"/>
      <c r="G221" s="212"/>
      <c r="H221" s="212"/>
      <c r="I221" s="213"/>
      <c r="J221" s="212"/>
      <c r="K221" s="214"/>
      <c r="L221" s="159"/>
      <c r="M221" s="215"/>
      <c r="N221" s="216"/>
      <c r="O221" s="217"/>
      <c r="P221" s="216"/>
      <c r="Q221" s="216"/>
      <c r="R221" s="216"/>
      <c r="S221" s="217"/>
      <c r="T221" s="216"/>
      <c r="U221" s="216"/>
      <c r="V221" s="216"/>
      <c r="W221" s="217"/>
      <c r="X221" s="216"/>
      <c r="Y221" s="216"/>
      <c r="Z221" s="216"/>
      <c r="AA221" s="217"/>
      <c r="AB221" s="216"/>
      <c r="AC221" s="216"/>
      <c r="AD221" s="216"/>
      <c r="AE221" s="217"/>
      <c r="AF221" s="216"/>
      <c r="AG221" s="216"/>
      <c r="AH221" s="216"/>
      <c r="AI221" s="217"/>
      <c r="AJ221" s="216"/>
      <c r="AK221" s="216"/>
      <c r="AL221" s="216"/>
      <c r="AM221" s="217"/>
      <c r="AN221" s="216"/>
      <c r="AO221" s="216"/>
      <c r="AP221" s="216"/>
      <c r="AQ221" s="217"/>
      <c r="AR221" s="216"/>
      <c r="AS221" s="216"/>
      <c r="AT221" s="218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</row>
    <row r="222" spans="1:58" s="143" customFormat="1">
      <c r="A222" s="210"/>
      <c r="B222" s="211"/>
      <c r="C222" s="140"/>
      <c r="D222" s="210"/>
      <c r="G222" s="212"/>
      <c r="H222" s="212"/>
      <c r="I222" s="213"/>
      <c r="J222" s="212"/>
      <c r="K222" s="214"/>
      <c r="L222" s="159"/>
      <c r="M222" s="215"/>
      <c r="N222" s="216"/>
      <c r="O222" s="217"/>
      <c r="P222" s="216"/>
      <c r="Q222" s="216"/>
      <c r="R222" s="216"/>
      <c r="S222" s="217"/>
      <c r="T222" s="216"/>
      <c r="U222" s="216"/>
      <c r="V222" s="216"/>
      <c r="W222" s="217"/>
      <c r="X222" s="216"/>
      <c r="Y222" s="216"/>
      <c r="Z222" s="216"/>
      <c r="AA222" s="217"/>
      <c r="AB222" s="216"/>
      <c r="AC222" s="216"/>
      <c r="AD222" s="216"/>
      <c r="AE222" s="217"/>
      <c r="AF222" s="216"/>
      <c r="AG222" s="216"/>
      <c r="AH222" s="216"/>
      <c r="AI222" s="217"/>
      <c r="AJ222" s="216"/>
      <c r="AK222" s="216"/>
      <c r="AL222" s="216"/>
      <c r="AM222" s="217"/>
      <c r="AN222" s="216"/>
      <c r="AO222" s="216"/>
      <c r="AP222" s="216"/>
      <c r="AQ222" s="217"/>
      <c r="AR222" s="216"/>
      <c r="AS222" s="216"/>
      <c r="AT222" s="218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</row>
    <row r="223" spans="1:58" s="143" customFormat="1">
      <c r="A223" s="210"/>
      <c r="B223" s="211"/>
      <c r="C223" s="140"/>
      <c r="D223" s="210"/>
      <c r="G223" s="212"/>
      <c r="H223" s="212"/>
      <c r="I223" s="213"/>
      <c r="J223" s="212"/>
      <c r="K223" s="214"/>
      <c r="L223" s="159"/>
      <c r="M223" s="215"/>
      <c r="N223" s="216"/>
      <c r="O223" s="217"/>
      <c r="P223" s="216"/>
      <c r="Q223" s="216"/>
      <c r="R223" s="216"/>
      <c r="S223" s="217"/>
      <c r="T223" s="216"/>
      <c r="U223" s="216"/>
      <c r="V223" s="216"/>
      <c r="W223" s="217"/>
      <c r="X223" s="216"/>
      <c r="Y223" s="216"/>
      <c r="Z223" s="216"/>
      <c r="AA223" s="217"/>
      <c r="AB223" s="216"/>
      <c r="AC223" s="216"/>
      <c r="AD223" s="216"/>
      <c r="AE223" s="217"/>
      <c r="AF223" s="216"/>
      <c r="AG223" s="216"/>
      <c r="AH223" s="216"/>
      <c r="AI223" s="217"/>
      <c r="AJ223" s="216"/>
      <c r="AK223" s="216"/>
      <c r="AL223" s="216"/>
      <c r="AM223" s="217"/>
      <c r="AN223" s="216"/>
      <c r="AO223" s="216"/>
      <c r="AP223" s="216"/>
      <c r="AQ223" s="217"/>
      <c r="AR223" s="216"/>
      <c r="AS223" s="216"/>
      <c r="AT223" s="218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</row>
    <row r="224" spans="1:58" s="143" customFormat="1">
      <c r="A224" s="210"/>
      <c r="B224" s="211"/>
      <c r="C224" s="140"/>
      <c r="D224" s="210"/>
      <c r="G224" s="212"/>
      <c r="H224" s="212"/>
      <c r="I224" s="213"/>
      <c r="J224" s="212"/>
      <c r="K224" s="214"/>
      <c r="L224" s="159"/>
      <c r="M224" s="215"/>
      <c r="N224" s="216"/>
      <c r="O224" s="217"/>
      <c r="P224" s="216"/>
      <c r="Q224" s="216"/>
      <c r="R224" s="216"/>
      <c r="S224" s="217"/>
      <c r="T224" s="216"/>
      <c r="U224" s="216"/>
      <c r="V224" s="216"/>
      <c r="W224" s="217"/>
      <c r="X224" s="216"/>
      <c r="Y224" s="216"/>
      <c r="Z224" s="216"/>
      <c r="AA224" s="217"/>
      <c r="AB224" s="216"/>
      <c r="AC224" s="216"/>
      <c r="AD224" s="216"/>
      <c r="AE224" s="217"/>
      <c r="AF224" s="216"/>
      <c r="AG224" s="216"/>
      <c r="AH224" s="216"/>
      <c r="AI224" s="217"/>
      <c r="AJ224" s="216"/>
      <c r="AK224" s="216"/>
      <c r="AL224" s="216"/>
      <c r="AM224" s="217"/>
      <c r="AN224" s="216"/>
      <c r="AO224" s="216"/>
      <c r="AP224" s="216"/>
      <c r="AQ224" s="217"/>
      <c r="AR224" s="216"/>
      <c r="AS224" s="216"/>
      <c r="AT224" s="218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</row>
    <row r="225" spans="1:58" s="143" customFormat="1">
      <c r="A225" s="210"/>
      <c r="B225" s="211"/>
      <c r="C225" s="140"/>
      <c r="D225" s="210"/>
      <c r="G225" s="212"/>
      <c r="H225" s="212"/>
      <c r="I225" s="213"/>
      <c r="J225" s="212"/>
      <c r="K225" s="214"/>
      <c r="L225" s="159"/>
      <c r="M225" s="215"/>
      <c r="N225" s="216"/>
      <c r="O225" s="217"/>
      <c r="P225" s="216"/>
      <c r="Q225" s="216"/>
      <c r="R225" s="216"/>
      <c r="S225" s="217"/>
      <c r="T225" s="216"/>
      <c r="U225" s="216"/>
      <c r="V225" s="216"/>
      <c r="W225" s="217"/>
      <c r="X225" s="216"/>
      <c r="Y225" s="216"/>
      <c r="Z225" s="216"/>
      <c r="AA225" s="217"/>
      <c r="AB225" s="216"/>
      <c r="AC225" s="216"/>
      <c r="AD225" s="216"/>
      <c r="AE225" s="217"/>
      <c r="AF225" s="216"/>
      <c r="AG225" s="216"/>
      <c r="AH225" s="216"/>
      <c r="AI225" s="217"/>
      <c r="AJ225" s="216"/>
      <c r="AK225" s="216"/>
      <c r="AL225" s="216"/>
      <c r="AM225" s="217"/>
      <c r="AN225" s="216"/>
      <c r="AO225" s="216"/>
      <c r="AP225" s="216"/>
      <c r="AQ225" s="217"/>
      <c r="AR225" s="216"/>
      <c r="AS225" s="216"/>
      <c r="AT225" s="218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</row>
    <row r="226" spans="1:58" s="143" customFormat="1">
      <c r="A226" s="210"/>
      <c r="B226" s="211"/>
      <c r="C226" s="140"/>
      <c r="D226" s="210"/>
      <c r="G226" s="212"/>
      <c r="H226" s="212"/>
      <c r="I226" s="213"/>
      <c r="J226" s="212"/>
      <c r="K226" s="214"/>
      <c r="L226" s="159"/>
      <c r="M226" s="215"/>
      <c r="N226" s="216"/>
      <c r="O226" s="217"/>
      <c r="P226" s="216"/>
      <c r="Q226" s="216"/>
      <c r="R226" s="216"/>
      <c r="S226" s="217"/>
      <c r="T226" s="216"/>
      <c r="U226" s="216"/>
      <c r="V226" s="216"/>
      <c r="W226" s="217"/>
      <c r="X226" s="216"/>
      <c r="Y226" s="216"/>
      <c r="Z226" s="216"/>
      <c r="AA226" s="217"/>
      <c r="AB226" s="216"/>
      <c r="AC226" s="216"/>
      <c r="AD226" s="216"/>
      <c r="AE226" s="217"/>
      <c r="AF226" s="216"/>
      <c r="AG226" s="216"/>
      <c r="AH226" s="216"/>
      <c r="AI226" s="217"/>
      <c r="AJ226" s="216"/>
      <c r="AK226" s="216"/>
      <c r="AL226" s="216"/>
      <c r="AM226" s="217"/>
      <c r="AN226" s="216"/>
      <c r="AO226" s="216"/>
      <c r="AP226" s="216"/>
      <c r="AQ226" s="217"/>
      <c r="AR226" s="216"/>
      <c r="AS226" s="216"/>
      <c r="AT226" s="218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</row>
    <row r="227" spans="1:58" s="143" customFormat="1">
      <c r="A227" s="210"/>
      <c r="B227" s="211"/>
      <c r="C227" s="140"/>
      <c r="D227" s="210"/>
      <c r="G227" s="212"/>
      <c r="H227" s="212"/>
      <c r="I227" s="213"/>
      <c r="J227" s="212"/>
      <c r="K227" s="214"/>
      <c r="L227" s="159"/>
      <c r="M227" s="215"/>
      <c r="N227" s="216"/>
      <c r="O227" s="217"/>
      <c r="P227" s="216"/>
      <c r="Q227" s="216"/>
      <c r="R227" s="216"/>
      <c r="S227" s="217"/>
      <c r="T227" s="216"/>
      <c r="U227" s="216"/>
      <c r="V227" s="216"/>
      <c r="W227" s="217"/>
      <c r="X227" s="216"/>
      <c r="Y227" s="216"/>
      <c r="Z227" s="216"/>
      <c r="AA227" s="217"/>
      <c r="AB227" s="216"/>
      <c r="AC227" s="216"/>
      <c r="AD227" s="216"/>
      <c r="AE227" s="217"/>
      <c r="AF227" s="216"/>
      <c r="AG227" s="216"/>
      <c r="AH227" s="216"/>
      <c r="AI227" s="217"/>
      <c r="AJ227" s="216"/>
      <c r="AK227" s="216"/>
      <c r="AL227" s="216"/>
      <c r="AM227" s="217"/>
      <c r="AN227" s="216"/>
      <c r="AO227" s="216"/>
      <c r="AP227" s="216"/>
      <c r="AQ227" s="217"/>
      <c r="AR227" s="216"/>
      <c r="AS227" s="216"/>
      <c r="AT227" s="218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</row>
    <row r="228" spans="1:58" s="143" customFormat="1">
      <c r="A228" s="210"/>
      <c r="B228" s="211"/>
      <c r="C228" s="140"/>
      <c r="D228" s="210"/>
      <c r="G228" s="212"/>
      <c r="H228" s="212"/>
      <c r="I228" s="213"/>
      <c r="J228" s="212"/>
      <c r="K228" s="214"/>
      <c r="L228" s="159"/>
      <c r="M228" s="215"/>
      <c r="N228" s="216"/>
      <c r="O228" s="217"/>
      <c r="P228" s="216"/>
      <c r="Q228" s="216"/>
      <c r="R228" s="216"/>
      <c r="S228" s="217"/>
      <c r="T228" s="216"/>
      <c r="U228" s="216"/>
      <c r="V228" s="216"/>
      <c r="W228" s="217"/>
      <c r="X228" s="216"/>
      <c r="Y228" s="216"/>
      <c r="Z228" s="216"/>
      <c r="AA228" s="217"/>
      <c r="AB228" s="216"/>
      <c r="AC228" s="216"/>
      <c r="AD228" s="216"/>
      <c r="AE228" s="217"/>
      <c r="AF228" s="216"/>
      <c r="AG228" s="216"/>
      <c r="AH228" s="216"/>
      <c r="AI228" s="217"/>
      <c r="AJ228" s="216"/>
      <c r="AK228" s="216"/>
      <c r="AL228" s="216"/>
      <c r="AM228" s="217"/>
      <c r="AN228" s="216"/>
      <c r="AO228" s="216"/>
      <c r="AP228" s="216"/>
      <c r="AQ228" s="217"/>
      <c r="AR228" s="216"/>
      <c r="AS228" s="216"/>
      <c r="AT228" s="218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</row>
    <row r="229" spans="1:58" s="143" customFormat="1">
      <c r="A229" s="210"/>
      <c r="B229" s="211"/>
      <c r="C229" s="140"/>
      <c r="D229" s="210"/>
      <c r="G229" s="212"/>
      <c r="H229" s="212"/>
      <c r="I229" s="213"/>
      <c r="J229" s="212"/>
      <c r="K229" s="214"/>
      <c r="L229" s="159"/>
      <c r="M229" s="215"/>
      <c r="N229" s="216"/>
      <c r="O229" s="217"/>
      <c r="P229" s="216"/>
      <c r="Q229" s="216"/>
      <c r="R229" s="216"/>
      <c r="S229" s="217"/>
      <c r="T229" s="216"/>
      <c r="U229" s="216"/>
      <c r="V229" s="216"/>
      <c r="W229" s="217"/>
      <c r="X229" s="216"/>
      <c r="Y229" s="216"/>
      <c r="Z229" s="216"/>
      <c r="AA229" s="217"/>
      <c r="AB229" s="216"/>
      <c r="AC229" s="216"/>
      <c r="AD229" s="216"/>
      <c r="AE229" s="217"/>
      <c r="AF229" s="216"/>
      <c r="AG229" s="216"/>
      <c r="AH229" s="216"/>
      <c r="AI229" s="217"/>
      <c r="AJ229" s="216"/>
      <c r="AK229" s="216"/>
      <c r="AL229" s="216"/>
      <c r="AM229" s="217"/>
      <c r="AN229" s="216"/>
      <c r="AO229" s="216"/>
      <c r="AP229" s="216"/>
      <c r="AQ229" s="217"/>
      <c r="AR229" s="216"/>
      <c r="AS229" s="216"/>
      <c r="AT229" s="218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</row>
    <row r="230" spans="1:58" s="143" customFormat="1">
      <c r="A230" s="210"/>
      <c r="B230" s="211"/>
      <c r="C230" s="140"/>
      <c r="D230" s="210"/>
      <c r="G230" s="212"/>
      <c r="H230" s="212"/>
      <c r="I230" s="213"/>
      <c r="J230" s="212"/>
      <c r="K230" s="214"/>
      <c r="L230" s="159"/>
      <c r="M230" s="215"/>
      <c r="N230" s="216"/>
      <c r="O230" s="217"/>
      <c r="P230" s="216"/>
      <c r="Q230" s="216"/>
      <c r="R230" s="216"/>
      <c r="S230" s="217"/>
      <c r="T230" s="216"/>
      <c r="U230" s="216"/>
      <c r="V230" s="216"/>
      <c r="W230" s="217"/>
      <c r="X230" s="216"/>
      <c r="Y230" s="216"/>
      <c r="Z230" s="216"/>
      <c r="AA230" s="217"/>
      <c r="AB230" s="216"/>
      <c r="AC230" s="216"/>
      <c r="AD230" s="216"/>
      <c r="AE230" s="217"/>
      <c r="AF230" s="216"/>
      <c r="AG230" s="216"/>
      <c r="AH230" s="216"/>
      <c r="AI230" s="217"/>
      <c r="AJ230" s="216"/>
      <c r="AK230" s="216"/>
      <c r="AL230" s="216"/>
      <c r="AM230" s="217"/>
      <c r="AN230" s="216"/>
      <c r="AO230" s="216"/>
      <c r="AP230" s="216"/>
      <c r="AQ230" s="217"/>
      <c r="AR230" s="216"/>
      <c r="AS230" s="216"/>
      <c r="AT230" s="218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</row>
    <row r="231" spans="1:58" s="143" customFormat="1">
      <c r="A231" s="210"/>
      <c r="B231" s="211"/>
      <c r="C231" s="140"/>
      <c r="D231" s="210"/>
      <c r="G231" s="212"/>
      <c r="H231" s="212"/>
      <c r="I231" s="213"/>
      <c r="J231" s="212"/>
      <c r="K231" s="214"/>
      <c r="L231" s="159"/>
      <c r="M231" s="215"/>
      <c r="N231" s="216"/>
      <c r="O231" s="217"/>
      <c r="P231" s="216"/>
      <c r="Q231" s="216"/>
      <c r="R231" s="216"/>
      <c r="S231" s="217"/>
      <c r="T231" s="216"/>
      <c r="U231" s="216"/>
      <c r="V231" s="216"/>
      <c r="W231" s="217"/>
      <c r="X231" s="216"/>
      <c r="Y231" s="216"/>
      <c r="Z231" s="216"/>
      <c r="AA231" s="217"/>
      <c r="AB231" s="216"/>
      <c r="AC231" s="216"/>
      <c r="AD231" s="216"/>
      <c r="AE231" s="217"/>
      <c r="AF231" s="216"/>
      <c r="AG231" s="216"/>
      <c r="AH231" s="216"/>
      <c r="AI231" s="217"/>
      <c r="AJ231" s="216"/>
      <c r="AK231" s="216"/>
      <c r="AL231" s="216"/>
      <c r="AM231" s="217"/>
      <c r="AN231" s="216"/>
      <c r="AO231" s="216"/>
      <c r="AP231" s="216"/>
      <c r="AQ231" s="217"/>
      <c r="AR231" s="216"/>
      <c r="AS231" s="216"/>
      <c r="AT231" s="218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</row>
    <row r="232" spans="1:58" s="143" customFormat="1">
      <c r="A232" s="210"/>
      <c r="B232" s="211"/>
      <c r="C232" s="140"/>
      <c r="D232" s="210"/>
      <c r="G232" s="212"/>
      <c r="H232" s="212"/>
      <c r="I232" s="213"/>
      <c r="J232" s="212"/>
      <c r="K232" s="214"/>
      <c r="L232" s="159"/>
      <c r="M232" s="215"/>
      <c r="N232" s="216"/>
      <c r="O232" s="217"/>
      <c r="P232" s="216"/>
      <c r="Q232" s="216"/>
      <c r="R232" s="216"/>
      <c r="S232" s="217"/>
      <c r="T232" s="216"/>
      <c r="U232" s="216"/>
      <c r="V232" s="216"/>
      <c r="W232" s="217"/>
      <c r="X232" s="216"/>
      <c r="Y232" s="216"/>
      <c r="Z232" s="216"/>
      <c r="AA232" s="217"/>
      <c r="AB232" s="216"/>
      <c r="AC232" s="216"/>
      <c r="AD232" s="216"/>
      <c r="AE232" s="217"/>
      <c r="AF232" s="216"/>
      <c r="AG232" s="216"/>
      <c r="AH232" s="216"/>
      <c r="AI232" s="217"/>
      <c r="AJ232" s="216"/>
      <c r="AK232" s="216"/>
      <c r="AL232" s="216"/>
      <c r="AM232" s="217"/>
      <c r="AN232" s="216"/>
      <c r="AO232" s="216"/>
      <c r="AP232" s="216"/>
      <c r="AQ232" s="217"/>
      <c r="AR232" s="216"/>
      <c r="AS232" s="216"/>
      <c r="AT232" s="218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</row>
    <row r="233" spans="1:58" s="143" customFormat="1">
      <c r="A233" s="210"/>
      <c r="B233" s="211"/>
      <c r="C233" s="140"/>
      <c r="D233" s="210"/>
      <c r="G233" s="212"/>
      <c r="H233" s="212"/>
      <c r="I233" s="213"/>
      <c r="J233" s="212"/>
      <c r="K233" s="214"/>
      <c r="L233" s="159"/>
      <c r="M233" s="215"/>
      <c r="N233" s="216"/>
      <c r="O233" s="217"/>
      <c r="P233" s="216"/>
      <c r="Q233" s="216"/>
      <c r="R233" s="216"/>
      <c r="S233" s="217"/>
      <c r="T233" s="216"/>
      <c r="U233" s="216"/>
      <c r="V233" s="216"/>
      <c r="W233" s="217"/>
      <c r="X233" s="216"/>
      <c r="Y233" s="216"/>
      <c r="Z233" s="216"/>
      <c r="AA233" s="217"/>
      <c r="AB233" s="216"/>
      <c r="AC233" s="216"/>
      <c r="AD233" s="216"/>
      <c r="AE233" s="217"/>
      <c r="AF233" s="216"/>
      <c r="AG233" s="216"/>
      <c r="AH233" s="216"/>
      <c r="AI233" s="217"/>
      <c r="AJ233" s="216"/>
      <c r="AK233" s="216"/>
      <c r="AL233" s="216"/>
      <c r="AM233" s="217"/>
      <c r="AN233" s="216"/>
      <c r="AO233" s="216"/>
      <c r="AP233" s="216"/>
      <c r="AQ233" s="217"/>
      <c r="AR233" s="216"/>
      <c r="AS233" s="216"/>
      <c r="AT233" s="218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</row>
    <row r="234" spans="1:58" s="143" customFormat="1">
      <c r="A234" s="210"/>
      <c r="B234" s="211"/>
      <c r="C234" s="140"/>
      <c r="D234" s="210"/>
      <c r="G234" s="212"/>
      <c r="H234" s="212"/>
      <c r="I234" s="213"/>
      <c r="J234" s="212"/>
      <c r="K234" s="214"/>
      <c r="L234" s="159"/>
      <c r="M234" s="215"/>
      <c r="N234" s="216"/>
      <c r="O234" s="217"/>
      <c r="P234" s="216"/>
      <c r="Q234" s="216"/>
      <c r="R234" s="216"/>
      <c r="S234" s="217"/>
      <c r="T234" s="216"/>
      <c r="U234" s="216"/>
      <c r="V234" s="216"/>
      <c r="W234" s="217"/>
      <c r="X234" s="216"/>
      <c r="Y234" s="216"/>
      <c r="Z234" s="216"/>
      <c r="AA234" s="217"/>
      <c r="AB234" s="216"/>
      <c r="AC234" s="216"/>
      <c r="AD234" s="216"/>
      <c r="AE234" s="217"/>
      <c r="AF234" s="216"/>
      <c r="AG234" s="216"/>
      <c r="AH234" s="216"/>
      <c r="AI234" s="217"/>
      <c r="AJ234" s="216"/>
      <c r="AK234" s="216"/>
      <c r="AL234" s="216"/>
      <c r="AM234" s="217"/>
      <c r="AN234" s="216"/>
      <c r="AO234" s="216"/>
      <c r="AP234" s="216"/>
      <c r="AQ234" s="217"/>
      <c r="AR234" s="216"/>
      <c r="AS234" s="216"/>
      <c r="AT234" s="218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</row>
    <row r="235" spans="1:58" s="143" customFormat="1">
      <c r="A235" s="210"/>
      <c r="B235" s="211"/>
      <c r="C235" s="140"/>
      <c r="D235" s="210"/>
      <c r="G235" s="212"/>
      <c r="H235" s="212"/>
      <c r="I235" s="213"/>
      <c r="J235" s="212"/>
      <c r="K235" s="214"/>
      <c r="L235" s="159"/>
      <c r="M235" s="215"/>
      <c r="N235" s="216"/>
      <c r="O235" s="217"/>
      <c r="P235" s="216"/>
      <c r="Q235" s="216"/>
      <c r="R235" s="216"/>
      <c r="S235" s="217"/>
      <c r="T235" s="216"/>
      <c r="U235" s="216"/>
      <c r="V235" s="216"/>
      <c r="W235" s="217"/>
      <c r="X235" s="216"/>
      <c r="Y235" s="216"/>
      <c r="Z235" s="216"/>
      <c r="AA235" s="217"/>
      <c r="AB235" s="216"/>
      <c r="AC235" s="216"/>
      <c r="AD235" s="216"/>
      <c r="AE235" s="217"/>
      <c r="AF235" s="216"/>
      <c r="AG235" s="216"/>
      <c r="AH235" s="216"/>
      <c r="AI235" s="217"/>
      <c r="AJ235" s="216"/>
      <c r="AK235" s="216"/>
      <c r="AL235" s="216"/>
      <c r="AM235" s="217"/>
      <c r="AN235" s="216"/>
      <c r="AO235" s="216"/>
      <c r="AP235" s="216"/>
      <c r="AQ235" s="217"/>
      <c r="AR235" s="216"/>
      <c r="AS235" s="216"/>
      <c r="AT235" s="218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</row>
    <row r="236" spans="1:58" s="143" customFormat="1">
      <c r="A236" s="210"/>
      <c r="B236" s="211"/>
      <c r="C236" s="140"/>
      <c r="D236" s="210"/>
      <c r="G236" s="212"/>
      <c r="H236" s="212"/>
      <c r="I236" s="213"/>
      <c r="J236" s="212"/>
      <c r="K236" s="214"/>
      <c r="L236" s="159"/>
      <c r="M236" s="215"/>
      <c r="N236" s="216"/>
      <c r="O236" s="217"/>
      <c r="P236" s="216"/>
      <c r="Q236" s="216"/>
      <c r="R236" s="216"/>
      <c r="S236" s="217"/>
      <c r="T236" s="216"/>
      <c r="U236" s="216"/>
      <c r="V236" s="216"/>
      <c r="W236" s="217"/>
      <c r="X236" s="216"/>
      <c r="Y236" s="216"/>
      <c r="Z236" s="216"/>
      <c r="AA236" s="217"/>
      <c r="AB236" s="216"/>
      <c r="AC236" s="216"/>
      <c r="AD236" s="216"/>
      <c r="AE236" s="217"/>
      <c r="AF236" s="216"/>
      <c r="AG236" s="216"/>
      <c r="AH236" s="216"/>
      <c r="AI236" s="217"/>
      <c r="AJ236" s="216"/>
      <c r="AK236" s="216"/>
      <c r="AL236" s="216"/>
      <c r="AM236" s="217"/>
      <c r="AN236" s="216"/>
      <c r="AO236" s="216"/>
      <c r="AP236" s="216"/>
      <c r="AQ236" s="217"/>
      <c r="AR236" s="216"/>
      <c r="AS236" s="216"/>
      <c r="AT236" s="218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</row>
    <row r="237" spans="1:58" s="143" customFormat="1">
      <c r="A237" s="210"/>
      <c r="B237" s="211"/>
      <c r="C237" s="140"/>
      <c r="D237" s="210"/>
      <c r="G237" s="212"/>
      <c r="H237" s="212"/>
      <c r="I237" s="213"/>
      <c r="J237" s="212"/>
      <c r="K237" s="214"/>
      <c r="L237" s="159"/>
      <c r="M237" s="215"/>
      <c r="N237" s="216"/>
      <c r="O237" s="217"/>
      <c r="P237" s="216"/>
      <c r="Q237" s="216"/>
      <c r="R237" s="216"/>
      <c r="S237" s="217"/>
      <c r="T237" s="216"/>
      <c r="U237" s="216"/>
      <c r="V237" s="216"/>
      <c r="W237" s="217"/>
      <c r="X237" s="216"/>
      <c r="Y237" s="216"/>
      <c r="Z237" s="216"/>
      <c r="AA237" s="217"/>
      <c r="AB237" s="216"/>
      <c r="AC237" s="216"/>
      <c r="AD237" s="216"/>
      <c r="AE237" s="217"/>
      <c r="AF237" s="216"/>
      <c r="AG237" s="216"/>
      <c r="AH237" s="216"/>
      <c r="AI237" s="217"/>
      <c r="AJ237" s="216"/>
      <c r="AK237" s="216"/>
      <c r="AL237" s="216"/>
      <c r="AM237" s="217"/>
      <c r="AN237" s="216"/>
      <c r="AO237" s="216"/>
      <c r="AP237" s="216"/>
      <c r="AQ237" s="217"/>
      <c r="AR237" s="216"/>
      <c r="AS237" s="216"/>
      <c r="AT237" s="218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</row>
    <row r="238" spans="1:58" s="143" customFormat="1">
      <c r="A238" s="210"/>
      <c r="B238" s="211"/>
      <c r="C238" s="140"/>
      <c r="D238" s="210"/>
      <c r="G238" s="212"/>
      <c r="H238" s="212"/>
      <c r="I238" s="213"/>
      <c r="J238" s="212"/>
      <c r="K238" s="214"/>
      <c r="L238" s="159"/>
      <c r="M238" s="215"/>
      <c r="N238" s="216"/>
      <c r="O238" s="217"/>
      <c r="P238" s="216"/>
      <c r="Q238" s="216"/>
      <c r="R238" s="216"/>
      <c r="S238" s="217"/>
      <c r="T238" s="216"/>
      <c r="U238" s="216"/>
      <c r="V238" s="216"/>
      <c r="W238" s="217"/>
      <c r="X238" s="216"/>
      <c r="Y238" s="216"/>
      <c r="Z238" s="216"/>
      <c r="AA238" s="217"/>
      <c r="AB238" s="216"/>
      <c r="AC238" s="216"/>
      <c r="AD238" s="216"/>
      <c r="AE238" s="217"/>
      <c r="AF238" s="216"/>
      <c r="AG238" s="216"/>
      <c r="AH238" s="216"/>
      <c r="AI238" s="217"/>
      <c r="AJ238" s="216"/>
      <c r="AK238" s="216"/>
      <c r="AL238" s="216"/>
      <c r="AM238" s="217"/>
      <c r="AN238" s="216"/>
      <c r="AO238" s="216"/>
      <c r="AP238" s="216"/>
      <c r="AQ238" s="217"/>
      <c r="AR238" s="216"/>
      <c r="AS238" s="216"/>
      <c r="AT238" s="218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</row>
    <row r="239" spans="1:58" s="143" customFormat="1">
      <c r="A239" s="210"/>
      <c r="B239" s="211"/>
      <c r="C239" s="140"/>
      <c r="D239" s="210"/>
      <c r="G239" s="212"/>
      <c r="H239" s="212"/>
      <c r="I239" s="213"/>
      <c r="J239" s="212"/>
      <c r="K239" s="214"/>
      <c r="L239" s="159"/>
      <c r="M239" s="215"/>
      <c r="N239" s="216"/>
      <c r="O239" s="217"/>
      <c r="P239" s="216"/>
      <c r="Q239" s="216"/>
      <c r="R239" s="216"/>
      <c r="S239" s="217"/>
      <c r="T239" s="216"/>
      <c r="U239" s="216"/>
      <c r="V239" s="216"/>
      <c r="W239" s="217"/>
      <c r="X239" s="216"/>
      <c r="Y239" s="216"/>
      <c r="Z239" s="216"/>
      <c r="AA239" s="217"/>
      <c r="AB239" s="216"/>
      <c r="AC239" s="216"/>
      <c r="AD239" s="216"/>
      <c r="AE239" s="217"/>
      <c r="AF239" s="216"/>
      <c r="AG239" s="216"/>
      <c r="AH239" s="216"/>
      <c r="AI239" s="217"/>
      <c r="AJ239" s="216"/>
      <c r="AK239" s="216"/>
      <c r="AL239" s="216"/>
      <c r="AM239" s="217"/>
      <c r="AN239" s="216"/>
      <c r="AO239" s="216"/>
      <c r="AP239" s="216"/>
      <c r="AQ239" s="217"/>
      <c r="AR239" s="216"/>
      <c r="AS239" s="216"/>
      <c r="AT239" s="218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</row>
    <row r="240" spans="1:58" s="143" customFormat="1">
      <c r="A240" s="210"/>
      <c r="B240" s="211"/>
      <c r="C240" s="140"/>
      <c r="D240" s="210"/>
      <c r="G240" s="212"/>
      <c r="H240" s="212"/>
      <c r="I240" s="213"/>
      <c r="J240" s="212"/>
      <c r="K240" s="214"/>
      <c r="L240" s="159"/>
      <c r="M240" s="215"/>
      <c r="N240" s="216"/>
      <c r="O240" s="217"/>
      <c r="P240" s="216"/>
      <c r="Q240" s="216"/>
      <c r="R240" s="216"/>
      <c r="S240" s="217"/>
      <c r="T240" s="216"/>
      <c r="U240" s="216"/>
      <c r="V240" s="216"/>
      <c r="W240" s="217"/>
      <c r="X240" s="216"/>
      <c r="Y240" s="216"/>
      <c r="Z240" s="216"/>
      <c r="AA240" s="217"/>
      <c r="AB240" s="216"/>
      <c r="AC240" s="216"/>
      <c r="AD240" s="216"/>
      <c r="AE240" s="217"/>
      <c r="AF240" s="216"/>
      <c r="AG240" s="216"/>
      <c r="AH240" s="216"/>
      <c r="AI240" s="217"/>
      <c r="AJ240" s="216"/>
      <c r="AK240" s="216"/>
      <c r="AL240" s="216"/>
      <c r="AM240" s="217"/>
      <c r="AN240" s="216"/>
      <c r="AO240" s="216"/>
      <c r="AP240" s="216"/>
      <c r="AQ240" s="217"/>
      <c r="AR240" s="216"/>
      <c r="AS240" s="216"/>
      <c r="AT240" s="218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</row>
    <row r="241" spans="1:58" s="143" customFormat="1">
      <c r="A241" s="210"/>
      <c r="B241" s="211"/>
      <c r="C241" s="140"/>
      <c r="D241" s="210"/>
      <c r="G241" s="212"/>
      <c r="H241" s="212"/>
      <c r="I241" s="213"/>
      <c r="J241" s="212"/>
      <c r="K241" s="214"/>
      <c r="L241" s="159"/>
      <c r="M241" s="215"/>
      <c r="N241" s="216"/>
      <c r="O241" s="217"/>
      <c r="P241" s="216"/>
      <c r="Q241" s="216"/>
      <c r="R241" s="216"/>
      <c r="S241" s="217"/>
      <c r="T241" s="216"/>
      <c r="U241" s="216"/>
      <c r="V241" s="216"/>
      <c r="W241" s="217"/>
      <c r="X241" s="216"/>
      <c r="Y241" s="216"/>
      <c r="Z241" s="216"/>
      <c r="AA241" s="217"/>
      <c r="AB241" s="216"/>
      <c r="AC241" s="216"/>
      <c r="AD241" s="216"/>
      <c r="AE241" s="217"/>
      <c r="AF241" s="216"/>
      <c r="AG241" s="216"/>
      <c r="AH241" s="216"/>
      <c r="AI241" s="217"/>
      <c r="AJ241" s="216"/>
      <c r="AK241" s="216"/>
      <c r="AL241" s="216"/>
      <c r="AM241" s="217"/>
      <c r="AN241" s="216"/>
      <c r="AO241" s="216"/>
      <c r="AP241" s="216"/>
      <c r="AQ241" s="217"/>
      <c r="AR241" s="216"/>
      <c r="AS241" s="216"/>
      <c r="AT241" s="218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</row>
    <row r="242" spans="1:58" s="143" customFormat="1">
      <c r="A242" s="210"/>
      <c r="B242" s="211"/>
      <c r="C242" s="140"/>
      <c r="D242" s="210"/>
      <c r="G242" s="212"/>
      <c r="H242" s="212"/>
      <c r="I242" s="213"/>
      <c r="J242" s="212"/>
      <c r="K242" s="214"/>
      <c r="L242" s="159"/>
      <c r="M242" s="215"/>
      <c r="N242" s="216"/>
      <c r="O242" s="217"/>
      <c r="P242" s="216"/>
      <c r="Q242" s="216"/>
      <c r="R242" s="216"/>
      <c r="S242" s="217"/>
      <c r="T242" s="216"/>
      <c r="U242" s="216"/>
      <c r="V242" s="216"/>
      <c r="W242" s="217"/>
      <c r="X242" s="216"/>
      <c r="Y242" s="216"/>
      <c r="Z242" s="216"/>
      <c r="AA242" s="217"/>
      <c r="AB242" s="216"/>
      <c r="AC242" s="216"/>
      <c r="AD242" s="216"/>
      <c r="AE242" s="217"/>
      <c r="AF242" s="216"/>
      <c r="AG242" s="216"/>
      <c r="AH242" s="216"/>
      <c r="AI242" s="217"/>
      <c r="AJ242" s="216"/>
      <c r="AK242" s="216"/>
      <c r="AL242" s="216"/>
      <c r="AM242" s="217"/>
      <c r="AN242" s="216"/>
      <c r="AO242" s="216"/>
      <c r="AP242" s="216"/>
      <c r="AQ242" s="217"/>
      <c r="AR242" s="216"/>
      <c r="AS242" s="216"/>
      <c r="AT242" s="218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</row>
    <row r="243" spans="1:58" s="143" customFormat="1">
      <c r="A243" s="210"/>
      <c r="B243" s="211"/>
      <c r="C243" s="140"/>
      <c r="D243" s="210"/>
      <c r="G243" s="212"/>
      <c r="H243" s="212"/>
      <c r="I243" s="213"/>
      <c r="J243" s="212"/>
      <c r="K243" s="214"/>
      <c r="L243" s="159"/>
      <c r="M243" s="215"/>
      <c r="N243" s="216"/>
      <c r="O243" s="217"/>
      <c r="P243" s="216"/>
      <c r="Q243" s="216"/>
      <c r="R243" s="216"/>
      <c r="S243" s="217"/>
      <c r="T243" s="216"/>
      <c r="U243" s="216"/>
      <c r="V243" s="216"/>
      <c r="W243" s="217"/>
      <c r="X243" s="216"/>
      <c r="Y243" s="216"/>
      <c r="Z243" s="216"/>
      <c r="AA243" s="217"/>
      <c r="AB243" s="216"/>
      <c r="AC243" s="216"/>
      <c r="AD243" s="216"/>
      <c r="AE243" s="217"/>
      <c r="AF243" s="216"/>
      <c r="AG243" s="216"/>
      <c r="AH243" s="216"/>
      <c r="AI243" s="217"/>
      <c r="AJ243" s="216"/>
      <c r="AK243" s="216"/>
      <c r="AL243" s="216"/>
      <c r="AM243" s="217"/>
      <c r="AN243" s="216"/>
      <c r="AO243" s="216"/>
      <c r="AP243" s="216"/>
      <c r="AQ243" s="217"/>
      <c r="AR243" s="216"/>
      <c r="AS243" s="216"/>
      <c r="AT243" s="218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</row>
    <row r="244" spans="1:58" s="143" customFormat="1">
      <c r="A244" s="210"/>
      <c r="B244" s="211"/>
      <c r="C244" s="140"/>
      <c r="D244" s="210"/>
      <c r="G244" s="212"/>
      <c r="H244" s="212"/>
      <c r="I244" s="213"/>
      <c r="J244" s="212"/>
      <c r="K244" s="214"/>
      <c r="L244" s="159"/>
      <c r="M244" s="215"/>
      <c r="N244" s="216"/>
      <c r="O244" s="217"/>
      <c r="P244" s="216"/>
      <c r="Q244" s="216"/>
      <c r="R244" s="216"/>
      <c r="S244" s="217"/>
      <c r="T244" s="216"/>
      <c r="U244" s="216"/>
      <c r="V244" s="216"/>
      <c r="W244" s="217"/>
      <c r="X244" s="216"/>
      <c r="Y244" s="216"/>
      <c r="Z244" s="216"/>
      <c r="AA244" s="217"/>
      <c r="AB244" s="216"/>
      <c r="AC244" s="216"/>
      <c r="AD244" s="216"/>
      <c r="AE244" s="217"/>
      <c r="AF244" s="216"/>
      <c r="AG244" s="216"/>
      <c r="AH244" s="216"/>
      <c r="AI244" s="217"/>
      <c r="AJ244" s="216"/>
      <c r="AK244" s="216"/>
      <c r="AL244" s="216"/>
      <c r="AM244" s="217"/>
      <c r="AN244" s="216"/>
      <c r="AO244" s="216"/>
      <c r="AP244" s="216"/>
      <c r="AQ244" s="217"/>
      <c r="AR244" s="216"/>
      <c r="AS244" s="216"/>
      <c r="AT244" s="218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</row>
    <row r="245" spans="1:58" s="143" customFormat="1">
      <c r="A245" s="210"/>
      <c r="B245" s="211"/>
      <c r="C245" s="140"/>
      <c r="D245" s="210"/>
      <c r="G245" s="212"/>
      <c r="H245" s="212"/>
      <c r="I245" s="213"/>
      <c r="J245" s="212"/>
      <c r="K245" s="214"/>
      <c r="L245" s="159"/>
      <c r="M245" s="215"/>
      <c r="N245" s="216"/>
      <c r="O245" s="217"/>
      <c r="P245" s="216"/>
      <c r="Q245" s="216"/>
      <c r="R245" s="216"/>
      <c r="S245" s="217"/>
      <c r="T245" s="216"/>
      <c r="U245" s="216"/>
      <c r="V245" s="216"/>
      <c r="W245" s="217"/>
      <c r="X245" s="216"/>
      <c r="Y245" s="216"/>
      <c r="Z245" s="216"/>
      <c r="AA245" s="217"/>
      <c r="AB245" s="216"/>
      <c r="AC245" s="216"/>
      <c r="AD245" s="216"/>
      <c r="AE245" s="217"/>
      <c r="AF245" s="216"/>
      <c r="AG245" s="216"/>
      <c r="AH245" s="216"/>
      <c r="AI245" s="217"/>
      <c r="AJ245" s="216"/>
      <c r="AK245" s="216"/>
      <c r="AL245" s="216"/>
      <c r="AM245" s="217"/>
      <c r="AN245" s="216"/>
      <c r="AO245" s="216"/>
      <c r="AP245" s="216"/>
      <c r="AQ245" s="217"/>
      <c r="AR245" s="216"/>
      <c r="AS245" s="216"/>
      <c r="AT245" s="218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</row>
    <row r="246" spans="1:58" s="143" customFormat="1">
      <c r="A246" s="210"/>
      <c r="B246" s="211"/>
      <c r="C246" s="140"/>
      <c r="D246" s="210"/>
      <c r="G246" s="212"/>
      <c r="H246" s="212"/>
      <c r="I246" s="213"/>
      <c r="J246" s="212"/>
      <c r="K246" s="214"/>
      <c r="L246" s="159"/>
      <c r="M246" s="215"/>
      <c r="N246" s="216"/>
      <c r="O246" s="217"/>
      <c r="P246" s="216"/>
      <c r="Q246" s="216"/>
      <c r="R246" s="216"/>
      <c r="S246" s="217"/>
      <c r="T246" s="216"/>
      <c r="U246" s="216"/>
      <c r="V246" s="216"/>
      <c r="W246" s="217"/>
      <c r="X246" s="216"/>
      <c r="Y246" s="216"/>
      <c r="Z246" s="216"/>
      <c r="AA246" s="217"/>
      <c r="AB246" s="216"/>
      <c r="AC246" s="216"/>
      <c r="AD246" s="216"/>
      <c r="AE246" s="217"/>
      <c r="AF246" s="216"/>
      <c r="AG246" s="216"/>
      <c r="AH246" s="216"/>
      <c r="AI246" s="217"/>
      <c r="AJ246" s="216"/>
      <c r="AK246" s="216"/>
      <c r="AL246" s="216"/>
      <c r="AM246" s="217"/>
      <c r="AN246" s="216"/>
      <c r="AO246" s="216"/>
      <c r="AP246" s="216"/>
      <c r="AQ246" s="217"/>
      <c r="AR246" s="216"/>
      <c r="AS246" s="216"/>
      <c r="AT246" s="218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</row>
    <row r="247" spans="1:58" s="143" customFormat="1">
      <c r="A247" s="210"/>
      <c r="B247" s="211"/>
      <c r="C247" s="140"/>
      <c r="D247" s="210"/>
      <c r="G247" s="212"/>
      <c r="H247" s="212"/>
      <c r="I247" s="213"/>
      <c r="J247" s="212"/>
      <c r="K247" s="214"/>
      <c r="L247" s="159"/>
      <c r="M247" s="215"/>
      <c r="N247" s="216"/>
      <c r="O247" s="217"/>
      <c r="P247" s="216"/>
      <c r="Q247" s="216"/>
      <c r="R247" s="216"/>
      <c r="S247" s="217"/>
      <c r="T247" s="216"/>
      <c r="U247" s="216"/>
      <c r="V247" s="216"/>
      <c r="W247" s="217"/>
      <c r="X247" s="216"/>
      <c r="Y247" s="216"/>
      <c r="Z247" s="216"/>
      <c r="AA247" s="217"/>
      <c r="AB247" s="216"/>
      <c r="AC247" s="216"/>
      <c r="AD247" s="216"/>
      <c r="AE247" s="217"/>
      <c r="AF247" s="216"/>
      <c r="AG247" s="216"/>
      <c r="AH247" s="216"/>
      <c r="AI247" s="217"/>
      <c r="AJ247" s="216"/>
      <c r="AK247" s="216"/>
      <c r="AL247" s="216"/>
      <c r="AM247" s="217"/>
      <c r="AN247" s="216"/>
      <c r="AO247" s="216"/>
      <c r="AP247" s="216"/>
      <c r="AQ247" s="217"/>
      <c r="AR247" s="216"/>
      <c r="AS247" s="216"/>
      <c r="AT247" s="218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</row>
    <row r="248" spans="1:58" s="143" customFormat="1">
      <c r="A248" s="210"/>
      <c r="B248" s="211"/>
      <c r="C248" s="140"/>
      <c r="D248" s="210"/>
      <c r="G248" s="212"/>
      <c r="H248" s="212"/>
      <c r="I248" s="213"/>
      <c r="J248" s="212"/>
      <c r="K248" s="214"/>
      <c r="L248" s="159"/>
      <c r="M248" s="215"/>
      <c r="N248" s="216"/>
      <c r="O248" s="217"/>
      <c r="P248" s="216"/>
      <c r="Q248" s="216"/>
      <c r="R248" s="216"/>
      <c r="S248" s="217"/>
      <c r="T248" s="216"/>
      <c r="U248" s="216"/>
      <c r="V248" s="216"/>
      <c r="W248" s="217"/>
      <c r="X248" s="216"/>
      <c r="Y248" s="216"/>
      <c r="Z248" s="216"/>
      <c r="AA248" s="217"/>
      <c r="AB248" s="216"/>
      <c r="AC248" s="216"/>
      <c r="AD248" s="216"/>
      <c r="AE248" s="217"/>
      <c r="AF248" s="216"/>
      <c r="AG248" s="216"/>
      <c r="AH248" s="216"/>
      <c r="AI248" s="217"/>
      <c r="AJ248" s="216"/>
      <c r="AK248" s="216"/>
      <c r="AL248" s="216"/>
      <c r="AM248" s="217"/>
      <c r="AN248" s="216"/>
      <c r="AO248" s="216"/>
      <c r="AP248" s="216"/>
      <c r="AQ248" s="217"/>
      <c r="AR248" s="216"/>
      <c r="AS248" s="216"/>
      <c r="AT248" s="218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</row>
    <row r="249" spans="1:58" s="143" customFormat="1">
      <c r="A249" s="210"/>
      <c r="B249" s="211"/>
      <c r="C249" s="140"/>
      <c r="D249" s="210"/>
      <c r="G249" s="212"/>
      <c r="H249" s="212"/>
      <c r="I249" s="213"/>
      <c r="J249" s="212"/>
      <c r="K249" s="214"/>
      <c r="L249" s="159"/>
      <c r="M249" s="215"/>
      <c r="N249" s="216"/>
      <c r="O249" s="217"/>
      <c r="P249" s="216"/>
      <c r="Q249" s="216"/>
      <c r="R249" s="216"/>
      <c r="S249" s="217"/>
      <c r="T249" s="216"/>
      <c r="U249" s="216"/>
      <c r="V249" s="216"/>
      <c r="W249" s="217"/>
      <c r="X249" s="216"/>
      <c r="Y249" s="216"/>
      <c r="Z249" s="216"/>
      <c r="AA249" s="217"/>
      <c r="AB249" s="216"/>
      <c r="AC249" s="216"/>
      <c r="AD249" s="216"/>
      <c r="AE249" s="217"/>
      <c r="AF249" s="216"/>
      <c r="AG249" s="216"/>
      <c r="AH249" s="216"/>
      <c r="AI249" s="217"/>
      <c r="AJ249" s="216"/>
      <c r="AK249" s="216"/>
      <c r="AL249" s="216"/>
      <c r="AM249" s="217"/>
      <c r="AN249" s="216"/>
      <c r="AO249" s="216"/>
      <c r="AP249" s="216"/>
      <c r="AQ249" s="217"/>
      <c r="AR249" s="216"/>
      <c r="AS249" s="216"/>
      <c r="AT249" s="218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</row>
    <row r="250" spans="1:58" s="143" customFormat="1">
      <c r="A250" s="210"/>
      <c r="B250" s="211"/>
      <c r="C250" s="140"/>
      <c r="D250" s="210"/>
      <c r="G250" s="212"/>
      <c r="H250" s="212"/>
      <c r="I250" s="213"/>
      <c r="J250" s="212"/>
      <c r="K250" s="214"/>
      <c r="L250" s="159"/>
      <c r="M250" s="215"/>
      <c r="N250" s="216"/>
      <c r="O250" s="217"/>
      <c r="P250" s="216"/>
      <c r="Q250" s="216"/>
      <c r="R250" s="216"/>
      <c r="S250" s="217"/>
      <c r="T250" s="216"/>
      <c r="U250" s="216"/>
      <c r="V250" s="216"/>
      <c r="W250" s="217"/>
      <c r="X250" s="216"/>
      <c r="Y250" s="216"/>
      <c r="Z250" s="216"/>
      <c r="AA250" s="217"/>
      <c r="AB250" s="216"/>
      <c r="AC250" s="216"/>
      <c r="AD250" s="216"/>
      <c r="AE250" s="217"/>
      <c r="AF250" s="216"/>
      <c r="AG250" s="216"/>
      <c r="AH250" s="216"/>
      <c r="AI250" s="217"/>
      <c r="AJ250" s="216"/>
      <c r="AK250" s="216"/>
      <c r="AL250" s="216"/>
      <c r="AM250" s="217"/>
      <c r="AN250" s="216"/>
      <c r="AO250" s="216"/>
      <c r="AP250" s="216"/>
      <c r="AQ250" s="217"/>
      <c r="AR250" s="216"/>
      <c r="AS250" s="216"/>
      <c r="AT250" s="218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</row>
    <row r="251" spans="1:58" s="143" customFormat="1">
      <c r="A251" s="210"/>
      <c r="B251" s="211"/>
      <c r="C251" s="140"/>
      <c r="D251" s="210"/>
      <c r="G251" s="212"/>
      <c r="H251" s="212"/>
      <c r="I251" s="213"/>
      <c r="J251" s="212"/>
      <c r="K251" s="214"/>
      <c r="L251" s="159"/>
      <c r="M251" s="215"/>
      <c r="N251" s="216"/>
      <c r="O251" s="217"/>
      <c r="P251" s="216"/>
      <c r="Q251" s="216"/>
      <c r="R251" s="216"/>
      <c r="S251" s="217"/>
      <c r="T251" s="216"/>
      <c r="U251" s="216"/>
      <c r="V251" s="216"/>
      <c r="W251" s="217"/>
      <c r="X251" s="216"/>
      <c r="Y251" s="216"/>
      <c r="Z251" s="216"/>
      <c r="AA251" s="217"/>
      <c r="AB251" s="216"/>
      <c r="AC251" s="216"/>
      <c r="AD251" s="216"/>
      <c r="AE251" s="217"/>
      <c r="AF251" s="216"/>
      <c r="AG251" s="216"/>
      <c r="AH251" s="216"/>
      <c r="AI251" s="217"/>
      <c r="AJ251" s="216"/>
      <c r="AK251" s="216"/>
      <c r="AL251" s="216"/>
      <c r="AM251" s="217"/>
      <c r="AN251" s="216"/>
      <c r="AO251" s="216"/>
      <c r="AP251" s="216"/>
      <c r="AQ251" s="217"/>
      <c r="AR251" s="216"/>
      <c r="AS251" s="216"/>
      <c r="AT251" s="218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</row>
    <row r="252" spans="1:58" s="143" customFormat="1">
      <c r="A252" s="210"/>
      <c r="B252" s="211"/>
      <c r="C252" s="140"/>
      <c r="D252" s="210"/>
      <c r="G252" s="212"/>
      <c r="H252" s="212"/>
      <c r="I252" s="213"/>
      <c r="J252" s="212"/>
      <c r="K252" s="214"/>
      <c r="L252" s="159"/>
      <c r="M252" s="215"/>
      <c r="N252" s="216"/>
      <c r="O252" s="217"/>
      <c r="P252" s="216"/>
      <c r="Q252" s="216"/>
      <c r="R252" s="216"/>
      <c r="S252" s="217"/>
      <c r="T252" s="216"/>
      <c r="U252" s="216"/>
      <c r="V252" s="216"/>
      <c r="W252" s="217"/>
      <c r="X252" s="216"/>
      <c r="Y252" s="216"/>
      <c r="Z252" s="216"/>
      <c r="AA252" s="217"/>
      <c r="AB252" s="216"/>
      <c r="AC252" s="216"/>
      <c r="AD252" s="216"/>
      <c r="AE252" s="217"/>
      <c r="AF252" s="216"/>
      <c r="AG252" s="216"/>
      <c r="AH252" s="216"/>
      <c r="AI252" s="217"/>
      <c r="AJ252" s="216"/>
      <c r="AK252" s="216"/>
      <c r="AL252" s="216"/>
      <c r="AM252" s="217"/>
      <c r="AN252" s="216"/>
      <c r="AO252" s="216"/>
      <c r="AP252" s="216"/>
      <c r="AQ252" s="217"/>
      <c r="AR252" s="216"/>
      <c r="AS252" s="216"/>
      <c r="AT252" s="218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</row>
    <row r="253" spans="1:58" s="143" customFormat="1">
      <c r="A253" s="210"/>
      <c r="B253" s="211"/>
      <c r="C253" s="140"/>
      <c r="D253" s="210"/>
      <c r="G253" s="212"/>
      <c r="H253" s="212"/>
      <c r="I253" s="213"/>
      <c r="J253" s="212"/>
      <c r="K253" s="214"/>
      <c r="L253" s="159"/>
      <c r="M253" s="215"/>
      <c r="N253" s="216"/>
      <c r="O253" s="217"/>
      <c r="P253" s="216"/>
      <c r="Q253" s="216"/>
      <c r="R253" s="216"/>
      <c r="S253" s="217"/>
      <c r="T253" s="216"/>
      <c r="U253" s="216"/>
      <c r="V253" s="216"/>
      <c r="W253" s="217"/>
      <c r="X253" s="216"/>
      <c r="Y253" s="216"/>
      <c r="Z253" s="216"/>
      <c r="AA253" s="217"/>
      <c r="AB253" s="216"/>
      <c r="AC253" s="216"/>
      <c r="AD253" s="216"/>
      <c r="AE253" s="217"/>
      <c r="AF253" s="216"/>
      <c r="AG253" s="216"/>
      <c r="AH253" s="216"/>
      <c r="AI253" s="217"/>
      <c r="AJ253" s="216"/>
      <c r="AK253" s="216"/>
      <c r="AL253" s="216"/>
      <c r="AM253" s="217"/>
      <c r="AN253" s="216"/>
      <c r="AO253" s="216"/>
      <c r="AP253" s="216"/>
      <c r="AQ253" s="217"/>
      <c r="AR253" s="216"/>
      <c r="AS253" s="216"/>
      <c r="AT253" s="218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</row>
    <row r="254" spans="1:58" s="143" customFormat="1">
      <c r="A254" s="210"/>
      <c r="B254" s="211"/>
      <c r="C254" s="140"/>
      <c r="D254" s="210"/>
      <c r="G254" s="212"/>
      <c r="H254" s="212"/>
      <c r="I254" s="213"/>
      <c r="J254" s="212"/>
      <c r="K254" s="214"/>
      <c r="L254" s="159"/>
      <c r="M254" s="215"/>
      <c r="N254" s="216"/>
      <c r="O254" s="217"/>
      <c r="P254" s="216"/>
      <c r="Q254" s="216"/>
      <c r="R254" s="216"/>
      <c r="S254" s="217"/>
      <c r="T254" s="216"/>
      <c r="U254" s="216"/>
      <c r="V254" s="216"/>
      <c r="W254" s="217"/>
      <c r="X254" s="216"/>
      <c r="Y254" s="216"/>
      <c r="Z254" s="216"/>
      <c r="AA254" s="217"/>
      <c r="AB254" s="216"/>
      <c r="AC254" s="216"/>
      <c r="AD254" s="216"/>
      <c r="AE254" s="217"/>
      <c r="AF254" s="216"/>
      <c r="AG254" s="216"/>
      <c r="AH254" s="216"/>
      <c r="AI254" s="217"/>
      <c r="AJ254" s="216"/>
      <c r="AK254" s="216"/>
      <c r="AL254" s="216"/>
      <c r="AM254" s="217"/>
      <c r="AN254" s="216"/>
      <c r="AO254" s="216"/>
      <c r="AP254" s="216"/>
      <c r="AQ254" s="217"/>
      <c r="AR254" s="216"/>
      <c r="AS254" s="216"/>
      <c r="AT254" s="218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</row>
    <row r="255" spans="1:58" s="143" customFormat="1">
      <c r="A255" s="210"/>
      <c r="B255" s="211"/>
      <c r="C255" s="140"/>
      <c r="D255" s="210"/>
      <c r="G255" s="212"/>
      <c r="H255" s="212"/>
      <c r="I255" s="213"/>
      <c r="J255" s="212"/>
      <c r="K255" s="214"/>
      <c r="L255" s="159"/>
      <c r="M255" s="215"/>
      <c r="N255" s="216"/>
      <c r="O255" s="217"/>
      <c r="P255" s="216"/>
      <c r="Q255" s="216"/>
      <c r="R255" s="216"/>
      <c r="S255" s="217"/>
      <c r="T255" s="216"/>
      <c r="U255" s="216"/>
      <c r="V255" s="216"/>
      <c r="W255" s="217"/>
      <c r="X255" s="216"/>
      <c r="Y255" s="216"/>
      <c r="Z255" s="216"/>
      <c r="AA255" s="217"/>
      <c r="AB255" s="216"/>
      <c r="AC255" s="216"/>
      <c r="AD255" s="216"/>
      <c r="AE255" s="217"/>
      <c r="AF255" s="216"/>
      <c r="AG255" s="216"/>
      <c r="AH255" s="216"/>
      <c r="AI255" s="217"/>
      <c r="AJ255" s="216"/>
      <c r="AK255" s="216"/>
      <c r="AL255" s="216"/>
      <c r="AM255" s="217"/>
      <c r="AN255" s="216"/>
      <c r="AO255" s="216"/>
      <c r="AP255" s="216"/>
      <c r="AQ255" s="217"/>
      <c r="AR255" s="216"/>
      <c r="AS255" s="216"/>
      <c r="AT255" s="218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</row>
    <row r="256" spans="1:58" s="143" customFormat="1">
      <c r="A256" s="210"/>
      <c r="B256" s="211"/>
      <c r="C256" s="140"/>
      <c r="D256" s="210"/>
      <c r="G256" s="212"/>
      <c r="H256" s="212"/>
      <c r="I256" s="213"/>
      <c r="J256" s="212"/>
      <c r="K256" s="214"/>
      <c r="L256" s="159"/>
      <c r="M256" s="215"/>
      <c r="N256" s="216"/>
      <c r="O256" s="217"/>
      <c r="P256" s="216"/>
      <c r="Q256" s="216"/>
      <c r="R256" s="216"/>
      <c r="S256" s="217"/>
      <c r="T256" s="216"/>
      <c r="U256" s="216"/>
      <c r="V256" s="216"/>
      <c r="W256" s="217"/>
      <c r="X256" s="216"/>
      <c r="Y256" s="216"/>
      <c r="Z256" s="216"/>
      <c r="AA256" s="217"/>
      <c r="AB256" s="216"/>
      <c r="AC256" s="216"/>
      <c r="AD256" s="216"/>
      <c r="AE256" s="217"/>
      <c r="AF256" s="216"/>
      <c r="AG256" s="216"/>
      <c r="AH256" s="216"/>
      <c r="AI256" s="217"/>
      <c r="AJ256" s="216"/>
      <c r="AK256" s="216"/>
      <c r="AL256" s="216"/>
      <c r="AM256" s="217"/>
      <c r="AN256" s="216"/>
      <c r="AO256" s="216"/>
      <c r="AP256" s="216"/>
      <c r="AQ256" s="217"/>
      <c r="AR256" s="216"/>
      <c r="AS256" s="216"/>
      <c r="AT256" s="218"/>
      <c r="AU256" s="215"/>
      <c r="AV256" s="215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</row>
    <row r="257" spans="1:58" s="143" customFormat="1">
      <c r="A257" s="210"/>
      <c r="B257" s="211"/>
      <c r="C257" s="140"/>
      <c r="D257" s="210"/>
      <c r="G257" s="212"/>
      <c r="H257" s="212"/>
      <c r="I257" s="213"/>
      <c r="J257" s="212"/>
      <c r="K257" s="214"/>
      <c r="L257" s="159"/>
      <c r="M257" s="215"/>
      <c r="N257" s="216"/>
      <c r="O257" s="217"/>
      <c r="P257" s="216"/>
      <c r="Q257" s="216"/>
      <c r="R257" s="216"/>
      <c r="S257" s="217"/>
      <c r="T257" s="216"/>
      <c r="U257" s="216"/>
      <c r="V257" s="216"/>
      <c r="W257" s="217"/>
      <c r="X257" s="216"/>
      <c r="Y257" s="216"/>
      <c r="Z257" s="216"/>
      <c r="AA257" s="217"/>
      <c r="AB257" s="216"/>
      <c r="AC257" s="216"/>
      <c r="AD257" s="216"/>
      <c r="AE257" s="217"/>
      <c r="AF257" s="216"/>
      <c r="AG257" s="216"/>
      <c r="AH257" s="216"/>
      <c r="AI257" s="217"/>
      <c r="AJ257" s="216"/>
      <c r="AK257" s="216"/>
      <c r="AL257" s="216"/>
      <c r="AM257" s="217"/>
      <c r="AN257" s="216"/>
      <c r="AO257" s="216"/>
      <c r="AP257" s="216"/>
      <c r="AQ257" s="217"/>
      <c r="AR257" s="216"/>
      <c r="AS257" s="216"/>
      <c r="AT257" s="218"/>
      <c r="AU257" s="215"/>
      <c r="AV257" s="215"/>
      <c r="AW257" s="215"/>
      <c r="AX257" s="215"/>
      <c r="AY257" s="215"/>
      <c r="AZ257" s="215"/>
      <c r="BA257" s="215"/>
      <c r="BB257" s="215"/>
      <c r="BC257" s="215"/>
      <c r="BD257" s="215"/>
      <c r="BE257" s="215"/>
      <c r="BF257" s="215"/>
    </row>
    <row r="258" spans="1:58" s="143" customFormat="1">
      <c r="A258" s="210"/>
      <c r="B258" s="211"/>
      <c r="C258" s="140"/>
      <c r="D258" s="210"/>
      <c r="G258" s="212"/>
      <c r="H258" s="212"/>
      <c r="I258" s="213"/>
      <c r="J258" s="212"/>
      <c r="K258" s="214"/>
      <c r="L258" s="159"/>
      <c r="M258" s="215"/>
      <c r="N258" s="216"/>
      <c r="O258" s="217"/>
      <c r="P258" s="216"/>
      <c r="Q258" s="216"/>
      <c r="R258" s="216"/>
      <c r="S258" s="217"/>
      <c r="T258" s="216"/>
      <c r="U258" s="216"/>
      <c r="V258" s="216"/>
      <c r="W258" s="217"/>
      <c r="X258" s="216"/>
      <c r="Y258" s="216"/>
      <c r="Z258" s="216"/>
      <c r="AA258" s="217"/>
      <c r="AB258" s="216"/>
      <c r="AC258" s="216"/>
      <c r="AD258" s="216"/>
      <c r="AE258" s="217"/>
      <c r="AF258" s="216"/>
      <c r="AG258" s="216"/>
      <c r="AH258" s="216"/>
      <c r="AI258" s="217"/>
      <c r="AJ258" s="216"/>
      <c r="AK258" s="216"/>
      <c r="AL258" s="216"/>
      <c r="AM258" s="217"/>
      <c r="AN258" s="216"/>
      <c r="AO258" s="216"/>
      <c r="AP258" s="216"/>
      <c r="AQ258" s="217"/>
      <c r="AR258" s="216"/>
      <c r="AS258" s="216"/>
      <c r="AT258" s="218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</row>
    <row r="259" spans="1:58" s="143" customFormat="1">
      <c r="A259" s="210"/>
      <c r="B259" s="211"/>
      <c r="C259" s="140"/>
      <c r="D259" s="210"/>
      <c r="G259" s="212"/>
      <c r="H259" s="212"/>
      <c r="I259" s="213"/>
      <c r="J259" s="212"/>
      <c r="K259" s="214"/>
      <c r="L259" s="159"/>
      <c r="M259" s="215"/>
      <c r="N259" s="216"/>
      <c r="O259" s="217"/>
      <c r="P259" s="216"/>
      <c r="Q259" s="216"/>
      <c r="R259" s="216"/>
      <c r="S259" s="217"/>
      <c r="T259" s="216"/>
      <c r="U259" s="216"/>
      <c r="V259" s="216"/>
      <c r="W259" s="217"/>
      <c r="X259" s="216"/>
      <c r="Y259" s="216"/>
      <c r="Z259" s="216"/>
      <c r="AA259" s="217"/>
      <c r="AB259" s="216"/>
      <c r="AC259" s="216"/>
      <c r="AD259" s="216"/>
      <c r="AE259" s="217"/>
      <c r="AF259" s="216"/>
      <c r="AG259" s="216"/>
      <c r="AH259" s="216"/>
      <c r="AI259" s="217"/>
      <c r="AJ259" s="216"/>
      <c r="AK259" s="216"/>
      <c r="AL259" s="216"/>
      <c r="AM259" s="217"/>
      <c r="AN259" s="216"/>
      <c r="AO259" s="216"/>
      <c r="AP259" s="216"/>
      <c r="AQ259" s="217"/>
      <c r="AR259" s="216"/>
      <c r="AS259" s="216"/>
      <c r="AT259" s="218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</row>
    <row r="260" spans="1:58" s="143" customFormat="1">
      <c r="A260" s="210"/>
      <c r="B260" s="211"/>
      <c r="C260" s="140"/>
      <c r="D260" s="210"/>
      <c r="G260" s="212"/>
      <c r="H260" s="212"/>
      <c r="I260" s="213"/>
      <c r="J260" s="212"/>
      <c r="K260" s="214"/>
      <c r="L260" s="159"/>
      <c r="M260" s="215"/>
      <c r="N260" s="216"/>
      <c r="O260" s="217"/>
      <c r="P260" s="216"/>
      <c r="Q260" s="216"/>
      <c r="R260" s="216"/>
      <c r="S260" s="217"/>
      <c r="T260" s="216"/>
      <c r="U260" s="216"/>
      <c r="V260" s="216"/>
      <c r="W260" s="217"/>
      <c r="X260" s="216"/>
      <c r="Y260" s="216"/>
      <c r="Z260" s="216"/>
      <c r="AA260" s="217"/>
      <c r="AB260" s="216"/>
      <c r="AC260" s="216"/>
      <c r="AD260" s="216"/>
      <c r="AE260" s="217"/>
      <c r="AF260" s="216"/>
      <c r="AG260" s="216"/>
      <c r="AH260" s="216"/>
      <c r="AI260" s="217"/>
      <c r="AJ260" s="216"/>
      <c r="AK260" s="216"/>
      <c r="AL260" s="216"/>
      <c r="AM260" s="217"/>
      <c r="AN260" s="216"/>
      <c r="AO260" s="216"/>
      <c r="AP260" s="216"/>
      <c r="AQ260" s="217"/>
      <c r="AR260" s="216"/>
      <c r="AS260" s="216"/>
      <c r="AT260" s="218"/>
      <c r="AU260" s="215"/>
      <c r="AV260" s="215"/>
      <c r="AW260" s="215"/>
      <c r="AX260" s="215"/>
      <c r="AY260" s="215"/>
      <c r="AZ260" s="215"/>
      <c r="BA260" s="215"/>
      <c r="BB260" s="215"/>
      <c r="BC260" s="215"/>
      <c r="BD260" s="215"/>
      <c r="BE260" s="215"/>
      <c r="BF260" s="215"/>
    </row>
    <row r="261" spans="1:58" s="143" customFormat="1">
      <c r="A261" s="210"/>
      <c r="B261" s="211"/>
      <c r="C261" s="140"/>
      <c r="D261" s="210"/>
      <c r="G261" s="212"/>
      <c r="H261" s="212"/>
      <c r="I261" s="213"/>
      <c r="J261" s="212"/>
      <c r="K261" s="214"/>
      <c r="L261" s="159"/>
      <c r="M261" s="215"/>
      <c r="N261" s="216"/>
      <c r="O261" s="217"/>
      <c r="P261" s="216"/>
      <c r="Q261" s="216"/>
      <c r="R261" s="216"/>
      <c r="S261" s="217"/>
      <c r="T261" s="216"/>
      <c r="U261" s="216"/>
      <c r="V261" s="216"/>
      <c r="W261" s="217"/>
      <c r="X261" s="216"/>
      <c r="Y261" s="216"/>
      <c r="Z261" s="216"/>
      <c r="AA261" s="217"/>
      <c r="AB261" s="216"/>
      <c r="AC261" s="216"/>
      <c r="AD261" s="216"/>
      <c r="AE261" s="217"/>
      <c r="AF261" s="216"/>
      <c r="AG261" s="216"/>
      <c r="AH261" s="216"/>
      <c r="AI261" s="217"/>
      <c r="AJ261" s="216"/>
      <c r="AK261" s="216"/>
      <c r="AL261" s="216"/>
      <c r="AM261" s="217"/>
      <c r="AN261" s="216"/>
      <c r="AO261" s="216"/>
      <c r="AP261" s="216"/>
      <c r="AQ261" s="217"/>
      <c r="AR261" s="216"/>
      <c r="AS261" s="216"/>
      <c r="AT261" s="218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</row>
    <row r="262" spans="1:58" s="143" customFormat="1">
      <c r="A262" s="210"/>
      <c r="B262" s="211"/>
      <c r="C262" s="140"/>
      <c r="D262" s="210"/>
      <c r="G262" s="212"/>
      <c r="H262" s="212"/>
      <c r="I262" s="213"/>
      <c r="J262" s="212"/>
      <c r="K262" s="214"/>
      <c r="L262" s="159"/>
      <c r="M262" s="215"/>
      <c r="N262" s="216"/>
      <c r="O262" s="217"/>
      <c r="P262" s="216"/>
      <c r="Q262" s="216"/>
      <c r="R262" s="216"/>
      <c r="S262" s="217"/>
      <c r="T262" s="216"/>
      <c r="U262" s="216"/>
      <c r="V262" s="216"/>
      <c r="W262" s="217"/>
      <c r="X262" s="216"/>
      <c r="Y262" s="216"/>
      <c r="Z262" s="216"/>
      <c r="AA262" s="217"/>
      <c r="AB262" s="216"/>
      <c r="AC262" s="216"/>
      <c r="AD262" s="216"/>
      <c r="AE262" s="217"/>
      <c r="AF262" s="216"/>
      <c r="AG262" s="216"/>
      <c r="AH262" s="216"/>
      <c r="AI262" s="217"/>
      <c r="AJ262" s="216"/>
      <c r="AK262" s="216"/>
      <c r="AL262" s="216"/>
      <c r="AM262" s="217"/>
      <c r="AN262" s="216"/>
      <c r="AO262" s="216"/>
      <c r="AP262" s="216"/>
      <c r="AQ262" s="217"/>
      <c r="AR262" s="216"/>
      <c r="AS262" s="216"/>
      <c r="AT262" s="218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</row>
    <row r="263" spans="1:58" s="143" customFormat="1">
      <c r="A263" s="210"/>
      <c r="B263" s="211"/>
      <c r="C263" s="140"/>
      <c r="D263" s="210"/>
      <c r="G263" s="212"/>
      <c r="H263" s="212"/>
      <c r="I263" s="213"/>
      <c r="J263" s="212"/>
      <c r="K263" s="214"/>
      <c r="L263" s="159"/>
      <c r="M263" s="215"/>
      <c r="N263" s="216"/>
      <c r="O263" s="217"/>
      <c r="P263" s="216"/>
      <c r="Q263" s="216"/>
      <c r="R263" s="216"/>
      <c r="S263" s="217"/>
      <c r="T263" s="216"/>
      <c r="U263" s="216"/>
      <c r="V263" s="216"/>
      <c r="W263" s="217"/>
      <c r="X263" s="216"/>
      <c r="Y263" s="216"/>
      <c r="Z263" s="216"/>
      <c r="AA263" s="217"/>
      <c r="AB263" s="216"/>
      <c r="AC263" s="216"/>
      <c r="AD263" s="216"/>
      <c r="AE263" s="217"/>
      <c r="AF263" s="216"/>
      <c r="AG263" s="216"/>
      <c r="AH263" s="216"/>
      <c r="AI263" s="217"/>
      <c r="AJ263" s="216"/>
      <c r="AK263" s="216"/>
      <c r="AL263" s="216"/>
      <c r="AM263" s="217"/>
      <c r="AN263" s="216"/>
      <c r="AO263" s="216"/>
      <c r="AP263" s="216"/>
      <c r="AQ263" s="217"/>
      <c r="AR263" s="216"/>
      <c r="AS263" s="216"/>
      <c r="AT263" s="218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</row>
    <row r="264" spans="1:58" s="143" customFormat="1">
      <c r="A264" s="210"/>
      <c r="B264" s="211"/>
      <c r="C264" s="140"/>
      <c r="D264" s="210"/>
      <c r="G264" s="212"/>
      <c r="H264" s="212"/>
      <c r="I264" s="213"/>
      <c r="J264" s="212"/>
      <c r="K264" s="214"/>
      <c r="L264" s="159"/>
      <c r="M264" s="215"/>
      <c r="N264" s="216"/>
      <c r="O264" s="217"/>
      <c r="P264" s="216"/>
      <c r="Q264" s="216"/>
      <c r="R264" s="216"/>
      <c r="S264" s="217"/>
      <c r="T264" s="216"/>
      <c r="U264" s="216"/>
      <c r="V264" s="216"/>
      <c r="W264" s="217"/>
      <c r="X264" s="216"/>
      <c r="Y264" s="216"/>
      <c r="Z264" s="216"/>
      <c r="AA264" s="217"/>
      <c r="AB264" s="216"/>
      <c r="AC264" s="216"/>
      <c r="AD264" s="216"/>
      <c r="AE264" s="217"/>
      <c r="AF264" s="216"/>
      <c r="AG264" s="216"/>
      <c r="AH264" s="216"/>
      <c r="AI264" s="217"/>
      <c r="AJ264" s="216"/>
      <c r="AK264" s="216"/>
      <c r="AL264" s="216"/>
      <c r="AM264" s="217"/>
      <c r="AN264" s="216"/>
      <c r="AO264" s="216"/>
      <c r="AP264" s="216"/>
      <c r="AQ264" s="217"/>
      <c r="AR264" s="216"/>
      <c r="AS264" s="216"/>
      <c r="AT264" s="218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</row>
    <row r="265" spans="1:58" s="143" customFormat="1">
      <c r="A265" s="210"/>
      <c r="B265" s="211"/>
      <c r="C265" s="140"/>
      <c r="D265" s="210"/>
      <c r="G265" s="212"/>
      <c r="H265" s="212"/>
      <c r="I265" s="213"/>
      <c r="J265" s="212"/>
      <c r="K265" s="214"/>
      <c r="L265" s="159"/>
      <c r="M265" s="215"/>
      <c r="N265" s="216"/>
      <c r="O265" s="217"/>
      <c r="P265" s="216"/>
      <c r="Q265" s="216"/>
      <c r="R265" s="216"/>
      <c r="S265" s="217"/>
      <c r="T265" s="216"/>
      <c r="U265" s="216"/>
      <c r="V265" s="216"/>
      <c r="W265" s="217"/>
      <c r="X265" s="216"/>
      <c r="Y265" s="216"/>
      <c r="Z265" s="216"/>
      <c r="AA265" s="217"/>
      <c r="AB265" s="216"/>
      <c r="AC265" s="216"/>
      <c r="AD265" s="216"/>
      <c r="AE265" s="217"/>
      <c r="AF265" s="216"/>
      <c r="AG265" s="216"/>
      <c r="AH265" s="216"/>
      <c r="AI265" s="217"/>
      <c r="AJ265" s="216"/>
      <c r="AK265" s="216"/>
      <c r="AL265" s="216"/>
      <c r="AM265" s="217"/>
      <c r="AN265" s="216"/>
      <c r="AO265" s="216"/>
      <c r="AP265" s="216"/>
      <c r="AQ265" s="217"/>
      <c r="AR265" s="216"/>
      <c r="AS265" s="216"/>
      <c r="AT265" s="218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</row>
    <row r="266" spans="1:58" s="143" customFormat="1">
      <c r="A266" s="210"/>
      <c r="B266" s="211"/>
      <c r="C266" s="140"/>
      <c r="D266" s="210"/>
      <c r="G266" s="212"/>
      <c r="H266" s="212"/>
      <c r="I266" s="213"/>
      <c r="J266" s="212"/>
      <c r="K266" s="214"/>
      <c r="L266" s="159"/>
      <c r="M266" s="215"/>
      <c r="N266" s="216"/>
      <c r="O266" s="217"/>
      <c r="P266" s="216"/>
      <c r="Q266" s="216"/>
      <c r="R266" s="216"/>
      <c r="S266" s="217"/>
      <c r="T266" s="216"/>
      <c r="U266" s="216"/>
      <c r="V266" s="216"/>
      <c r="W266" s="217"/>
      <c r="X266" s="216"/>
      <c r="Y266" s="216"/>
      <c r="Z266" s="216"/>
      <c r="AA266" s="217"/>
      <c r="AB266" s="216"/>
      <c r="AC266" s="216"/>
      <c r="AD266" s="216"/>
      <c r="AE266" s="217"/>
      <c r="AF266" s="216"/>
      <c r="AG266" s="216"/>
      <c r="AH266" s="216"/>
      <c r="AI266" s="217"/>
      <c r="AJ266" s="216"/>
      <c r="AK266" s="216"/>
      <c r="AL266" s="216"/>
      <c r="AM266" s="217"/>
      <c r="AN266" s="216"/>
      <c r="AO266" s="216"/>
      <c r="AP266" s="216"/>
      <c r="AQ266" s="217"/>
      <c r="AR266" s="216"/>
      <c r="AS266" s="216"/>
      <c r="AT266" s="218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</row>
    <row r="267" spans="1:58" s="143" customFormat="1">
      <c r="A267" s="210"/>
      <c r="B267" s="211"/>
      <c r="C267" s="140"/>
      <c r="D267" s="210"/>
      <c r="G267" s="212"/>
      <c r="H267" s="212"/>
      <c r="I267" s="213"/>
      <c r="J267" s="212"/>
      <c r="K267" s="214"/>
      <c r="L267" s="159"/>
      <c r="M267" s="215"/>
      <c r="N267" s="216"/>
      <c r="O267" s="217"/>
      <c r="P267" s="216"/>
      <c r="Q267" s="216"/>
      <c r="R267" s="216"/>
      <c r="S267" s="217"/>
      <c r="T267" s="216"/>
      <c r="U267" s="216"/>
      <c r="V267" s="216"/>
      <c r="W267" s="217"/>
      <c r="X267" s="216"/>
      <c r="Y267" s="216"/>
      <c r="Z267" s="216"/>
      <c r="AA267" s="217"/>
      <c r="AB267" s="216"/>
      <c r="AC267" s="216"/>
      <c r="AD267" s="216"/>
      <c r="AE267" s="217"/>
      <c r="AF267" s="216"/>
      <c r="AG267" s="216"/>
      <c r="AH267" s="216"/>
      <c r="AI267" s="217"/>
      <c r="AJ267" s="216"/>
      <c r="AK267" s="216"/>
      <c r="AL267" s="216"/>
      <c r="AM267" s="217"/>
      <c r="AN267" s="216"/>
      <c r="AO267" s="216"/>
      <c r="AP267" s="216"/>
      <c r="AQ267" s="217"/>
      <c r="AR267" s="216"/>
      <c r="AS267" s="216"/>
      <c r="AT267" s="218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</row>
    <row r="268" spans="1:58" s="143" customFormat="1">
      <c r="A268" s="210"/>
      <c r="B268" s="211"/>
      <c r="C268" s="140"/>
      <c r="D268" s="210"/>
      <c r="G268" s="212"/>
      <c r="H268" s="212"/>
      <c r="I268" s="213"/>
      <c r="J268" s="212"/>
      <c r="K268" s="214"/>
      <c r="L268" s="159"/>
      <c r="M268" s="215"/>
      <c r="N268" s="216"/>
      <c r="O268" s="217"/>
      <c r="P268" s="216"/>
      <c r="Q268" s="216"/>
      <c r="R268" s="216"/>
      <c r="S268" s="217"/>
      <c r="T268" s="216"/>
      <c r="U268" s="216"/>
      <c r="V268" s="216"/>
      <c r="W268" s="217"/>
      <c r="X268" s="216"/>
      <c r="Y268" s="216"/>
      <c r="Z268" s="216"/>
      <c r="AA268" s="217"/>
      <c r="AB268" s="216"/>
      <c r="AC268" s="216"/>
      <c r="AD268" s="216"/>
      <c r="AE268" s="217"/>
      <c r="AF268" s="216"/>
      <c r="AG268" s="216"/>
      <c r="AH268" s="216"/>
      <c r="AI268" s="217"/>
      <c r="AJ268" s="216"/>
      <c r="AK268" s="216"/>
      <c r="AL268" s="216"/>
      <c r="AM268" s="217"/>
      <c r="AN268" s="216"/>
      <c r="AO268" s="216"/>
      <c r="AP268" s="216"/>
      <c r="AQ268" s="217"/>
      <c r="AR268" s="216"/>
      <c r="AS268" s="216"/>
      <c r="AT268" s="218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</row>
    <row r="269" spans="1:58" s="143" customFormat="1">
      <c r="A269" s="210"/>
      <c r="B269" s="211"/>
      <c r="C269" s="140"/>
      <c r="D269" s="210"/>
      <c r="G269" s="212"/>
      <c r="H269" s="212"/>
      <c r="I269" s="213"/>
      <c r="J269" s="212"/>
      <c r="K269" s="214"/>
      <c r="L269" s="159"/>
      <c r="M269" s="215"/>
      <c r="N269" s="216"/>
      <c r="O269" s="217"/>
      <c r="P269" s="216"/>
      <c r="Q269" s="216"/>
      <c r="R269" s="216"/>
      <c r="S269" s="217"/>
      <c r="T269" s="216"/>
      <c r="U269" s="216"/>
      <c r="V269" s="216"/>
      <c r="W269" s="217"/>
      <c r="X269" s="216"/>
      <c r="Y269" s="216"/>
      <c r="Z269" s="216"/>
      <c r="AA269" s="217"/>
      <c r="AB269" s="216"/>
      <c r="AC269" s="216"/>
      <c r="AD269" s="216"/>
      <c r="AE269" s="217"/>
      <c r="AF269" s="216"/>
      <c r="AG269" s="216"/>
      <c r="AH269" s="216"/>
      <c r="AI269" s="217"/>
      <c r="AJ269" s="216"/>
      <c r="AK269" s="216"/>
      <c r="AL269" s="216"/>
      <c r="AM269" s="217"/>
      <c r="AN269" s="216"/>
      <c r="AO269" s="216"/>
      <c r="AP269" s="216"/>
      <c r="AQ269" s="217"/>
      <c r="AR269" s="216"/>
      <c r="AS269" s="216"/>
      <c r="AT269" s="218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</row>
    <row r="270" spans="1:58" s="143" customFormat="1">
      <c r="A270" s="210"/>
      <c r="B270" s="211"/>
      <c r="C270" s="140"/>
      <c r="D270" s="210"/>
      <c r="G270" s="212"/>
      <c r="H270" s="212"/>
      <c r="I270" s="213"/>
      <c r="J270" s="212"/>
      <c r="K270" s="214"/>
      <c r="L270" s="159"/>
      <c r="M270" s="215"/>
      <c r="N270" s="216"/>
      <c r="O270" s="217"/>
      <c r="P270" s="216"/>
      <c r="Q270" s="216"/>
      <c r="R270" s="216"/>
      <c r="S270" s="217"/>
      <c r="T270" s="216"/>
      <c r="U270" s="216"/>
      <c r="V270" s="216"/>
      <c r="W270" s="217"/>
      <c r="X270" s="216"/>
      <c r="Y270" s="216"/>
      <c r="Z270" s="216"/>
      <c r="AA270" s="217"/>
      <c r="AB270" s="216"/>
      <c r="AC270" s="216"/>
      <c r="AD270" s="216"/>
      <c r="AE270" s="217"/>
      <c r="AF270" s="216"/>
      <c r="AG270" s="216"/>
      <c r="AH270" s="216"/>
      <c r="AI270" s="217"/>
      <c r="AJ270" s="216"/>
      <c r="AK270" s="216"/>
      <c r="AL270" s="216"/>
      <c r="AM270" s="217"/>
      <c r="AN270" s="216"/>
      <c r="AO270" s="216"/>
      <c r="AP270" s="216"/>
      <c r="AQ270" s="217"/>
      <c r="AR270" s="216"/>
      <c r="AS270" s="216"/>
      <c r="AT270" s="218"/>
      <c r="AU270" s="215"/>
      <c r="AV270" s="215"/>
      <c r="AW270" s="215"/>
      <c r="AX270" s="215"/>
      <c r="AY270" s="215"/>
      <c r="AZ270" s="215"/>
      <c r="BA270" s="215"/>
      <c r="BB270" s="215"/>
      <c r="BC270" s="215"/>
      <c r="BD270" s="215"/>
      <c r="BE270" s="215"/>
      <c r="BF270" s="215"/>
    </row>
    <row r="271" spans="1:58" s="143" customFormat="1">
      <c r="A271" s="210"/>
      <c r="B271" s="211"/>
      <c r="C271" s="140"/>
      <c r="D271" s="210"/>
      <c r="G271" s="212"/>
      <c r="H271" s="212"/>
      <c r="I271" s="213"/>
      <c r="J271" s="212"/>
      <c r="K271" s="214"/>
      <c r="L271" s="159"/>
      <c r="M271" s="215"/>
      <c r="N271" s="216"/>
      <c r="O271" s="217"/>
      <c r="P271" s="216"/>
      <c r="Q271" s="216"/>
      <c r="R271" s="216"/>
      <c r="S271" s="217"/>
      <c r="T271" s="216"/>
      <c r="U271" s="216"/>
      <c r="V271" s="216"/>
      <c r="W271" s="217"/>
      <c r="X271" s="216"/>
      <c r="Y271" s="216"/>
      <c r="Z271" s="216"/>
      <c r="AA271" s="217"/>
      <c r="AB271" s="216"/>
      <c r="AC271" s="216"/>
      <c r="AD271" s="216"/>
      <c r="AE271" s="217"/>
      <c r="AF271" s="216"/>
      <c r="AG271" s="216"/>
      <c r="AH271" s="216"/>
      <c r="AI271" s="217"/>
      <c r="AJ271" s="216"/>
      <c r="AK271" s="216"/>
      <c r="AL271" s="216"/>
      <c r="AM271" s="217"/>
      <c r="AN271" s="216"/>
      <c r="AO271" s="216"/>
      <c r="AP271" s="216"/>
      <c r="AQ271" s="217"/>
      <c r="AR271" s="216"/>
      <c r="AS271" s="216"/>
      <c r="AT271" s="218"/>
      <c r="AU271" s="215"/>
      <c r="AV271" s="215"/>
      <c r="AW271" s="215"/>
      <c r="AX271" s="215"/>
      <c r="AY271" s="215"/>
      <c r="AZ271" s="215"/>
      <c r="BA271" s="215"/>
      <c r="BB271" s="215"/>
      <c r="BC271" s="215"/>
      <c r="BD271" s="215"/>
      <c r="BE271" s="215"/>
      <c r="BF271" s="215"/>
    </row>
    <row r="272" spans="1:58" s="143" customFormat="1">
      <c r="A272" s="210"/>
      <c r="B272" s="211"/>
      <c r="C272" s="140"/>
      <c r="D272" s="210"/>
      <c r="G272" s="212"/>
      <c r="H272" s="212"/>
      <c r="I272" s="213"/>
      <c r="J272" s="212"/>
      <c r="K272" s="214"/>
      <c r="L272" s="159"/>
      <c r="M272" s="215"/>
      <c r="N272" s="216"/>
      <c r="O272" s="217"/>
      <c r="P272" s="216"/>
      <c r="Q272" s="216"/>
      <c r="R272" s="216"/>
      <c r="S272" s="217"/>
      <c r="T272" s="216"/>
      <c r="U272" s="216"/>
      <c r="V272" s="216"/>
      <c r="W272" s="217"/>
      <c r="X272" s="216"/>
      <c r="Y272" s="216"/>
      <c r="Z272" s="216"/>
      <c r="AA272" s="217"/>
      <c r="AB272" s="216"/>
      <c r="AC272" s="216"/>
      <c r="AD272" s="216"/>
      <c r="AE272" s="217"/>
      <c r="AF272" s="216"/>
      <c r="AG272" s="216"/>
      <c r="AH272" s="216"/>
      <c r="AI272" s="217"/>
      <c r="AJ272" s="216"/>
      <c r="AK272" s="216"/>
      <c r="AL272" s="216"/>
      <c r="AM272" s="217"/>
      <c r="AN272" s="216"/>
      <c r="AO272" s="216"/>
      <c r="AP272" s="216"/>
      <c r="AQ272" s="217"/>
      <c r="AR272" s="216"/>
      <c r="AS272" s="216"/>
      <c r="AT272" s="218"/>
      <c r="AU272" s="215"/>
      <c r="AV272" s="215"/>
      <c r="AW272" s="215"/>
      <c r="AX272" s="215"/>
      <c r="AY272" s="215"/>
      <c r="AZ272" s="215"/>
      <c r="BA272" s="215"/>
      <c r="BB272" s="215"/>
      <c r="BC272" s="215"/>
      <c r="BD272" s="215"/>
      <c r="BE272" s="215"/>
      <c r="BF272" s="215"/>
    </row>
    <row r="273" spans="1:58" s="143" customFormat="1">
      <c r="A273" s="210"/>
      <c r="B273" s="211"/>
      <c r="C273" s="140"/>
      <c r="D273" s="210"/>
      <c r="G273" s="212"/>
      <c r="H273" s="212"/>
      <c r="I273" s="213"/>
      <c r="J273" s="212"/>
      <c r="K273" s="214"/>
      <c r="L273" s="159"/>
      <c r="M273" s="215"/>
      <c r="N273" s="216"/>
      <c r="O273" s="217"/>
      <c r="P273" s="216"/>
      <c r="Q273" s="216"/>
      <c r="R273" s="216"/>
      <c r="S273" s="217"/>
      <c r="T273" s="216"/>
      <c r="U273" s="216"/>
      <c r="V273" s="216"/>
      <c r="W273" s="217"/>
      <c r="X273" s="216"/>
      <c r="Y273" s="216"/>
      <c r="Z273" s="216"/>
      <c r="AA273" s="217"/>
      <c r="AB273" s="216"/>
      <c r="AC273" s="216"/>
      <c r="AD273" s="216"/>
      <c r="AE273" s="217"/>
      <c r="AF273" s="216"/>
      <c r="AG273" s="216"/>
      <c r="AH273" s="216"/>
      <c r="AI273" s="217"/>
      <c r="AJ273" s="216"/>
      <c r="AK273" s="216"/>
      <c r="AL273" s="216"/>
      <c r="AM273" s="217"/>
      <c r="AN273" s="216"/>
      <c r="AO273" s="216"/>
      <c r="AP273" s="216"/>
      <c r="AQ273" s="217"/>
      <c r="AR273" s="216"/>
      <c r="AS273" s="216"/>
      <c r="AT273" s="218"/>
      <c r="AU273" s="215"/>
      <c r="AV273" s="215"/>
      <c r="AW273" s="215"/>
      <c r="AX273" s="215"/>
      <c r="AY273" s="215"/>
      <c r="AZ273" s="215"/>
      <c r="BA273" s="215"/>
      <c r="BB273" s="215"/>
      <c r="BC273" s="215"/>
      <c r="BD273" s="215"/>
      <c r="BE273" s="215"/>
      <c r="BF273" s="215"/>
    </row>
    <row r="274" spans="1:58" s="143" customFormat="1">
      <c r="A274" s="210"/>
      <c r="B274" s="211"/>
      <c r="C274" s="140"/>
      <c r="D274" s="210"/>
      <c r="G274" s="212"/>
      <c r="H274" s="212"/>
      <c r="I274" s="213"/>
      <c r="J274" s="212"/>
      <c r="K274" s="214"/>
      <c r="L274" s="159"/>
      <c r="M274" s="215"/>
      <c r="N274" s="216"/>
      <c r="O274" s="217"/>
      <c r="P274" s="216"/>
      <c r="Q274" s="216"/>
      <c r="R274" s="216"/>
      <c r="S274" s="217"/>
      <c r="T274" s="216"/>
      <c r="U274" s="216"/>
      <c r="V274" s="216"/>
      <c r="W274" s="217"/>
      <c r="X274" s="216"/>
      <c r="Y274" s="216"/>
      <c r="Z274" s="216"/>
      <c r="AA274" s="217"/>
      <c r="AB274" s="216"/>
      <c r="AC274" s="216"/>
      <c r="AD274" s="216"/>
      <c r="AE274" s="217"/>
      <c r="AF274" s="216"/>
      <c r="AG274" s="216"/>
      <c r="AH274" s="216"/>
      <c r="AI274" s="217"/>
      <c r="AJ274" s="216"/>
      <c r="AK274" s="216"/>
      <c r="AL274" s="216"/>
      <c r="AM274" s="217"/>
      <c r="AN274" s="216"/>
      <c r="AO274" s="216"/>
      <c r="AP274" s="216"/>
      <c r="AQ274" s="217"/>
      <c r="AR274" s="216"/>
      <c r="AS274" s="216"/>
      <c r="AT274" s="218"/>
      <c r="AU274" s="215"/>
      <c r="AV274" s="215"/>
      <c r="AW274" s="215"/>
      <c r="AX274" s="215"/>
      <c r="AY274" s="215"/>
      <c r="AZ274" s="215"/>
      <c r="BA274" s="215"/>
      <c r="BB274" s="215"/>
      <c r="BC274" s="215"/>
      <c r="BD274" s="215"/>
      <c r="BE274" s="215"/>
      <c r="BF274" s="215"/>
    </row>
    <row r="275" spans="1:58" s="143" customFormat="1">
      <c r="A275" s="210"/>
      <c r="B275" s="211"/>
      <c r="C275" s="140"/>
      <c r="D275" s="210"/>
      <c r="G275" s="212"/>
      <c r="H275" s="212"/>
      <c r="I275" s="213"/>
      <c r="J275" s="212"/>
      <c r="K275" s="214"/>
      <c r="L275" s="159"/>
      <c r="M275" s="215"/>
      <c r="N275" s="216"/>
      <c r="O275" s="217"/>
      <c r="P275" s="216"/>
      <c r="Q275" s="216"/>
      <c r="R275" s="216"/>
      <c r="S275" s="217"/>
      <c r="T275" s="216"/>
      <c r="U275" s="216"/>
      <c r="V275" s="216"/>
      <c r="W275" s="217"/>
      <c r="X275" s="216"/>
      <c r="Y275" s="216"/>
      <c r="Z275" s="216"/>
      <c r="AA275" s="217"/>
      <c r="AB275" s="216"/>
      <c r="AC275" s="216"/>
      <c r="AD275" s="216"/>
      <c r="AE275" s="217"/>
      <c r="AF275" s="216"/>
      <c r="AG275" s="216"/>
      <c r="AH275" s="216"/>
      <c r="AI275" s="217"/>
      <c r="AJ275" s="216"/>
      <c r="AK275" s="216"/>
      <c r="AL275" s="216"/>
      <c r="AM275" s="217"/>
      <c r="AN275" s="216"/>
      <c r="AO275" s="216"/>
      <c r="AP275" s="216"/>
      <c r="AQ275" s="217"/>
      <c r="AR275" s="216"/>
      <c r="AS275" s="216"/>
      <c r="AT275" s="218"/>
      <c r="AU275" s="215"/>
      <c r="AV275" s="215"/>
      <c r="AW275" s="215"/>
      <c r="AX275" s="215"/>
      <c r="AY275" s="215"/>
      <c r="AZ275" s="215"/>
      <c r="BA275" s="215"/>
      <c r="BB275" s="215"/>
      <c r="BC275" s="215"/>
      <c r="BD275" s="215"/>
      <c r="BE275" s="215"/>
      <c r="BF275" s="215"/>
    </row>
    <row r="276" spans="1:58" s="143" customFormat="1">
      <c r="A276" s="210"/>
      <c r="B276" s="211"/>
      <c r="C276" s="140"/>
      <c r="D276" s="210"/>
      <c r="G276" s="212"/>
      <c r="H276" s="212"/>
      <c r="I276" s="213"/>
      <c r="J276" s="212"/>
      <c r="K276" s="214"/>
      <c r="L276" s="159"/>
      <c r="M276" s="215"/>
      <c r="N276" s="216"/>
      <c r="O276" s="217"/>
      <c r="P276" s="216"/>
      <c r="Q276" s="216"/>
      <c r="R276" s="216"/>
      <c r="S276" s="217"/>
      <c r="T276" s="216"/>
      <c r="U276" s="216"/>
      <c r="V276" s="216"/>
      <c r="W276" s="217"/>
      <c r="X276" s="216"/>
      <c r="Y276" s="216"/>
      <c r="Z276" s="216"/>
      <c r="AA276" s="217"/>
      <c r="AB276" s="216"/>
      <c r="AC276" s="216"/>
      <c r="AD276" s="216"/>
      <c r="AE276" s="217"/>
      <c r="AF276" s="216"/>
      <c r="AG276" s="216"/>
      <c r="AH276" s="216"/>
      <c r="AI276" s="217"/>
      <c r="AJ276" s="216"/>
      <c r="AK276" s="216"/>
      <c r="AL276" s="216"/>
      <c r="AM276" s="217"/>
      <c r="AN276" s="216"/>
      <c r="AO276" s="216"/>
      <c r="AP276" s="216"/>
      <c r="AQ276" s="217"/>
      <c r="AR276" s="216"/>
      <c r="AS276" s="216"/>
      <c r="AT276" s="218"/>
      <c r="AU276" s="215"/>
      <c r="AV276" s="215"/>
      <c r="AW276" s="215"/>
      <c r="AX276" s="215"/>
      <c r="AY276" s="215"/>
      <c r="AZ276" s="215"/>
      <c r="BA276" s="215"/>
      <c r="BB276" s="215"/>
      <c r="BC276" s="215"/>
      <c r="BD276" s="215"/>
      <c r="BE276" s="215"/>
      <c r="BF276" s="215"/>
    </row>
    <row r="277" spans="1:58" s="143" customFormat="1">
      <c r="A277" s="210"/>
      <c r="B277" s="211"/>
      <c r="C277" s="140"/>
      <c r="D277" s="210"/>
      <c r="G277" s="212"/>
      <c r="H277" s="212"/>
      <c r="I277" s="213"/>
      <c r="J277" s="212"/>
      <c r="K277" s="214"/>
      <c r="L277" s="159"/>
      <c r="M277" s="215"/>
      <c r="N277" s="216"/>
      <c r="O277" s="217"/>
      <c r="P277" s="216"/>
      <c r="Q277" s="216"/>
      <c r="R277" s="216"/>
      <c r="S277" s="217"/>
      <c r="T277" s="216"/>
      <c r="U277" s="216"/>
      <c r="V277" s="216"/>
      <c r="W277" s="217"/>
      <c r="X277" s="216"/>
      <c r="Y277" s="216"/>
      <c r="Z277" s="216"/>
      <c r="AA277" s="217"/>
      <c r="AB277" s="216"/>
      <c r="AC277" s="216"/>
      <c r="AD277" s="216"/>
      <c r="AE277" s="217"/>
      <c r="AF277" s="216"/>
      <c r="AG277" s="216"/>
      <c r="AH277" s="216"/>
      <c r="AI277" s="217"/>
      <c r="AJ277" s="216"/>
      <c r="AK277" s="216"/>
      <c r="AL277" s="216"/>
      <c r="AM277" s="217"/>
      <c r="AN277" s="216"/>
      <c r="AO277" s="216"/>
      <c r="AP277" s="216"/>
      <c r="AQ277" s="217"/>
      <c r="AR277" s="216"/>
      <c r="AS277" s="216"/>
      <c r="AT277" s="218"/>
      <c r="AU277" s="215"/>
      <c r="AV277" s="215"/>
      <c r="AW277" s="215"/>
      <c r="AX277" s="215"/>
      <c r="AY277" s="215"/>
      <c r="AZ277" s="215"/>
      <c r="BA277" s="215"/>
      <c r="BB277" s="215"/>
      <c r="BC277" s="215"/>
      <c r="BD277" s="215"/>
      <c r="BE277" s="215"/>
      <c r="BF277" s="215"/>
    </row>
  </sheetData>
  <mergeCells count="9">
    <mergeCell ref="I4:I5"/>
    <mergeCell ref="A2:B2"/>
    <mergeCell ref="A3:B3"/>
    <mergeCell ref="E4:H4"/>
    <mergeCell ref="E5:F5"/>
    <mergeCell ref="G5:H5"/>
    <mergeCell ref="A4:A5"/>
    <mergeCell ref="B4:B5"/>
    <mergeCell ref="D4:D5"/>
  </mergeCells>
  <pageMargins left="0.70866141732283505" right="0.70866141732283505" top="0.74803149606299202" bottom="1.5354330708661399" header="0.31496062992126" footer="0.31496062992126"/>
  <pageSetup paperSize="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M17"/>
  <sheetViews>
    <sheetView workbookViewId="0">
      <selection activeCell="C12" sqref="C12"/>
    </sheetView>
  </sheetViews>
  <sheetFormatPr defaultColWidth="9" defaultRowHeight="15"/>
  <cols>
    <col min="1" max="1" width="4" customWidth="1"/>
    <col min="2" max="2" width="12.28515625" customWidth="1"/>
    <col min="3" max="3" width="26.285156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5" spans="1:13" s="49" customFormat="1">
      <c r="A5" s="1049" t="s">
        <v>439</v>
      </c>
      <c r="B5" s="1052" t="s">
        <v>676</v>
      </c>
      <c r="C5" s="1052" t="s">
        <v>207</v>
      </c>
      <c r="D5" s="1046" t="s">
        <v>933</v>
      </c>
      <c r="E5" s="1047"/>
      <c r="F5" s="1048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>
      <c r="A6" s="1050"/>
      <c r="B6" s="1053"/>
      <c r="C6" s="1053"/>
      <c r="D6" s="1055" t="s">
        <v>937</v>
      </c>
      <c r="E6" s="1046" t="s">
        <v>924</v>
      </c>
      <c r="F6" s="1048"/>
      <c r="G6" s="1055" t="s">
        <v>937</v>
      </c>
      <c r="H6" s="1046" t="s">
        <v>924</v>
      </c>
      <c r="I6" s="1048"/>
      <c r="J6" s="1057"/>
      <c r="K6" s="1060"/>
      <c r="L6" s="1061"/>
      <c r="M6" s="1057"/>
    </row>
    <row r="7" spans="1:13" s="49" customFormat="1">
      <c r="A7" s="1051"/>
      <c r="B7" s="1054"/>
      <c r="C7" s="1054"/>
      <c r="D7" s="1056"/>
      <c r="E7" s="56" t="s">
        <v>923</v>
      </c>
      <c r="F7" s="56" t="s">
        <v>679</v>
      </c>
      <c r="G7" s="1056"/>
      <c r="H7" s="56" t="s">
        <v>923</v>
      </c>
      <c r="I7" s="56" t="s">
        <v>679</v>
      </c>
      <c r="J7" s="1056"/>
      <c r="K7" s="60" t="s">
        <v>938</v>
      </c>
      <c r="L7" s="60" t="s">
        <v>939</v>
      </c>
      <c r="M7" s="1056"/>
    </row>
    <row r="8" spans="1:13" s="50" customFormat="1">
      <c r="A8" s="136">
        <v>1</v>
      </c>
      <c r="B8" s="137">
        <v>45627</v>
      </c>
      <c r="C8" s="25" t="s">
        <v>940</v>
      </c>
      <c r="D8" s="64">
        <v>100</v>
      </c>
      <c r="E8" s="62">
        <v>16500</v>
      </c>
      <c r="F8" s="63">
        <f>SUM(D8*E8)</f>
        <v>1650000</v>
      </c>
      <c r="G8" s="64">
        <v>80</v>
      </c>
      <c r="H8" s="62">
        <v>18500</v>
      </c>
      <c r="I8" s="63">
        <f>SUM(G8*H8)</f>
        <v>1480000</v>
      </c>
      <c r="J8" s="63">
        <f>SUM(G8*H8)-(G8*E8)</f>
        <v>160000</v>
      </c>
      <c r="K8" s="63">
        <f>SUM(J8*50%)</f>
        <v>80000</v>
      </c>
      <c r="L8" s="63">
        <f>SUM(J8*50%)</f>
        <v>80000</v>
      </c>
      <c r="M8" s="63">
        <f>SUM(D8-G8)</f>
        <v>20</v>
      </c>
    </row>
    <row r="9" spans="1:13">
      <c r="A9" s="65"/>
      <c r="B9" s="65"/>
      <c r="C9" s="65"/>
      <c r="D9" s="64"/>
      <c r="E9" s="66"/>
      <c r="F9" s="66"/>
      <c r="G9" s="64"/>
      <c r="H9" s="66"/>
      <c r="I9" s="66"/>
      <c r="J9" s="66"/>
      <c r="K9" s="66"/>
      <c r="L9" s="66"/>
      <c r="M9" s="66"/>
    </row>
    <row r="10" spans="1:13">
      <c r="A10" s="65"/>
      <c r="B10" s="65"/>
      <c r="C10" s="65"/>
      <c r="D10" s="64"/>
      <c r="E10" s="66"/>
      <c r="F10" s="66"/>
      <c r="G10" s="64"/>
      <c r="H10" s="66"/>
      <c r="I10" s="66"/>
      <c r="J10" s="66"/>
      <c r="K10" s="66"/>
      <c r="L10" s="66"/>
      <c r="M10" s="66"/>
    </row>
    <row r="11" spans="1:13">
      <c r="A11" s="65"/>
      <c r="B11" s="65"/>
      <c r="C11" s="65"/>
      <c r="D11" s="64"/>
      <c r="E11" s="66"/>
      <c r="F11" s="66"/>
      <c r="G11" s="64"/>
      <c r="H11" s="66"/>
      <c r="I11" s="66"/>
      <c r="J11" s="66"/>
      <c r="K11" s="66"/>
      <c r="L11" s="66"/>
      <c r="M11" s="66"/>
    </row>
    <row r="12" spans="1:13">
      <c r="A12" s="65"/>
      <c r="B12" s="65"/>
      <c r="C12" s="65"/>
      <c r="D12" s="64"/>
      <c r="E12" s="66"/>
      <c r="F12" s="66"/>
      <c r="G12" s="64"/>
      <c r="H12" s="66"/>
      <c r="I12" s="66"/>
      <c r="J12" s="66"/>
      <c r="K12" s="66"/>
      <c r="L12" s="66"/>
      <c r="M12" s="66"/>
    </row>
    <row r="13" spans="1:13">
      <c r="A13" s="65"/>
      <c r="B13" s="65"/>
      <c r="C13" s="65"/>
      <c r="D13" s="64"/>
      <c r="E13" s="66"/>
      <c r="F13" s="66"/>
      <c r="G13" s="64"/>
      <c r="H13" s="66"/>
      <c r="I13" s="66"/>
      <c r="J13" s="66"/>
      <c r="K13" s="66"/>
      <c r="L13" s="66"/>
      <c r="M13" s="66"/>
    </row>
    <row r="14" spans="1:13">
      <c r="A14" s="65"/>
      <c r="B14" s="65"/>
      <c r="C14" s="65"/>
      <c r="D14" s="64"/>
      <c r="E14" s="66"/>
      <c r="F14" s="66"/>
      <c r="G14" s="64"/>
      <c r="H14" s="66"/>
      <c r="I14" s="66"/>
      <c r="J14" s="66"/>
      <c r="K14" s="66"/>
      <c r="L14" s="66"/>
      <c r="M14" s="66"/>
    </row>
    <row r="15" spans="1:13">
      <c r="A15" s="65"/>
      <c r="B15" s="65"/>
      <c r="C15" s="65"/>
      <c r="D15" s="64"/>
      <c r="E15" s="66"/>
      <c r="F15" s="66"/>
      <c r="G15" s="64"/>
      <c r="H15" s="66"/>
      <c r="I15" s="66"/>
      <c r="J15" s="66"/>
      <c r="K15" s="66"/>
      <c r="L15" s="66"/>
      <c r="M15" s="66"/>
    </row>
    <row r="16" spans="1:13">
      <c r="A16" s="65"/>
      <c r="B16" s="65"/>
      <c r="C16" s="65"/>
      <c r="D16" s="64"/>
      <c r="E16" s="66"/>
      <c r="F16" s="66"/>
      <c r="G16" s="64"/>
      <c r="H16" s="66"/>
      <c r="I16" s="66"/>
      <c r="J16" s="66"/>
      <c r="K16" s="66"/>
      <c r="L16" s="66"/>
      <c r="M16" s="66"/>
    </row>
    <row r="17" spans="1:13" s="51" customFormat="1">
      <c r="A17" s="138"/>
      <c r="B17" s="138"/>
      <c r="C17" s="138"/>
      <c r="D17" s="56">
        <f>SUM(D8:D16)</f>
        <v>100</v>
      </c>
      <c r="E17" s="56">
        <f t="shared" ref="E17:M17" si="0">SUM(E8:E16)</f>
        <v>16500</v>
      </c>
      <c r="F17" s="56">
        <f t="shared" si="0"/>
        <v>1650000</v>
      </c>
      <c r="G17" s="56">
        <f t="shared" si="0"/>
        <v>80</v>
      </c>
      <c r="H17" s="56">
        <f t="shared" si="0"/>
        <v>18500</v>
      </c>
      <c r="I17" s="56">
        <f t="shared" si="0"/>
        <v>1480000</v>
      </c>
      <c r="J17" s="56">
        <f t="shared" si="0"/>
        <v>160000</v>
      </c>
      <c r="K17" s="56">
        <f t="shared" si="0"/>
        <v>80000</v>
      </c>
      <c r="L17" s="56">
        <f t="shared" si="0"/>
        <v>80000</v>
      </c>
      <c r="M17" s="56">
        <f t="shared" si="0"/>
        <v>20</v>
      </c>
    </row>
  </sheetData>
  <mergeCells count="12">
    <mergeCell ref="J5:J7"/>
    <mergeCell ref="M5:M7"/>
    <mergeCell ref="K5:L6"/>
    <mergeCell ref="D5:F5"/>
    <mergeCell ref="G5:I5"/>
    <mergeCell ref="E6:F6"/>
    <mergeCell ref="H6:I6"/>
    <mergeCell ref="A5:A7"/>
    <mergeCell ref="B5:B7"/>
    <mergeCell ref="C5:C7"/>
    <mergeCell ref="D6:D7"/>
    <mergeCell ref="G6:G7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view="pageBreakPreview" zoomScale="110" zoomScaleNormal="120" zoomScalePageLayoutView="110" workbookViewId="0">
      <selection activeCell="A13" sqref="A13:H13"/>
    </sheetView>
  </sheetViews>
  <sheetFormatPr defaultColWidth="8.7109375" defaultRowHeight="15"/>
  <cols>
    <col min="1" max="1" width="8.28515625" style="120" customWidth="1"/>
    <col min="2" max="2" width="15.7109375" style="120" customWidth="1"/>
    <col min="3" max="3" width="14.42578125" style="120" customWidth="1"/>
    <col min="4" max="4" width="13.85546875" style="120" customWidth="1"/>
    <col min="5" max="7" width="12.7109375" style="120" customWidth="1"/>
    <col min="8" max="8" width="13.42578125" style="120" customWidth="1"/>
    <col min="9" max="16384" width="8.7109375" style="120"/>
  </cols>
  <sheetData>
    <row r="1" spans="1:11" ht="18.75">
      <c r="A1" s="1062" t="s">
        <v>0</v>
      </c>
      <c r="B1" s="1062"/>
      <c r="C1" s="1062"/>
      <c r="D1" s="1062"/>
      <c r="E1" s="1062"/>
      <c r="F1" s="1062"/>
      <c r="G1" s="1062"/>
      <c r="H1" s="1062"/>
    </row>
    <row r="2" spans="1:11" ht="18.75">
      <c r="A2" s="1062" t="s">
        <v>941</v>
      </c>
      <c r="B2" s="1062"/>
      <c r="C2" s="1062"/>
      <c r="D2" s="1062"/>
      <c r="E2" s="1062"/>
      <c r="F2" s="1062"/>
      <c r="G2" s="1062"/>
      <c r="H2" s="1062"/>
    </row>
    <row r="3" spans="1:11">
      <c r="A3" s="121"/>
      <c r="B3" s="121"/>
      <c r="C3" s="121"/>
      <c r="D3" s="121"/>
      <c r="E3" s="121"/>
      <c r="F3" s="121"/>
      <c r="G3" s="121"/>
      <c r="H3" s="121"/>
    </row>
    <row r="4" spans="1:11" ht="21" customHeight="1">
      <c r="A4" s="1063" t="s">
        <v>942</v>
      </c>
      <c r="B4" s="1070" t="s">
        <v>943</v>
      </c>
      <c r="C4" s="1063" t="s">
        <v>209</v>
      </c>
      <c r="D4" s="1063" t="s">
        <v>944</v>
      </c>
      <c r="E4" s="1063" t="s">
        <v>945</v>
      </c>
      <c r="F4" s="1063"/>
      <c r="G4" s="1063"/>
      <c r="H4" s="1063"/>
    </row>
    <row r="5" spans="1:11">
      <c r="A5" s="1063"/>
      <c r="B5" s="1070"/>
      <c r="C5" s="1063"/>
      <c r="D5" s="1063"/>
      <c r="E5" s="1064" t="s">
        <v>946</v>
      </c>
      <c r="F5" s="1064"/>
      <c r="G5" s="1064"/>
      <c r="H5" s="122" t="s">
        <v>947</v>
      </c>
    </row>
    <row r="6" spans="1:11" ht="21" customHeight="1">
      <c r="A6" s="123">
        <v>1</v>
      </c>
      <c r="B6" s="124">
        <v>12900000</v>
      </c>
      <c r="C6" s="124">
        <f>'[54]mesin bor'!$G$30</f>
        <v>8202000</v>
      </c>
      <c r="D6" s="124">
        <f>B6-C6</f>
        <v>4698000</v>
      </c>
      <c r="E6" s="124">
        <v>428910</v>
      </c>
      <c r="F6" s="124">
        <v>428910</v>
      </c>
      <c r="G6" s="124">
        <v>706440</v>
      </c>
      <c r="H6" s="124">
        <f>958740+C32</f>
        <v>3133740</v>
      </c>
      <c r="I6" s="125">
        <f>E6+F6+G6</f>
        <v>1564260</v>
      </c>
    </row>
    <row r="7" spans="1:11" ht="21" customHeight="1">
      <c r="A7" s="123">
        <f>A6+1</f>
        <v>2</v>
      </c>
      <c r="B7" s="124">
        <v>12900000</v>
      </c>
      <c r="C7" s="124">
        <f>'[54]titik kedua'!$G$20</f>
        <v>5983000</v>
      </c>
      <c r="D7" s="124">
        <f>B7-C7</f>
        <v>6917000</v>
      </c>
      <c r="E7" s="124">
        <f>D7*17%</f>
        <v>1175890</v>
      </c>
      <c r="F7" s="124">
        <f>D7*17%</f>
        <v>1175890</v>
      </c>
      <c r="G7" s="124">
        <f>D7*28%</f>
        <v>1936760.0000000002</v>
      </c>
      <c r="H7" s="124">
        <f>D7*38%</f>
        <v>2628460</v>
      </c>
      <c r="I7" s="126">
        <f>E7+F7+G7</f>
        <v>4288540</v>
      </c>
    </row>
    <row r="8" spans="1:11" ht="21" customHeight="1">
      <c r="A8" s="123" t="s">
        <v>948</v>
      </c>
      <c r="B8" s="124">
        <v>25800000</v>
      </c>
      <c r="C8" s="124">
        <f>'[54]titik ketiga &amp; keempat'!$G$31</f>
        <v>17610500</v>
      </c>
      <c r="D8" s="124">
        <f>B8-C8</f>
        <v>8189500</v>
      </c>
      <c r="E8" s="1065">
        <v>5000000</v>
      </c>
      <c r="F8" s="1065"/>
      <c r="G8" s="1065"/>
      <c r="H8" s="124">
        <f>D8-E8</f>
        <v>3189500</v>
      </c>
      <c r="J8" s="126">
        <v>5000000</v>
      </c>
      <c r="K8" s="126">
        <f>D8-5000000</f>
        <v>3189500</v>
      </c>
    </row>
    <row r="9" spans="1:11" ht="21" customHeight="1">
      <c r="A9" s="127"/>
      <c r="B9" s="124"/>
      <c r="C9" s="124"/>
      <c r="D9" s="124"/>
      <c r="E9" s="124"/>
      <c r="F9" s="124"/>
      <c r="G9" s="124"/>
      <c r="H9" s="124"/>
      <c r="J9" s="126"/>
    </row>
    <row r="10" spans="1:11" ht="21" customHeight="1">
      <c r="A10" s="127"/>
      <c r="B10" s="124"/>
      <c r="C10" s="124"/>
      <c r="D10" s="124"/>
      <c r="E10" s="124"/>
      <c r="F10" s="124"/>
      <c r="G10" s="124"/>
      <c r="H10" s="124"/>
    </row>
    <row r="11" spans="1:11" ht="15.75">
      <c r="A11" s="128" t="s">
        <v>670</v>
      </c>
      <c r="B11" s="124">
        <f>SUM(B6:B10)</f>
        <v>51600000</v>
      </c>
      <c r="C11" s="124">
        <f>SUM(C6:C10)</f>
        <v>31795500</v>
      </c>
      <c r="D11" s="124">
        <f>SUM(D6:D10)</f>
        <v>19804500</v>
      </c>
      <c r="E11" s="1066">
        <f>E6+F6+G6+E7+F7+G7+E8</f>
        <v>10852800</v>
      </c>
      <c r="F11" s="1066"/>
      <c r="G11" s="1066"/>
      <c r="H11" s="124">
        <f>SUM(H6:H10)</f>
        <v>8951700</v>
      </c>
      <c r="J11" s="126">
        <f>H6-C32</f>
        <v>958740</v>
      </c>
    </row>
    <row r="12" spans="1:11">
      <c r="G12" s="126"/>
    </row>
    <row r="13" spans="1:11">
      <c r="A13" s="1067" t="s">
        <v>113</v>
      </c>
      <c r="B13" s="1067"/>
      <c r="C13" s="1067"/>
      <c r="D13" s="1067"/>
      <c r="E13" s="1067"/>
      <c r="F13" s="1067"/>
      <c r="G13" s="1067"/>
      <c r="H13" s="1067"/>
    </row>
    <row r="14" spans="1:11">
      <c r="A14" s="1067" t="s">
        <v>949</v>
      </c>
      <c r="B14" s="1067"/>
      <c r="C14" s="1067"/>
      <c r="D14" s="1067"/>
      <c r="E14" s="1067"/>
      <c r="F14" s="1067"/>
      <c r="G14" s="1067"/>
      <c r="H14" s="1067"/>
    </row>
    <row r="15" spans="1:11">
      <c r="A15" s="130"/>
      <c r="B15" s="129"/>
      <c r="C15" s="130"/>
      <c r="D15" s="130"/>
      <c r="E15" s="130"/>
      <c r="F15" s="131"/>
    </row>
    <row r="16" spans="1:11">
      <c r="A16" s="1068" t="s">
        <v>428</v>
      </c>
      <c r="B16" s="1068"/>
      <c r="C16" s="1068"/>
      <c r="D16" s="130"/>
      <c r="E16" s="130"/>
      <c r="F16" s="1068" t="s">
        <v>429</v>
      </c>
      <c r="G16" s="1068"/>
      <c r="H16" s="1068"/>
    </row>
    <row r="17" spans="1:8">
      <c r="A17" s="1068" t="s">
        <v>115</v>
      </c>
      <c r="B17" s="1068"/>
      <c r="C17" s="1068"/>
      <c r="F17" s="1068" t="s">
        <v>661</v>
      </c>
      <c r="G17" s="1068"/>
      <c r="H17" s="1068"/>
    </row>
    <row r="18" spans="1:8">
      <c r="A18" s="130"/>
      <c r="B18" s="130"/>
      <c r="C18" s="130"/>
      <c r="D18" s="130"/>
      <c r="E18" s="130"/>
      <c r="F18" s="130"/>
    </row>
    <row r="19" spans="1:8">
      <c r="A19" s="130"/>
      <c r="B19" s="130"/>
      <c r="C19" s="130"/>
      <c r="D19" s="130"/>
      <c r="E19" s="130"/>
      <c r="F19" s="130"/>
    </row>
    <row r="20" spans="1:8">
      <c r="A20" s="130"/>
      <c r="B20" s="130"/>
      <c r="C20" s="130"/>
      <c r="D20" s="130"/>
      <c r="E20" s="132"/>
      <c r="F20" s="130"/>
    </row>
    <row r="21" spans="1:8">
      <c r="A21" s="1069" t="s">
        <v>117</v>
      </c>
      <c r="B21" s="1069"/>
      <c r="C21" s="1069"/>
      <c r="E21" s="133"/>
      <c r="F21" s="1069" t="s">
        <v>118</v>
      </c>
      <c r="G21" s="1069"/>
      <c r="H21" s="1069"/>
    </row>
    <row r="27" spans="1:8">
      <c r="B27" s="134" t="s">
        <v>950</v>
      </c>
    </row>
    <row r="28" spans="1:8">
      <c r="A28" s="120">
        <v>1</v>
      </c>
      <c r="B28" s="120" t="s">
        <v>951</v>
      </c>
      <c r="C28" s="135">
        <v>450000</v>
      </c>
    </row>
    <row r="29" spans="1:8">
      <c r="A29" s="120">
        <v>2</v>
      </c>
      <c r="B29" s="120" t="s">
        <v>952</v>
      </c>
      <c r="C29" s="135">
        <v>275000</v>
      </c>
    </row>
    <row r="30" spans="1:8">
      <c r="A30" s="120">
        <v>3</v>
      </c>
      <c r="B30" s="120" t="s">
        <v>889</v>
      </c>
      <c r="C30" s="135">
        <v>1050000</v>
      </c>
    </row>
    <row r="31" spans="1:8">
      <c r="A31" s="120">
        <v>4</v>
      </c>
      <c r="B31" s="120" t="s">
        <v>953</v>
      </c>
      <c r="C31" s="135">
        <v>400000</v>
      </c>
    </row>
    <row r="32" spans="1:8">
      <c r="B32" s="120" t="s">
        <v>954</v>
      </c>
      <c r="C32" s="126">
        <f>SUM(C28:C31)</f>
        <v>2175000</v>
      </c>
    </row>
  </sheetData>
  <mergeCells count="18">
    <mergeCell ref="A17:C17"/>
    <mergeCell ref="F17:H17"/>
    <mergeCell ref="A21:C21"/>
    <mergeCell ref="F21:H21"/>
    <mergeCell ref="A4:A5"/>
    <mergeCell ref="B4:B5"/>
    <mergeCell ref="C4:C5"/>
    <mergeCell ref="D4:D5"/>
    <mergeCell ref="E11:G11"/>
    <mergeCell ref="A13:H13"/>
    <mergeCell ref="A14:H14"/>
    <mergeCell ref="A16:C16"/>
    <mergeCell ref="F16:H16"/>
    <mergeCell ref="A1:H1"/>
    <mergeCell ref="A2:H2"/>
    <mergeCell ref="E4:H4"/>
    <mergeCell ref="E5:G5"/>
    <mergeCell ref="E8:G8"/>
  </mergeCells>
  <pageMargins left="0.39583333333333298" right="0.75" top="1" bottom="1" header="0.5" footer="0.5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workbookViewId="0">
      <selection activeCell="N11" sqref="N11"/>
    </sheetView>
  </sheetViews>
  <sheetFormatPr defaultColWidth="8.7109375" defaultRowHeight="15"/>
  <cols>
    <col min="1" max="1" width="6.85546875" customWidth="1"/>
    <col min="2" max="2" width="22.7109375" customWidth="1"/>
    <col min="5" max="5" width="10.42578125" customWidth="1"/>
    <col min="6" max="6" width="15.5703125" customWidth="1"/>
    <col min="8" max="8" width="7.5703125" customWidth="1"/>
    <col min="9" max="9" width="18.85546875" customWidth="1"/>
    <col min="10" max="10" width="9.85546875" customWidth="1"/>
    <col min="11" max="11" width="7.7109375" customWidth="1"/>
    <col min="13" max="13" width="11.140625" customWidth="1"/>
    <col min="14" max="14" width="15.5703125" customWidth="1"/>
  </cols>
  <sheetData>
    <row r="1" spans="1:14">
      <c r="A1" s="904" t="s">
        <v>0</v>
      </c>
      <c r="B1" s="904"/>
      <c r="C1" s="904"/>
      <c r="D1" s="904"/>
      <c r="E1" s="904"/>
      <c r="F1" s="904"/>
      <c r="G1" s="6"/>
      <c r="H1" s="904" t="s">
        <v>0</v>
      </c>
      <c r="I1" s="904"/>
      <c r="J1" s="904"/>
      <c r="K1" s="904"/>
      <c r="L1" s="904"/>
      <c r="M1" s="904"/>
      <c r="N1" s="904"/>
    </row>
    <row r="2" spans="1:14">
      <c r="A2" s="933" t="s">
        <v>955</v>
      </c>
      <c r="B2" s="933"/>
      <c r="C2" s="933"/>
      <c r="D2" s="933"/>
      <c r="E2" s="933"/>
      <c r="F2" s="933"/>
      <c r="G2" s="6"/>
      <c r="H2" s="933" t="s">
        <v>956</v>
      </c>
      <c r="I2" s="933"/>
      <c r="J2" s="933"/>
      <c r="K2" s="933"/>
      <c r="L2" s="933"/>
      <c r="M2" s="933"/>
      <c r="N2" s="933"/>
    </row>
    <row r="3" spans="1:14">
      <c r="A3" s="1071" t="s">
        <v>203</v>
      </c>
      <c r="B3" s="1071"/>
      <c r="C3" s="1072" t="s">
        <v>122</v>
      </c>
      <c r="D3" s="1072"/>
      <c r="E3" s="1072"/>
      <c r="F3" s="6"/>
      <c r="G3" s="6"/>
      <c r="H3" s="1071" t="s">
        <v>203</v>
      </c>
      <c r="I3" s="1071"/>
      <c r="J3" s="88"/>
      <c r="K3" s="88"/>
      <c r="L3" s="88"/>
      <c r="M3" s="5"/>
      <c r="N3" s="6"/>
    </row>
    <row r="4" spans="1:14">
      <c r="A4" s="1071" t="s">
        <v>123</v>
      </c>
      <c r="B4" s="1071"/>
      <c r="C4" s="5" t="s">
        <v>124</v>
      </c>
      <c r="D4" s="6"/>
      <c r="E4" s="6"/>
      <c r="F4" s="6"/>
      <c r="G4" s="6"/>
      <c r="H4" s="1071" t="s">
        <v>123</v>
      </c>
      <c r="I4" s="1071"/>
      <c r="J4" s="88"/>
      <c r="K4" s="88"/>
      <c r="L4" s="88"/>
      <c r="M4" s="6"/>
      <c r="N4" s="6"/>
    </row>
    <row r="5" spans="1:14">
      <c r="A5" s="1071" t="s">
        <v>125</v>
      </c>
      <c r="B5" s="1071"/>
      <c r="C5" s="5" t="s">
        <v>126</v>
      </c>
      <c r="D5" s="6"/>
      <c r="E5" s="6"/>
      <c r="F5" s="6"/>
      <c r="G5" s="6"/>
      <c r="H5" s="1071" t="s">
        <v>125</v>
      </c>
      <c r="I5" s="1071"/>
      <c r="J5" s="88"/>
      <c r="K5" s="88"/>
      <c r="L5" s="88"/>
      <c r="M5" s="6"/>
      <c r="N5" s="6"/>
    </row>
    <row r="6" spans="1:14" ht="30">
      <c r="A6" s="90" t="s">
        <v>835</v>
      </c>
      <c r="B6" s="90" t="s">
        <v>957</v>
      </c>
      <c r="C6" s="104" t="s">
        <v>958</v>
      </c>
      <c r="D6" s="104" t="s">
        <v>959</v>
      </c>
      <c r="E6" s="104" t="s">
        <v>960</v>
      </c>
      <c r="F6" s="90" t="s">
        <v>961</v>
      </c>
      <c r="G6" s="6"/>
      <c r="H6" s="90" t="s">
        <v>835</v>
      </c>
      <c r="I6" s="90" t="s">
        <v>957</v>
      </c>
      <c r="J6" s="90" t="s">
        <v>206</v>
      </c>
      <c r="K6" s="104" t="s">
        <v>962</v>
      </c>
      <c r="L6" s="90" t="s">
        <v>963</v>
      </c>
      <c r="M6" s="104" t="s">
        <v>964</v>
      </c>
      <c r="N6" s="90" t="s">
        <v>961</v>
      </c>
    </row>
    <row r="7" spans="1:14">
      <c r="A7" s="98">
        <v>1</v>
      </c>
      <c r="B7" s="25" t="s">
        <v>965</v>
      </c>
      <c r="C7" s="113">
        <v>1</v>
      </c>
      <c r="D7" s="106" t="s">
        <v>966</v>
      </c>
      <c r="E7" s="106">
        <v>500000</v>
      </c>
      <c r="F7" s="109">
        <f t="shared" ref="F7:F17" si="0">E7*C7</f>
        <v>500000</v>
      </c>
      <c r="G7" s="6"/>
      <c r="H7" s="91"/>
      <c r="I7" s="91" t="s">
        <v>967</v>
      </c>
      <c r="J7" s="91"/>
      <c r="K7" s="91"/>
      <c r="L7" s="91"/>
      <c r="M7" s="114"/>
      <c r="N7" s="115">
        <f>SUM(F18)</f>
        <v>3050000</v>
      </c>
    </row>
    <row r="8" spans="1:14">
      <c r="A8" s="116">
        <v>2</v>
      </c>
      <c r="B8" s="25" t="s">
        <v>968</v>
      </c>
      <c r="C8" s="108">
        <v>1</v>
      </c>
      <c r="D8" s="106" t="s">
        <v>966</v>
      </c>
      <c r="E8" s="106">
        <v>1000000</v>
      </c>
      <c r="F8" s="109">
        <f t="shared" si="0"/>
        <v>1000000</v>
      </c>
      <c r="G8" s="117"/>
      <c r="H8" s="98">
        <v>1</v>
      </c>
      <c r="I8" s="25" t="s">
        <v>340</v>
      </c>
      <c r="J8" s="877" t="s">
        <v>969</v>
      </c>
      <c r="K8" s="25">
        <v>2</v>
      </c>
      <c r="L8" s="118">
        <v>250000</v>
      </c>
      <c r="M8" s="106">
        <f t="shared" ref="M8:M10" si="1">L8*K8</f>
        <v>500000</v>
      </c>
      <c r="N8" s="109"/>
    </row>
    <row r="9" spans="1:14">
      <c r="A9" s="98">
        <v>3</v>
      </c>
      <c r="B9" s="25" t="s">
        <v>965</v>
      </c>
      <c r="C9" s="108">
        <v>1</v>
      </c>
      <c r="D9" s="106" t="s">
        <v>966</v>
      </c>
      <c r="E9" s="106">
        <v>200000</v>
      </c>
      <c r="F9" s="109">
        <f t="shared" si="0"/>
        <v>200000</v>
      </c>
      <c r="G9" s="6"/>
      <c r="H9" s="116">
        <v>2</v>
      </c>
      <c r="I9" s="25" t="s">
        <v>970</v>
      </c>
      <c r="J9" s="877" t="s">
        <v>971</v>
      </c>
      <c r="K9" s="25">
        <v>6</v>
      </c>
      <c r="L9" s="118">
        <v>250000</v>
      </c>
      <c r="M9" s="106">
        <f t="shared" si="1"/>
        <v>1500000</v>
      </c>
      <c r="N9" s="109"/>
    </row>
    <row r="10" spans="1:14">
      <c r="A10" s="98">
        <v>4</v>
      </c>
      <c r="B10" s="25" t="s">
        <v>972</v>
      </c>
      <c r="C10" s="108">
        <v>1</v>
      </c>
      <c r="D10" s="106" t="s">
        <v>966</v>
      </c>
      <c r="E10" s="106">
        <v>200000</v>
      </c>
      <c r="F10" s="109">
        <f t="shared" si="0"/>
        <v>200000</v>
      </c>
      <c r="G10" s="6"/>
      <c r="H10" s="98">
        <v>3</v>
      </c>
      <c r="I10" s="25" t="s">
        <v>340</v>
      </c>
      <c r="J10" s="878" t="s">
        <v>973</v>
      </c>
      <c r="K10" s="25">
        <v>30</v>
      </c>
      <c r="L10" s="118">
        <v>230000</v>
      </c>
      <c r="M10" s="106">
        <f t="shared" si="1"/>
        <v>6900000</v>
      </c>
      <c r="N10" s="109"/>
    </row>
    <row r="11" spans="1:14">
      <c r="A11" s="98">
        <v>5</v>
      </c>
      <c r="B11" s="25" t="s">
        <v>974</v>
      </c>
      <c r="C11" s="108">
        <v>20</v>
      </c>
      <c r="D11" s="106" t="s">
        <v>975</v>
      </c>
      <c r="E11" s="106">
        <v>10000</v>
      </c>
      <c r="F11" s="109">
        <f t="shared" si="0"/>
        <v>200000</v>
      </c>
      <c r="G11" s="6"/>
      <c r="H11" s="98">
        <v>4</v>
      </c>
      <c r="I11" s="25"/>
      <c r="J11" s="25"/>
      <c r="K11" s="25"/>
      <c r="L11" s="25"/>
      <c r="M11" s="106"/>
      <c r="N11" s="109"/>
    </row>
    <row r="12" spans="1:14">
      <c r="A12" s="98">
        <v>6</v>
      </c>
      <c r="B12" s="25" t="s">
        <v>976</v>
      </c>
      <c r="C12" s="108">
        <v>1</v>
      </c>
      <c r="D12" s="106" t="s">
        <v>966</v>
      </c>
      <c r="E12" s="106">
        <v>250000</v>
      </c>
      <c r="F12" s="109">
        <f t="shared" si="0"/>
        <v>250000</v>
      </c>
      <c r="G12" s="6"/>
      <c r="H12" s="98">
        <v>5</v>
      </c>
      <c r="I12" s="25"/>
      <c r="J12" s="25"/>
      <c r="K12" s="25"/>
      <c r="L12" s="25"/>
      <c r="M12" s="106"/>
      <c r="N12" s="109"/>
    </row>
    <row r="13" spans="1:14">
      <c r="A13" s="98">
        <v>7</v>
      </c>
      <c r="B13" s="25" t="s">
        <v>974</v>
      </c>
      <c r="C13" s="108">
        <v>10</v>
      </c>
      <c r="D13" s="106" t="s">
        <v>975</v>
      </c>
      <c r="E13" s="106">
        <v>10000</v>
      </c>
      <c r="F13" s="109">
        <f t="shared" si="0"/>
        <v>100000</v>
      </c>
      <c r="G13" s="6"/>
      <c r="H13" s="98">
        <v>6</v>
      </c>
      <c r="I13" s="25"/>
      <c r="J13" s="25"/>
      <c r="K13" s="25"/>
      <c r="L13" s="25"/>
      <c r="M13" s="106"/>
      <c r="N13" s="109"/>
    </row>
    <row r="14" spans="1:14">
      <c r="A14" s="98">
        <v>9</v>
      </c>
      <c r="B14" s="25" t="s">
        <v>974</v>
      </c>
      <c r="C14" s="108">
        <v>20</v>
      </c>
      <c r="D14" s="106" t="s">
        <v>975</v>
      </c>
      <c r="E14" s="106">
        <v>10000</v>
      </c>
      <c r="F14" s="109">
        <f t="shared" si="0"/>
        <v>200000</v>
      </c>
      <c r="G14" s="6"/>
      <c r="H14" s="98">
        <v>7</v>
      </c>
      <c r="I14" s="25"/>
      <c r="J14" s="25"/>
      <c r="K14" s="25"/>
      <c r="L14" s="25"/>
      <c r="M14" s="106"/>
      <c r="N14" s="109"/>
    </row>
    <row r="15" spans="1:14">
      <c r="A15" s="98">
        <v>10</v>
      </c>
      <c r="B15" s="25" t="s">
        <v>974</v>
      </c>
      <c r="C15" s="108">
        <v>10</v>
      </c>
      <c r="D15" s="106" t="s">
        <v>975</v>
      </c>
      <c r="E15" s="106">
        <v>10000</v>
      </c>
      <c r="F15" s="109">
        <f t="shared" si="0"/>
        <v>100000</v>
      </c>
      <c r="G15" s="6"/>
      <c r="H15" s="98">
        <v>8</v>
      </c>
      <c r="I15" s="25"/>
      <c r="J15" s="25"/>
      <c r="K15" s="25"/>
      <c r="L15" s="25"/>
      <c r="M15" s="106"/>
      <c r="N15" s="109"/>
    </row>
    <row r="16" spans="1:14">
      <c r="A16" s="98">
        <v>11</v>
      </c>
      <c r="B16" s="25" t="s">
        <v>974</v>
      </c>
      <c r="C16" s="108">
        <v>20</v>
      </c>
      <c r="D16" s="106" t="s">
        <v>975</v>
      </c>
      <c r="E16" s="106">
        <v>10000</v>
      </c>
      <c r="F16" s="109">
        <f t="shared" si="0"/>
        <v>200000</v>
      </c>
      <c r="G16" s="6"/>
      <c r="H16" s="98"/>
      <c r="I16" s="110" t="s">
        <v>111</v>
      </c>
      <c r="J16" s="110"/>
      <c r="K16" s="110"/>
      <c r="L16" s="110"/>
      <c r="M16" s="119">
        <f>SUM(M8:M15)</f>
        <v>8900000</v>
      </c>
      <c r="N16" s="111">
        <f>M16-N7</f>
        <v>5850000</v>
      </c>
    </row>
    <row r="17" spans="1:14">
      <c r="A17" s="98">
        <v>12</v>
      </c>
      <c r="B17" s="25" t="s">
        <v>974</v>
      </c>
      <c r="C17" s="108">
        <v>10</v>
      </c>
      <c r="D17" s="106" t="s">
        <v>977</v>
      </c>
      <c r="E17" s="106">
        <v>10000</v>
      </c>
      <c r="F17" s="109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98"/>
      <c r="B18" s="110" t="s">
        <v>111</v>
      </c>
      <c r="C18" s="110"/>
      <c r="D18" s="110"/>
      <c r="E18" s="110"/>
      <c r="F18" s="111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073" t="s">
        <v>113</v>
      </c>
      <c r="B19" s="1073"/>
      <c r="C19" s="1073"/>
      <c r="D19" s="1073"/>
      <c r="E19" s="1073"/>
      <c r="F19" s="1073"/>
      <c r="G19" s="6"/>
      <c r="H19" s="6"/>
      <c r="I19" s="6"/>
      <c r="J19" s="6"/>
      <c r="K19" s="6"/>
      <c r="L19" s="6"/>
      <c r="M19" s="6"/>
      <c r="N19" s="6"/>
    </row>
    <row r="20" spans="1:14">
      <c r="A20" s="1072" t="s">
        <v>949</v>
      </c>
      <c r="B20" s="1072"/>
      <c r="C20" s="1072"/>
      <c r="D20" s="1072"/>
      <c r="E20" s="1072"/>
      <c r="F20" s="1072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89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89"/>
      <c r="C22" s="6"/>
      <c r="D22" s="1074" t="s">
        <v>978</v>
      </c>
      <c r="E22" s="1074"/>
      <c r="F22" s="1074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89" t="s">
        <v>115</v>
      </c>
      <c r="C23" s="6"/>
      <c r="D23" s="1074" t="s">
        <v>661</v>
      </c>
      <c r="E23" s="1074"/>
      <c r="F23" s="1074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12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81" t="s">
        <v>117</v>
      </c>
      <c r="C27" s="79"/>
      <c r="D27" s="942" t="s">
        <v>118</v>
      </c>
      <c r="E27" s="942"/>
      <c r="F27" s="942"/>
      <c r="G27" s="6"/>
      <c r="H27" s="6"/>
      <c r="I27" s="6"/>
      <c r="J27" s="6"/>
      <c r="K27" s="6"/>
      <c r="L27" s="6"/>
      <c r="M27" s="6"/>
      <c r="N27" s="6"/>
    </row>
  </sheetData>
  <mergeCells count="16">
    <mergeCell ref="A20:F20"/>
    <mergeCell ref="D22:F22"/>
    <mergeCell ref="D23:F23"/>
    <mergeCell ref="D27:F27"/>
    <mergeCell ref="A4:B4"/>
    <mergeCell ref="H4:I4"/>
    <mergeCell ref="A5:B5"/>
    <mergeCell ref="H5:I5"/>
    <mergeCell ref="A19:F19"/>
    <mergeCell ref="A1:F1"/>
    <mergeCell ref="H1:N1"/>
    <mergeCell ref="A2:F2"/>
    <mergeCell ref="H2:N2"/>
    <mergeCell ref="A3:B3"/>
    <mergeCell ref="C3:E3"/>
    <mergeCell ref="H3:I3"/>
  </mergeCells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2"/>
  <sheetViews>
    <sheetView workbookViewId="0">
      <selection activeCell="G17" sqref="G17"/>
    </sheetView>
  </sheetViews>
  <sheetFormatPr defaultColWidth="8.7109375" defaultRowHeight="15"/>
  <cols>
    <col min="1" max="1" width="7" customWidth="1"/>
    <col min="2" max="2" width="38.42578125" customWidth="1"/>
    <col min="5" max="5" width="11.42578125" customWidth="1"/>
    <col min="6" max="6" width="15.5703125" customWidth="1"/>
  </cols>
  <sheetData>
    <row r="2" spans="1:6">
      <c r="A2" s="904" t="s">
        <v>0</v>
      </c>
      <c r="B2" s="904"/>
      <c r="C2" s="904"/>
      <c r="D2" s="904"/>
      <c r="E2" s="904"/>
      <c r="F2" s="904"/>
    </row>
    <row r="3" spans="1:6">
      <c r="A3" s="933" t="s">
        <v>979</v>
      </c>
      <c r="B3" s="933"/>
      <c r="C3" s="933"/>
      <c r="D3" s="933"/>
      <c r="E3" s="933"/>
      <c r="F3" s="933"/>
    </row>
    <row r="4" spans="1:6">
      <c r="A4" s="1071" t="s">
        <v>203</v>
      </c>
      <c r="B4" s="1071"/>
      <c r="C4" s="1072" t="s">
        <v>122</v>
      </c>
      <c r="D4" s="1072"/>
      <c r="E4" s="1072"/>
      <c r="F4" s="6"/>
    </row>
    <row r="5" spans="1:6">
      <c r="A5" s="1071" t="s">
        <v>123</v>
      </c>
      <c r="B5" s="1071"/>
      <c r="C5" s="5" t="s">
        <v>124</v>
      </c>
      <c r="D5" s="6"/>
      <c r="E5" s="6"/>
      <c r="F5" s="6"/>
    </row>
    <row r="6" spans="1:6">
      <c r="A6" s="1071" t="s">
        <v>125</v>
      </c>
      <c r="B6" s="1071"/>
      <c r="C6" s="5" t="s">
        <v>126</v>
      </c>
      <c r="D6" s="6"/>
      <c r="E6" s="6"/>
      <c r="F6" s="6"/>
    </row>
    <row r="7" spans="1:6" ht="30">
      <c r="A7" s="90" t="s">
        <v>835</v>
      </c>
      <c r="B7" s="90" t="s">
        <v>957</v>
      </c>
      <c r="C7" s="104" t="s">
        <v>958</v>
      </c>
      <c r="D7" s="104" t="s">
        <v>959</v>
      </c>
      <c r="E7" s="104" t="s">
        <v>960</v>
      </c>
      <c r="F7" s="90" t="s">
        <v>961</v>
      </c>
    </row>
    <row r="8" spans="1:6">
      <c r="A8" s="98">
        <v>1</v>
      </c>
      <c r="B8" s="25" t="s">
        <v>980</v>
      </c>
      <c r="C8" s="108">
        <v>1</v>
      </c>
      <c r="D8" s="106" t="s">
        <v>966</v>
      </c>
      <c r="E8" s="106">
        <v>415000</v>
      </c>
      <c r="F8" s="109">
        <f>SUM(E8*C8)</f>
        <v>415000</v>
      </c>
    </row>
    <row r="9" spans="1:6">
      <c r="A9" s="98">
        <v>2</v>
      </c>
      <c r="B9" s="25" t="s">
        <v>981</v>
      </c>
      <c r="C9" s="108">
        <v>1</v>
      </c>
      <c r="D9" s="106" t="s">
        <v>982</v>
      </c>
      <c r="E9" s="106">
        <v>100000</v>
      </c>
      <c r="F9" s="109">
        <f>SUM(E9*C9)</f>
        <v>100000</v>
      </c>
    </row>
    <row r="10" spans="1:6">
      <c r="A10" s="98">
        <v>4</v>
      </c>
      <c r="B10" s="25" t="s">
        <v>983</v>
      </c>
      <c r="C10" s="108">
        <v>1</v>
      </c>
      <c r="D10" s="106" t="s">
        <v>966</v>
      </c>
      <c r="E10" s="106">
        <v>200000</v>
      </c>
      <c r="F10" s="109">
        <f>SUM(E10*C10)</f>
        <v>200000</v>
      </c>
    </row>
    <row r="11" spans="1:6">
      <c r="A11" s="98">
        <v>5</v>
      </c>
      <c r="B11" s="25" t="s">
        <v>984</v>
      </c>
      <c r="C11" s="108">
        <v>10</v>
      </c>
      <c r="D11" s="106" t="s">
        <v>975</v>
      </c>
      <c r="E11" s="106">
        <v>6800</v>
      </c>
      <c r="F11" s="109">
        <f>SUM(E11*C11)</f>
        <v>68000</v>
      </c>
    </row>
    <row r="12" spans="1:6">
      <c r="A12" s="98">
        <v>6</v>
      </c>
      <c r="B12" s="25" t="s">
        <v>985</v>
      </c>
      <c r="C12" s="108">
        <v>1</v>
      </c>
      <c r="D12" s="106" t="s">
        <v>966</v>
      </c>
      <c r="E12" s="106">
        <v>100000</v>
      </c>
      <c r="F12" s="109">
        <f>SUM(E12*C12)</f>
        <v>100000</v>
      </c>
    </row>
    <row r="13" spans="1:6">
      <c r="A13" s="98"/>
      <c r="B13" s="110" t="s">
        <v>111</v>
      </c>
      <c r="C13" s="110"/>
      <c r="D13" s="110"/>
      <c r="E13" s="110"/>
      <c r="F13" s="111">
        <f>SUM(F8:F12)</f>
        <v>883000</v>
      </c>
    </row>
    <row r="14" spans="1:6">
      <c r="A14" s="1073" t="s">
        <v>113</v>
      </c>
      <c r="B14" s="1073"/>
      <c r="C14" s="1073"/>
      <c r="D14" s="1073"/>
      <c r="E14" s="1073"/>
      <c r="F14" s="1073"/>
    </row>
    <row r="15" spans="1:6">
      <c r="A15" s="1072" t="s">
        <v>949</v>
      </c>
      <c r="B15" s="1072"/>
      <c r="C15" s="1072"/>
      <c r="D15" s="1072"/>
      <c r="E15" s="1072"/>
      <c r="F15" s="1072"/>
    </row>
    <row r="16" spans="1:6">
      <c r="A16" s="6"/>
      <c r="B16" s="5"/>
      <c r="C16" s="6"/>
      <c r="D16" s="6"/>
      <c r="E16" s="6"/>
      <c r="F16" s="89"/>
    </row>
    <row r="17" spans="1:6">
      <c r="A17" s="6"/>
      <c r="B17" s="89"/>
      <c r="C17" s="6"/>
      <c r="D17" s="1074" t="s">
        <v>978</v>
      </c>
      <c r="E17" s="1074"/>
      <c r="F17" s="1074"/>
    </row>
    <row r="18" spans="1:6">
      <c r="A18" s="6"/>
      <c r="B18" s="89" t="s">
        <v>115</v>
      </c>
      <c r="C18" s="6"/>
      <c r="D18" s="1074" t="s">
        <v>661</v>
      </c>
      <c r="E18" s="1074"/>
      <c r="F18" s="1074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112"/>
      <c r="F21" s="6"/>
    </row>
    <row r="22" spans="1:6">
      <c r="A22" s="6"/>
      <c r="B22" s="81" t="s">
        <v>117</v>
      </c>
      <c r="C22" s="79"/>
      <c r="D22" s="942" t="s">
        <v>118</v>
      </c>
      <c r="E22" s="942"/>
      <c r="F22" s="942"/>
    </row>
  </sheetData>
  <mergeCells count="11">
    <mergeCell ref="D22:F22"/>
    <mergeCell ref="A6:B6"/>
    <mergeCell ref="A14:F14"/>
    <mergeCell ref="A15:F15"/>
    <mergeCell ref="D17:F17"/>
    <mergeCell ref="D18:F18"/>
    <mergeCell ref="A2:F2"/>
    <mergeCell ref="A3:F3"/>
    <mergeCell ref="A4:B4"/>
    <mergeCell ref="C4:E4"/>
    <mergeCell ref="A5:B5"/>
  </mergeCells>
  <pageMargins left="0.75" right="0.75" top="1" bottom="1" header="0.5" footer="0.5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1"/>
  <sheetViews>
    <sheetView workbookViewId="0">
      <selection activeCell="F10" sqref="F10"/>
    </sheetView>
  </sheetViews>
  <sheetFormatPr defaultColWidth="8.7109375" defaultRowHeight="15"/>
  <cols>
    <col min="2" max="2" width="6.42578125" customWidth="1"/>
    <col min="3" max="3" width="19.42578125" customWidth="1"/>
    <col min="4" max="4" width="17" customWidth="1"/>
    <col min="5" max="5" width="15.5703125" customWidth="1"/>
    <col min="6" max="6" width="17.42578125" customWidth="1"/>
  </cols>
  <sheetData>
    <row r="2" spans="2:6">
      <c r="B2" s="933" t="s">
        <v>986</v>
      </c>
      <c r="C2" s="933"/>
      <c r="D2" s="933"/>
      <c r="E2" s="933"/>
      <c r="F2" s="933"/>
    </row>
    <row r="3" spans="2:6">
      <c r="B3" s="933" t="s">
        <v>987</v>
      </c>
      <c r="C3" s="933"/>
      <c r="D3" s="933"/>
      <c r="E3" s="933"/>
      <c r="F3" s="933"/>
    </row>
    <row r="4" spans="2:6">
      <c r="B4" s="933" t="s">
        <v>988</v>
      </c>
      <c r="C4" s="933"/>
      <c r="D4" s="933"/>
      <c r="E4" s="933"/>
      <c r="F4" s="933"/>
    </row>
    <row r="5" spans="2:6">
      <c r="B5" s="1071" t="s">
        <v>989</v>
      </c>
      <c r="C5" s="1071"/>
      <c r="D5" s="1071"/>
      <c r="E5" s="89"/>
      <c r="F5" s="89"/>
    </row>
    <row r="6" spans="2:6">
      <c r="B6" s="1079" t="s">
        <v>439</v>
      </c>
      <c r="C6" s="1079" t="s">
        <v>666</v>
      </c>
      <c r="D6" s="1079" t="s">
        <v>990</v>
      </c>
      <c r="E6" s="1080" t="s">
        <v>111</v>
      </c>
      <c r="F6" s="1081" t="s">
        <v>991</v>
      </c>
    </row>
    <row r="7" spans="2:6" ht="23.1" customHeight="1">
      <c r="B7" s="1079"/>
      <c r="C7" s="1079"/>
      <c r="D7" s="1079"/>
      <c r="E7" s="1080"/>
      <c r="F7" s="1081"/>
    </row>
    <row r="8" spans="2:6" ht="68.099999999999994" customHeight="1">
      <c r="B8" s="95">
        <v>1</v>
      </c>
      <c r="C8" s="96" t="s">
        <v>992</v>
      </c>
      <c r="D8" s="91" t="s">
        <v>993</v>
      </c>
      <c r="E8" s="97">
        <v>1600000</v>
      </c>
      <c r="F8" s="99" t="s">
        <v>5</v>
      </c>
    </row>
    <row r="9" spans="2:6" ht="68.099999999999994" customHeight="1">
      <c r="B9" s="95">
        <v>2</v>
      </c>
      <c r="C9" s="96" t="s">
        <v>994</v>
      </c>
      <c r="D9" s="91" t="s">
        <v>995</v>
      </c>
      <c r="E9" s="97">
        <v>660000</v>
      </c>
      <c r="F9" s="98" t="s">
        <v>7</v>
      </c>
    </row>
    <row r="10" spans="2:6" ht="68.099999999999994" customHeight="1">
      <c r="B10" s="105">
        <v>3</v>
      </c>
      <c r="C10" s="96" t="s">
        <v>996</v>
      </c>
      <c r="D10" s="95" t="s">
        <v>997</v>
      </c>
      <c r="E10" s="106">
        <v>440000</v>
      </c>
      <c r="F10" s="99">
        <v>3</v>
      </c>
    </row>
    <row r="11" spans="2:6" ht="36.950000000000003" customHeight="1">
      <c r="B11" s="1075" t="s">
        <v>111</v>
      </c>
      <c r="C11" s="1075"/>
      <c r="D11" s="1075"/>
      <c r="E11" s="107">
        <f>SUM(E8:E10)</f>
        <v>2700000</v>
      </c>
      <c r="F11" s="99"/>
    </row>
    <row r="12" spans="2:6">
      <c r="B12" s="6"/>
      <c r="C12" s="6"/>
      <c r="D12" s="6"/>
      <c r="E12" s="6"/>
      <c r="F12" s="6"/>
    </row>
    <row r="13" spans="2:6">
      <c r="B13" s="933" t="s">
        <v>427</v>
      </c>
      <c r="C13" s="933"/>
      <c r="D13" s="933"/>
      <c r="E13" s="933"/>
      <c r="F13" s="933"/>
    </row>
    <row r="14" spans="2:6">
      <c r="B14" s="933" t="s">
        <v>113</v>
      </c>
      <c r="C14" s="933"/>
      <c r="D14" s="933"/>
      <c r="E14" s="933"/>
      <c r="F14" s="933"/>
    </row>
    <row r="15" spans="2:6">
      <c r="B15" s="6"/>
      <c r="C15" s="6"/>
      <c r="D15" s="6"/>
      <c r="E15" s="6"/>
      <c r="F15" s="6"/>
    </row>
    <row r="16" spans="2:6">
      <c r="B16" s="6"/>
      <c r="C16" s="6"/>
      <c r="D16" s="89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79"/>
      <c r="E18" s="79"/>
      <c r="F18" s="79"/>
    </row>
    <row r="19" spans="2:6">
      <c r="B19" s="6"/>
      <c r="C19" s="6"/>
      <c r="D19" s="89"/>
      <c r="E19" s="89"/>
      <c r="F19" s="89"/>
    </row>
    <row r="20" spans="2:6">
      <c r="B20" s="942" t="s">
        <v>117</v>
      </c>
      <c r="C20" s="942"/>
      <c r="D20" s="102"/>
      <c r="E20" s="1076" t="s">
        <v>431</v>
      </c>
      <c r="F20" s="1076"/>
    </row>
    <row r="21" spans="2:6">
      <c r="B21" s="1074" t="s">
        <v>345</v>
      </c>
      <c r="C21" s="1077"/>
      <c r="D21" s="103"/>
      <c r="E21" s="1078" t="s">
        <v>433</v>
      </c>
      <c r="F21" s="1078"/>
    </row>
  </sheetData>
  <mergeCells count="16">
    <mergeCell ref="B13:F13"/>
    <mergeCell ref="B14:F14"/>
    <mergeCell ref="B20:C20"/>
    <mergeCell ref="E20:F20"/>
    <mergeCell ref="B21:C21"/>
    <mergeCell ref="E21:F21"/>
    <mergeCell ref="B2:F2"/>
    <mergeCell ref="B3:F3"/>
    <mergeCell ref="B4:F4"/>
    <mergeCell ref="B5:D5"/>
    <mergeCell ref="B11:D11"/>
    <mergeCell ref="B6:B7"/>
    <mergeCell ref="C6:C7"/>
    <mergeCell ref="D6:D7"/>
    <mergeCell ref="E6:E7"/>
    <mergeCell ref="F6:F7"/>
  </mergeCells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23"/>
  <sheetViews>
    <sheetView topLeftCell="A11" workbookViewId="0">
      <selection activeCell="G18" sqref="G18"/>
    </sheetView>
  </sheetViews>
  <sheetFormatPr defaultColWidth="8.7109375" defaultRowHeight="15"/>
  <cols>
    <col min="3" max="3" width="21.140625" customWidth="1"/>
    <col min="4" max="4" width="15.7109375" customWidth="1"/>
    <col min="5" max="5" width="15.42578125" customWidth="1"/>
    <col min="6" max="6" width="19" customWidth="1"/>
  </cols>
  <sheetData>
    <row r="2" spans="2:6">
      <c r="B2" s="933" t="s">
        <v>998</v>
      </c>
      <c r="C2" s="933"/>
      <c r="D2" s="933"/>
      <c r="E2" s="933"/>
      <c r="F2" s="933"/>
    </row>
    <row r="3" spans="2:6">
      <c r="B3" s="933" t="s">
        <v>987</v>
      </c>
      <c r="C3" s="933"/>
      <c r="D3" s="933"/>
      <c r="E3" s="933"/>
      <c r="F3" s="933"/>
    </row>
    <row r="4" spans="2:6">
      <c r="B4" s="933" t="s">
        <v>988</v>
      </c>
      <c r="C4" s="933"/>
      <c r="D4" s="933"/>
      <c r="E4" s="933"/>
      <c r="F4" s="933"/>
    </row>
    <row r="5" spans="2:6">
      <c r="B5" s="1071" t="s">
        <v>999</v>
      </c>
      <c r="C5" s="1071"/>
      <c r="D5" s="1071"/>
      <c r="E5" s="89"/>
      <c r="F5" s="89"/>
    </row>
    <row r="6" spans="2:6">
      <c r="B6" s="1079" t="s">
        <v>835</v>
      </c>
      <c r="C6" s="1079" t="s">
        <v>666</v>
      </c>
      <c r="D6" s="1079" t="s">
        <v>990</v>
      </c>
      <c r="E6" s="1080" t="s">
        <v>111</v>
      </c>
      <c r="F6" s="1084" t="s">
        <v>991</v>
      </c>
    </row>
    <row r="7" spans="2:6" ht="18.95" customHeight="1">
      <c r="B7" s="1079"/>
      <c r="C7" s="1079"/>
      <c r="D7" s="1079"/>
      <c r="E7" s="1080"/>
      <c r="F7" s="1084"/>
    </row>
    <row r="8" spans="2:6" ht="63.95" customHeight="1">
      <c r="B8" s="91">
        <v>1</v>
      </c>
      <c r="C8" s="92" t="s">
        <v>117</v>
      </c>
      <c r="D8" s="91" t="s">
        <v>115</v>
      </c>
      <c r="E8" s="93">
        <v>1600000</v>
      </c>
      <c r="F8" s="94">
        <v>1</v>
      </c>
    </row>
    <row r="9" spans="2:6" ht="63.95" customHeight="1">
      <c r="B9" s="95">
        <v>2</v>
      </c>
      <c r="C9" s="96" t="s">
        <v>1000</v>
      </c>
      <c r="D9" s="91" t="s">
        <v>1001</v>
      </c>
      <c r="E9" s="97">
        <v>1550000</v>
      </c>
      <c r="F9" s="98" t="s">
        <v>7</v>
      </c>
    </row>
    <row r="10" spans="2:6" ht="63.95" customHeight="1">
      <c r="B10" s="95">
        <v>3</v>
      </c>
      <c r="C10" s="96" t="s">
        <v>177</v>
      </c>
      <c r="D10" s="91" t="s">
        <v>116</v>
      </c>
      <c r="E10" s="97">
        <v>1600000</v>
      </c>
      <c r="F10" s="99" t="s">
        <v>23</v>
      </c>
    </row>
    <row r="11" spans="2:6" ht="63.95" customHeight="1">
      <c r="B11" s="95">
        <v>4</v>
      </c>
      <c r="C11" s="96" t="s">
        <v>1002</v>
      </c>
      <c r="D11" s="91" t="s">
        <v>1003</v>
      </c>
      <c r="E11" s="97">
        <v>1550000</v>
      </c>
      <c r="F11" s="98" t="s">
        <v>1004</v>
      </c>
    </row>
    <row r="12" spans="2:6" ht="63.95" customHeight="1">
      <c r="B12" s="95">
        <v>5</v>
      </c>
      <c r="C12" s="96" t="s">
        <v>662</v>
      </c>
      <c r="D12" s="91" t="s">
        <v>1003</v>
      </c>
      <c r="E12" s="97">
        <v>1550000</v>
      </c>
      <c r="F12" s="99">
        <v>5</v>
      </c>
    </row>
    <row r="13" spans="2:6" ht="44.1" customHeight="1">
      <c r="B13" s="1082" t="s">
        <v>111</v>
      </c>
      <c r="C13" s="1083"/>
      <c r="D13" s="1083"/>
      <c r="E13" s="100">
        <f>SUM(E8:E12)</f>
        <v>7850000</v>
      </c>
      <c r="F13" s="101"/>
    </row>
    <row r="14" spans="2:6">
      <c r="B14" s="6"/>
      <c r="C14" s="6"/>
      <c r="D14" s="6"/>
      <c r="E14" s="6"/>
      <c r="F14" s="6"/>
    </row>
    <row r="15" spans="2:6">
      <c r="B15" s="933" t="s">
        <v>427</v>
      </c>
      <c r="C15" s="933"/>
      <c r="D15" s="933"/>
      <c r="E15" s="933"/>
      <c r="F15" s="933"/>
    </row>
    <row r="16" spans="2:6">
      <c r="B16" s="933" t="s">
        <v>113</v>
      </c>
      <c r="C16" s="933"/>
      <c r="D16" s="933"/>
      <c r="E16" s="933"/>
      <c r="F16" s="933"/>
    </row>
    <row r="17" spans="2:6">
      <c r="B17" s="6"/>
      <c r="C17" s="6"/>
      <c r="D17" s="6"/>
      <c r="E17" s="6"/>
      <c r="F17" s="6"/>
    </row>
    <row r="18" spans="2:6">
      <c r="B18" s="6"/>
      <c r="C18" s="6"/>
      <c r="D18" s="89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79"/>
      <c r="E20" s="79"/>
      <c r="F20" s="79"/>
    </row>
    <row r="21" spans="2:6">
      <c r="B21" s="6"/>
      <c r="C21" s="6"/>
      <c r="D21" s="89"/>
      <c r="E21" s="89"/>
      <c r="F21" s="89"/>
    </row>
    <row r="22" spans="2:6">
      <c r="B22" s="942" t="s">
        <v>117</v>
      </c>
      <c r="C22" s="942"/>
      <c r="D22" s="102"/>
      <c r="E22" s="1076" t="s">
        <v>431</v>
      </c>
      <c r="F22" s="1076"/>
    </row>
    <row r="23" spans="2:6">
      <c r="B23" s="1074" t="s">
        <v>345</v>
      </c>
      <c r="C23" s="1077"/>
      <c r="D23" s="103"/>
      <c r="E23" s="1078" t="s">
        <v>433</v>
      </c>
      <c r="F23" s="1078"/>
    </row>
  </sheetData>
  <mergeCells count="16">
    <mergeCell ref="B15:F15"/>
    <mergeCell ref="B16:F16"/>
    <mergeCell ref="B22:C22"/>
    <mergeCell ref="E22:F22"/>
    <mergeCell ref="B23:C23"/>
    <mergeCell ref="E23:F23"/>
    <mergeCell ref="B2:F2"/>
    <mergeCell ref="B3:F3"/>
    <mergeCell ref="B4:F4"/>
    <mergeCell ref="B5:D5"/>
    <mergeCell ref="B13:D13"/>
    <mergeCell ref="B6:B7"/>
    <mergeCell ref="C6:C7"/>
    <mergeCell ref="D6:D7"/>
    <mergeCell ref="E6:E7"/>
    <mergeCell ref="F6:F7"/>
  </mergeCells>
  <pageMargins left="0.75" right="0.75" top="1" bottom="1" header="0.5" footer="0.5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6"/>
  <sheetViews>
    <sheetView view="pageBreakPreview" topLeftCell="A4" zoomScaleNormal="100" workbookViewId="0">
      <selection activeCell="F16" sqref="F16"/>
    </sheetView>
  </sheetViews>
  <sheetFormatPr defaultColWidth="9" defaultRowHeight="15"/>
  <cols>
    <col min="1" max="1" width="4" style="52" customWidth="1"/>
    <col min="2" max="2" width="13.85546875" customWidth="1"/>
    <col min="3" max="3" width="26.285156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1" spans="1:13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>
      <c r="A2" s="933" t="s">
        <v>1006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3">
      <c r="A3" s="933" t="s">
        <v>1007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</row>
    <row r="5" spans="1:13" s="49" customFormat="1" ht="19.5" customHeight="1">
      <c r="A5" s="1049" t="s">
        <v>439</v>
      </c>
      <c r="B5" s="1052" t="s">
        <v>676</v>
      </c>
      <c r="C5" s="1052" t="s">
        <v>207</v>
      </c>
      <c r="D5" s="1046" t="s">
        <v>933</v>
      </c>
      <c r="E5" s="1047"/>
      <c r="F5" s="1048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 ht="19.5" customHeight="1">
      <c r="A6" s="1050"/>
      <c r="B6" s="1053"/>
      <c r="C6" s="1053"/>
      <c r="D6" s="1055" t="s">
        <v>937</v>
      </c>
      <c r="E6" s="1046" t="s">
        <v>924</v>
      </c>
      <c r="F6" s="1048"/>
      <c r="G6" s="1055" t="s">
        <v>937</v>
      </c>
      <c r="H6" s="1046" t="s">
        <v>924</v>
      </c>
      <c r="I6" s="1048"/>
      <c r="J6" s="1057"/>
      <c r="K6" s="1060"/>
      <c r="L6" s="1061"/>
      <c r="M6" s="1057"/>
    </row>
    <row r="7" spans="1:13" s="49" customFormat="1" ht="19.5" customHeight="1">
      <c r="A7" s="1051"/>
      <c r="B7" s="1054"/>
      <c r="C7" s="1054"/>
      <c r="D7" s="1056"/>
      <c r="E7" s="56" t="s">
        <v>923</v>
      </c>
      <c r="F7" s="56" t="s">
        <v>679</v>
      </c>
      <c r="G7" s="1056"/>
      <c r="H7" s="56" t="s">
        <v>923</v>
      </c>
      <c r="I7" s="56" t="s">
        <v>679</v>
      </c>
      <c r="J7" s="1056"/>
      <c r="K7" s="60" t="s">
        <v>1008</v>
      </c>
      <c r="L7" s="60" t="s">
        <v>1009</v>
      </c>
      <c r="M7" s="1056"/>
    </row>
    <row r="8" spans="1:13" s="50" customFormat="1" ht="23.25" customHeight="1">
      <c r="A8" s="61">
        <v>1</v>
      </c>
      <c r="B8" s="1085" t="s">
        <v>1010</v>
      </c>
      <c r="C8" s="25" t="s">
        <v>1011</v>
      </c>
      <c r="D8" s="64">
        <v>5</v>
      </c>
      <c r="E8" s="62">
        <v>370000</v>
      </c>
      <c r="F8" s="63">
        <f>SUM(D8*E8)</f>
        <v>1850000</v>
      </c>
      <c r="G8" s="64">
        <v>5</v>
      </c>
      <c r="H8" s="62">
        <v>420000</v>
      </c>
      <c r="I8" s="63">
        <f>SUM(G8*H8)</f>
        <v>2100000</v>
      </c>
      <c r="J8" s="1088">
        <f>SUM(I16-F16)</f>
        <v>1461000</v>
      </c>
      <c r="K8" s="1088">
        <f>SUM(J8*20%)</f>
        <v>292200</v>
      </c>
      <c r="L8" s="1088">
        <f>SUM(J8*80%)</f>
        <v>1168800</v>
      </c>
      <c r="M8" s="63">
        <v>15</v>
      </c>
    </row>
    <row r="9" spans="1:13" ht="23.25" customHeight="1">
      <c r="A9" s="61">
        <v>2</v>
      </c>
      <c r="B9" s="1086"/>
      <c r="C9" s="65" t="s">
        <v>1012</v>
      </c>
      <c r="D9" s="64">
        <v>13</v>
      </c>
      <c r="E9" s="66">
        <v>360000</v>
      </c>
      <c r="F9" s="63">
        <f t="shared" ref="F9:F15" si="0">SUM(D9*E9)</f>
        <v>4680000</v>
      </c>
      <c r="G9" s="64">
        <v>13</v>
      </c>
      <c r="H9" s="66">
        <v>410000</v>
      </c>
      <c r="I9" s="63">
        <f t="shared" ref="I9:I15" si="1">SUM(G9*H9)</f>
        <v>5330000</v>
      </c>
      <c r="J9" s="1088"/>
      <c r="K9" s="1088"/>
      <c r="L9" s="1088"/>
      <c r="M9" s="66">
        <v>7</v>
      </c>
    </row>
    <row r="10" spans="1:13" ht="23.25" customHeight="1">
      <c r="A10" s="61">
        <v>3</v>
      </c>
      <c r="B10" s="1086"/>
      <c r="C10" s="65" t="s">
        <v>1013</v>
      </c>
      <c r="D10" s="64">
        <v>1</v>
      </c>
      <c r="E10" s="66">
        <v>143000</v>
      </c>
      <c r="F10" s="63">
        <f t="shared" si="0"/>
        <v>143000</v>
      </c>
      <c r="G10" s="64">
        <v>1</v>
      </c>
      <c r="H10" s="66">
        <v>165000</v>
      </c>
      <c r="I10" s="63">
        <f t="shared" si="1"/>
        <v>165000</v>
      </c>
      <c r="J10" s="1088"/>
      <c r="K10" s="1088"/>
      <c r="L10" s="1088"/>
      <c r="M10" s="66">
        <v>19</v>
      </c>
    </row>
    <row r="11" spans="1:13" ht="23.25" customHeight="1">
      <c r="A11" s="61">
        <v>4</v>
      </c>
      <c r="B11" s="1086"/>
      <c r="C11" s="65" t="s">
        <v>1014</v>
      </c>
      <c r="D11" s="64">
        <v>7</v>
      </c>
      <c r="E11" s="66">
        <v>140000</v>
      </c>
      <c r="F11" s="63">
        <f t="shared" si="0"/>
        <v>980000</v>
      </c>
      <c r="G11" s="64">
        <v>7</v>
      </c>
      <c r="H11" s="66">
        <v>160000</v>
      </c>
      <c r="I11" s="63">
        <f t="shared" si="1"/>
        <v>1120000</v>
      </c>
      <c r="J11" s="1088"/>
      <c r="K11" s="1088"/>
      <c r="L11" s="1088"/>
      <c r="M11" s="66">
        <v>13</v>
      </c>
    </row>
    <row r="12" spans="1:13" ht="23.25" customHeight="1">
      <c r="A12" s="61">
        <v>5</v>
      </c>
      <c r="B12" s="1086"/>
      <c r="C12" s="65" t="s">
        <v>1015</v>
      </c>
      <c r="D12" s="64">
        <v>5</v>
      </c>
      <c r="E12" s="66">
        <v>94000</v>
      </c>
      <c r="F12" s="63">
        <f t="shared" si="0"/>
        <v>470000</v>
      </c>
      <c r="G12" s="64">
        <v>5</v>
      </c>
      <c r="H12" s="66">
        <v>110000</v>
      </c>
      <c r="I12" s="63">
        <f t="shared" si="1"/>
        <v>550000</v>
      </c>
      <c r="J12" s="1088"/>
      <c r="K12" s="1088"/>
      <c r="L12" s="1088"/>
      <c r="M12" s="66">
        <v>0</v>
      </c>
    </row>
    <row r="13" spans="1:13" ht="23.25" customHeight="1">
      <c r="A13" s="61">
        <v>6</v>
      </c>
      <c r="B13" s="1086"/>
      <c r="C13" s="65" t="s">
        <v>1016</v>
      </c>
      <c r="D13" s="64">
        <v>5</v>
      </c>
      <c r="E13" s="66">
        <v>180000</v>
      </c>
      <c r="F13" s="63">
        <f t="shared" si="0"/>
        <v>900000</v>
      </c>
      <c r="G13" s="64">
        <v>5</v>
      </c>
      <c r="H13" s="66">
        <v>210000</v>
      </c>
      <c r="I13" s="63">
        <f t="shared" si="1"/>
        <v>1050000</v>
      </c>
      <c r="J13" s="1088"/>
      <c r="K13" s="1088"/>
      <c r="L13" s="1088"/>
      <c r="M13" s="66">
        <v>0</v>
      </c>
    </row>
    <row r="14" spans="1:13" ht="23.25" customHeight="1">
      <c r="A14" s="61">
        <v>7</v>
      </c>
      <c r="B14" s="1086"/>
      <c r="C14" s="65" t="s">
        <v>1017</v>
      </c>
      <c r="D14" s="64">
        <v>5</v>
      </c>
      <c r="E14" s="66">
        <v>160000</v>
      </c>
      <c r="F14" s="63">
        <f t="shared" si="0"/>
        <v>800000</v>
      </c>
      <c r="G14" s="64">
        <v>5</v>
      </c>
      <c r="H14" s="66">
        <v>185000</v>
      </c>
      <c r="I14" s="63">
        <f t="shared" si="1"/>
        <v>925000</v>
      </c>
      <c r="J14" s="1088"/>
      <c r="K14" s="1088"/>
      <c r="L14" s="1088"/>
      <c r="M14" s="66">
        <v>0</v>
      </c>
    </row>
    <row r="15" spans="1:13" ht="23.25" customHeight="1">
      <c r="A15" s="61">
        <v>8</v>
      </c>
      <c r="B15" s="1087"/>
      <c r="C15" s="65" t="s">
        <v>1018</v>
      </c>
      <c r="D15" s="64">
        <v>1</v>
      </c>
      <c r="E15" s="66">
        <v>86000</v>
      </c>
      <c r="F15" s="63">
        <f t="shared" si="0"/>
        <v>86000</v>
      </c>
      <c r="G15" s="64">
        <v>1</v>
      </c>
      <c r="H15" s="66">
        <v>130000</v>
      </c>
      <c r="I15" s="63">
        <f t="shared" si="1"/>
        <v>130000</v>
      </c>
      <c r="J15" s="1088"/>
      <c r="K15" s="1088"/>
      <c r="L15" s="1088"/>
      <c r="M15" s="66">
        <v>19</v>
      </c>
    </row>
    <row r="16" spans="1:13" ht="23.25" customHeight="1">
      <c r="A16" s="61"/>
      <c r="B16" s="65"/>
      <c r="C16" s="65"/>
      <c r="D16" s="64"/>
      <c r="E16" s="66"/>
      <c r="F16" s="66">
        <f>SUM(F8:F15)</f>
        <v>9909000</v>
      </c>
      <c r="G16" s="64"/>
      <c r="H16" s="66"/>
      <c r="I16" s="66">
        <f>SUM(I8:I15)</f>
        <v>11370000</v>
      </c>
      <c r="J16" s="66"/>
      <c r="K16" s="66"/>
      <c r="L16" s="66"/>
      <c r="M16" s="66"/>
    </row>
  </sheetData>
  <mergeCells count="19">
    <mergeCell ref="J8:J15"/>
    <mergeCell ref="K8:K15"/>
    <mergeCell ref="L8:L15"/>
    <mergeCell ref="M5:M7"/>
    <mergeCell ref="K5:L6"/>
    <mergeCell ref="E6:F6"/>
    <mergeCell ref="H6:I6"/>
    <mergeCell ref="A5:A7"/>
    <mergeCell ref="B5:B7"/>
    <mergeCell ref="B8:B15"/>
    <mergeCell ref="C5:C7"/>
    <mergeCell ref="D6:D7"/>
    <mergeCell ref="G6:G7"/>
    <mergeCell ref="A1:M1"/>
    <mergeCell ref="A2:M2"/>
    <mergeCell ref="A3:M3"/>
    <mergeCell ref="D5:F5"/>
    <mergeCell ref="G5:I5"/>
    <mergeCell ref="J5:J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view="pageLayout" topLeftCell="A25" zoomScaleNormal="100" zoomScaleSheetLayoutView="110" workbookViewId="0">
      <selection activeCell="B31" sqref="B31"/>
    </sheetView>
  </sheetViews>
  <sheetFormatPr defaultColWidth="9" defaultRowHeight="15"/>
  <cols>
    <col min="1" max="1" width="4" style="52" customWidth="1"/>
    <col min="2" max="2" width="31.140625" customWidth="1"/>
    <col min="3" max="3" width="10.425781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1" spans="1:13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>
      <c r="A2" s="933" t="s">
        <v>1019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3">
      <c r="A3" s="933" t="s">
        <v>1020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</row>
    <row r="5" spans="1:13" s="49" customFormat="1" ht="19.5" customHeight="1">
      <c r="A5" s="1049" t="s">
        <v>439</v>
      </c>
      <c r="B5" s="1052" t="s">
        <v>207</v>
      </c>
      <c r="C5" s="1089" t="s">
        <v>933</v>
      </c>
      <c r="D5" s="1089"/>
      <c r="E5" s="1089"/>
      <c r="F5" s="1089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 ht="32.1" customHeight="1">
      <c r="A6" s="1051"/>
      <c r="B6" s="1054"/>
      <c r="C6" s="57" t="s">
        <v>959</v>
      </c>
      <c r="D6" s="58" t="s">
        <v>1021</v>
      </c>
      <c r="E6" s="59" t="s">
        <v>924</v>
      </c>
      <c r="F6" s="59" t="s">
        <v>670</v>
      </c>
      <c r="G6" s="59" t="s">
        <v>1021</v>
      </c>
      <c r="H6" s="56" t="s">
        <v>924</v>
      </c>
      <c r="I6" s="56" t="s">
        <v>670</v>
      </c>
      <c r="J6" s="1056"/>
      <c r="K6" s="60" t="s">
        <v>1008</v>
      </c>
      <c r="L6" s="60" t="s">
        <v>1009</v>
      </c>
      <c r="M6" s="1056"/>
    </row>
    <row r="7" spans="1:13" s="50" customFormat="1" ht="23.25" customHeight="1">
      <c r="A7" s="61">
        <v>1</v>
      </c>
      <c r="B7" s="25" t="s">
        <v>1011</v>
      </c>
      <c r="C7" s="25" t="s">
        <v>1022</v>
      </c>
      <c r="D7" s="63">
        <v>15</v>
      </c>
      <c r="E7" s="62">
        <v>370000</v>
      </c>
      <c r="F7" s="63">
        <f t="shared" ref="F7:F14" si="0">SUM(D7*E7)</f>
        <v>5550000</v>
      </c>
      <c r="G7" s="63">
        <v>15</v>
      </c>
      <c r="H7" s="62">
        <v>420000</v>
      </c>
      <c r="I7" s="63">
        <f>SUM(G7*H7)</f>
        <v>6300000</v>
      </c>
      <c r="J7" s="63"/>
      <c r="K7" s="63"/>
      <c r="L7" s="63"/>
      <c r="M7" s="63"/>
    </row>
    <row r="8" spans="1:13" ht="23.25" customHeight="1">
      <c r="A8" s="61">
        <v>2</v>
      </c>
      <c r="B8" s="65" t="s">
        <v>1012</v>
      </c>
      <c r="C8" s="65" t="s">
        <v>1022</v>
      </c>
      <c r="D8" s="66">
        <v>7</v>
      </c>
      <c r="E8" s="66">
        <v>360000</v>
      </c>
      <c r="F8" s="63">
        <f t="shared" si="0"/>
        <v>2520000</v>
      </c>
      <c r="G8" s="66">
        <v>7</v>
      </c>
      <c r="H8" s="66">
        <v>410000</v>
      </c>
      <c r="I8" s="63">
        <f t="shared" ref="I8:I14" si="1">SUM(G8*H8)</f>
        <v>2870000</v>
      </c>
      <c r="J8" s="66"/>
      <c r="K8" s="66"/>
      <c r="L8" s="66"/>
      <c r="M8" s="66"/>
    </row>
    <row r="9" spans="1:13" ht="23.25" customHeight="1">
      <c r="A9" s="61">
        <v>3</v>
      </c>
      <c r="B9" s="65" t="s">
        <v>1013</v>
      </c>
      <c r="C9" s="65" t="s">
        <v>1022</v>
      </c>
      <c r="D9" s="66">
        <v>19</v>
      </c>
      <c r="E9" s="66">
        <v>143000</v>
      </c>
      <c r="F9" s="63">
        <f t="shared" si="0"/>
        <v>2717000</v>
      </c>
      <c r="G9" s="66">
        <v>19</v>
      </c>
      <c r="H9" s="66">
        <v>165000</v>
      </c>
      <c r="I9" s="63">
        <f t="shared" si="1"/>
        <v>3135000</v>
      </c>
      <c r="J9" s="66"/>
      <c r="K9" s="66"/>
      <c r="L9" s="66"/>
      <c r="M9" s="66"/>
    </row>
    <row r="10" spans="1:13" ht="23.25" customHeight="1">
      <c r="A10" s="61">
        <v>4</v>
      </c>
      <c r="B10" s="65" t="s">
        <v>1014</v>
      </c>
      <c r="C10" s="65" t="s">
        <v>1022</v>
      </c>
      <c r="D10" s="66">
        <v>13</v>
      </c>
      <c r="E10" s="66">
        <v>140000</v>
      </c>
      <c r="F10" s="63">
        <f t="shared" si="0"/>
        <v>1820000</v>
      </c>
      <c r="G10" s="66">
        <v>13</v>
      </c>
      <c r="H10" s="66">
        <v>160000</v>
      </c>
      <c r="I10" s="63">
        <f t="shared" si="1"/>
        <v>2080000</v>
      </c>
      <c r="J10" s="66"/>
      <c r="K10" s="66"/>
      <c r="L10" s="66"/>
      <c r="M10" s="66"/>
    </row>
    <row r="11" spans="1:13" ht="23.25" customHeight="1">
      <c r="A11" s="61">
        <v>5</v>
      </c>
      <c r="B11" s="65" t="s">
        <v>1015</v>
      </c>
      <c r="C11" s="65" t="s">
        <v>1022</v>
      </c>
      <c r="D11" s="66">
        <v>0</v>
      </c>
      <c r="E11" s="66">
        <v>94000</v>
      </c>
      <c r="F11" s="63">
        <f t="shared" si="0"/>
        <v>0</v>
      </c>
      <c r="G11" s="66">
        <v>0</v>
      </c>
      <c r="H11" s="66">
        <v>110000</v>
      </c>
      <c r="I11" s="63">
        <f t="shared" si="1"/>
        <v>0</v>
      </c>
      <c r="J11" s="66"/>
      <c r="K11" s="66"/>
      <c r="L11" s="66"/>
      <c r="M11" s="66"/>
    </row>
    <row r="12" spans="1:13" ht="23.25" customHeight="1">
      <c r="A12" s="61">
        <v>6</v>
      </c>
      <c r="B12" s="65" t="s">
        <v>1016</v>
      </c>
      <c r="C12" s="65" t="s">
        <v>1022</v>
      </c>
      <c r="D12" s="66">
        <v>0</v>
      </c>
      <c r="E12" s="66">
        <v>180000</v>
      </c>
      <c r="F12" s="63">
        <f t="shared" si="0"/>
        <v>0</v>
      </c>
      <c r="G12" s="66">
        <v>0</v>
      </c>
      <c r="H12" s="66">
        <v>210000</v>
      </c>
      <c r="I12" s="63">
        <f t="shared" si="1"/>
        <v>0</v>
      </c>
      <c r="J12" s="66"/>
      <c r="K12" s="66"/>
      <c r="L12" s="66"/>
      <c r="M12" s="66"/>
    </row>
    <row r="13" spans="1:13" ht="23.25" customHeight="1">
      <c r="A13" s="61">
        <v>7</v>
      </c>
      <c r="B13" s="65" t="s">
        <v>1017</v>
      </c>
      <c r="C13" s="65" t="s">
        <v>1022</v>
      </c>
      <c r="D13" s="66">
        <v>0</v>
      </c>
      <c r="E13" s="66">
        <v>160000</v>
      </c>
      <c r="F13" s="63">
        <f t="shared" si="0"/>
        <v>0</v>
      </c>
      <c r="G13" s="66">
        <v>0</v>
      </c>
      <c r="H13" s="66">
        <v>185000</v>
      </c>
      <c r="I13" s="63">
        <f t="shared" si="1"/>
        <v>0</v>
      </c>
      <c r="J13" s="66"/>
      <c r="K13" s="66"/>
      <c r="L13" s="66"/>
      <c r="M13" s="66"/>
    </row>
    <row r="14" spans="1:13" ht="23.25" customHeight="1">
      <c r="A14" s="61">
        <v>8</v>
      </c>
      <c r="B14" s="65" t="s">
        <v>1018</v>
      </c>
      <c r="C14" s="65" t="s">
        <v>1023</v>
      </c>
      <c r="D14" s="66">
        <v>380</v>
      </c>
      <c r="E14" s="66">
        <v>4300</v>
      </c>
      <c r="F14" s="63">
        <f t="shared" si="0"/>
        <v>1634000</v>
      </c>
      <c r="G14" s="66">
        <v>19</v>
      </c>
      <c r="H14" s="66">
        <v>130000</v>
      </c>
      <c r="I14" s="63">
        <f t="shared" si="1"/>
        <v>2470000</v>
      </c>
      <c r="J14" s="66"/>
      <c r="K14" s="66"/>
      <c r="L14" s="66"/>
      <c r="M14" s="66"/>
    </row>
    <row r="15" spans="1:13" ht="23.25" customHeight="1">
      <c r="A15" s="61">
        <v>9</v>
      </c>
      <c r="B15" s="87" t="s">
        <v>1024</v>
      </c>
      <c r="C15" s="87" t="s">
        <v>1022</v>
      </c>
      <c r="D15" s="66">
        <v>10</v>
      </c>
      <c r="E15" s="66">
        <v>82000</v>
      </c>
      <c r="F15" s="63">
        <f t="shared" ref="F15:F34" si="2">SUM(D15*E15)</f>
        <v>820000</v>
      </c>
      <c r="G15" s="66"/>
      <c r="H15" s="66"/>
      <c r="I15" s="63">
        <f t="shared" ref="I15:I34" si="3">SUM(G15*H15)</f>
        <v>0</v>
      </c>
      <c r="J15" s="66"/>
      <c r="K15" s="66"/>
      <c r="L15" s="66"/>
      <c r="M15" s="66"/>
    </row>
    <row r="16" spans="1:13" ht="23.25" customHeight="1">
      <c r="A16" s="61">
        <v>10</v>
      </c>
      <c r="B16" s="87" t="s">
        <v>1025</v>
      </c>
      <c r="C16" s="87" t="s">
        <v>1023</v>
      </c>
      <c r="D16" s="66">
        <v>10</v>
      </c>
      <c r="E16" s="66">
        <v>60000</v>
      </c>
      <c r="F16" s="63">
        <f t="shared" si="2"/>
        <v>600000</v>
      </c>
      <c r="G16" s="66"/>
      <c r="H16" s="66"/>
      <c r="I16" s="63">
        <f t="shared" si="3"/>
        <v>0</v>
      </c>
      <c r="J16" s="66"/>
      <c r="K16" s="66"/>
      <c r="L16" s="66"/>
      <c r="M16" s="66"/>
    </row>
    <row r="17" spans="1:13" ht="23.25" customHeight="1">
      <c r="A17" s="61">
        <v>11</v>
      </c>
      <c r="B17" s="87" t="s">
        <v>1026</v>
      </c>
      <c r="C17" s="87" t="s">
        <v>1022</v>
      </c>
      <c r="D17" s="66">
        <v>20</v>
      </c>
      <c r="E17" s="66">
        <v>65000</v>
      </c>
      <c r="F17" s="63">
        <f t="shared" si="2"/>
        <v>1300000</v>
      </c>
      <c r="G17" s="66"/>
      <c r="H17" s="66"/>
      <c r="I17" s="63">
        <f t="shared" si="3"/>
        <v>0</v>
      </c>
      <c r="J17" s="66"/>
      <c r="K17" s="66"/>
      <c r="L17" s="66"/>
      <c r="M17" s="66"/>
    </row>
    <row r="18" spans="1:13" ht="23.25" customHeight="1">
      <c r="A18" s="61">
        <v>12</v>
      </c>
      <c r="B18" s="87" t="s">
        <v>1027</v>
      </c>
      <c r="C18" s="87" t="s">
        <v>1022</v>
      </c>
      <c r="D18" s="66">
        <v>20</v>
      </c>
      <c r="E18" s="66">
        <v>52000</v>
      </c>
      <c r="F18" s="63">
        <f t="shared" si="2"/>
        <v>1040000</v>
      </c>
      <c r="G18" s="66"/>
      <c r="H18" s="66"/>
      <c r="I18" s="63">
        <f t="shared" si="3"/>
        <v>0</v>
      </c>
      <c r="J18" s="66"/>
      <c r="K18" s="66"/>
      <c r="L18" s="66"/>
      <c r="M18" s="66"/>
    </row>
    <row r="19" spans="1:13" ht="23.25" customHeight="1">
      <c r="A19" s="61">
        <v>13</v>
      </c>
      <c r="B19" s="87" t="s">
        <v>1028</v>
      </c>
      <c r="C19" s="87" t="s">
        <v>1022</v>
      </c>
      <c r="D19" s="66">
        <v>10</v>
      </c>
      <c r="E19" s="66">
        <v>45000</v>
      </c>
      <c r="F19" s="63">
        <f t="shared" si="2"/>
        <v>450000</v>
      </c>
      <c r="G19" s="66"/>
      <c r="H19" s="66"/>
      <c r="I19" s="63">
        <f t="shared" si="3"/>
        <v>0</v>
      </c>
      <c r="J19" s="66"/>
      <c r="K19" s="66"/>
      <c r="L19" s="66"/>
      <c r="M19" s="66"/>
    </row>
    <row r="20" spans="1:13" ht="23.25" customHeight="1">
      <c r="A20" s="61">
        <v>14</v>
      </c>
      <c r="B20" s="87" t="s">
        <v>1029</v>
      </c>
      <c r="C20" s="87" t="s">
        <v>1022</v>
      </c>
      <c r="D20" s="66">
        <v>10</v>
      </c>
      <c r="E20" s="66">
        <v>65500</v>
      </c>
      <c r="F20" s="63">
        <f t="shared" si="2"/>
        <v>655000</v>
      </c>
      <c r="G20" s="66"/>
      <c r="H20" s="66"/>
      <c r="I20" s="63">
        <f t="shared" si="3"/>
        <v>0</v>
      </c>
      <c r="J20" s="66"/>
      <c r="K20" s="66"/>
      <c r="L20" s="66"/>
      <c r="M20" s="66"/>
    </row>
    <row r="21" spans="1:13" ht="23.25" customHeight="1">
      <c r="A21" s="61">
        <v>15</v>
      </c>
      <c r="B21" s="87" t="s">
        <v>1030</v>
      </c>
      <c r="C21" s="87" t="s">
        <v>1022</v>
      </c>
      <c r="D21" s="66">
        <v>12</v>
      </c>
      <c r="E21" s="66">
        <v>91500</v>
      </c>
      <c r="F21" s="63">
        <f>SUM(D21*E21-40000)</f>
        <v>1058000</v>
      </c>
      <c r="G21" s="66"/>
      <c r="H21" s="66"/>
      <c r="I21" s="63">
        <f t="shared" si="3"/>
        <v>0</v>
      </c>
      <c r="J21" s="66"/>
      <c r="K21" s="66"/>
      <c r="L21" s="66"/>
      <c r="M21" s="66"/>
    </row>
    <row r="22" spans="1:13" ht="23.25" customHeight="1">
      <c r="A22" s="61">
        <v>16</v>
      </c>
      <c r="B22" s="87" t="s">
        <v>1031</v>
      </c>
      <c r="C22" s="87" t="s">
        <v>1023</v>
      </c>
      <c r="D22" s="66">
        <v>10</v>
      </c>
      <c r="E22" s="66">
        <v>12500</v>
      </c>
      <c r="F22" s="63">
        <f t="shared" si="2"/>
        <v>125000</v>
      </c>
      <c r="G22" s="66"/>
      <c r="H22" s="66"/>
      <c r="I22" s="63">
        <f t="shared" si="3"/>
        <v>0</v>
      </c>
      <c r="J22" s="66"/>
      <c r="K22" s="66"/>
      <c r="L22" s="66"/>
      <c r="M22" s="66"/>
    </row>
    <row r="23" spans="1:13" ht="23.25" customHeight="1">
      <c r="A23" s="61">
        <v>17</v>
      </c>
      <c r="B23" s="87" t="s">
        <v>1032</v>
      </c>
      <c r="C23" s="87" t="s">
        <v>1023</v>
      </c>
      <c r="D23" s="66">
        <v>20</v>
      </c>
      <c r="E23" s="66">
        <v>34800</v>
      </c>
      <c r="F23" s="63">
        <f t="shared" si="2"/>
        <v>696000</v>
      </c>
      <c r="G23" s="66"/>
      <c r="H23" s="66"/>
      <c r="I23" s="63">
        <f t="shared" si="3"/>
        <v>0</v>
      </c>
      <c r="J23" s="66"/>
      <c r="K23" s="66"/>
      <c r="L23" s="66"/>
      <c r="M23" s="66"/>
    </row>
    <row r="24" spans="1:13" ht="23.25" customHeight="1">
      <c r="A24" s="61">
        <v>18</v>
      </c>
      <c r="B24" s="87" t="s">
        <v>1033</v>
      </c>
      <c r="C24" s="87" t="s">
        <v>1023</v>
      </c>
      <c r="D24" s="66">
        <v>40</v>
      </c>
      <c r="E24" s="66">
        <v>6750</v>
      </c>
      <c r="F24" s="63">
        <f t="shared" si="2"/>
        <v>270000</v>
      </c>
      <c r="G24" s="66"/>
      <c r="H24" s="66"/>
      <c r="I24" s="63">
        <f t="shared" si="3"/>
        <v>0</v>
      </c>
      <c r="J24" s="66"/>
      <c r="K24" s="66"/>
      <c r="L24" s="66"/>
      <c r="M24" s="66"/>
    </row>
    <row r="25" spans="1:13" ht="23.25" customHeight="1">
      <c r="A25" s="61">
        <v>19</v>
      </c>
      <c r="B25" s="87" t="s">
        <v>1034</v>
      </c>
      <c r="C25" s="87" t="s">
        <v>1022</v>
      </c>
      <c r="D25" s="66">
        <v>10</v>
      </c>
      <c r="E25" s="66">
        <v>55000</v>
      </c>
      <c r="F25" s="63">
        <f t="shared" si="2"/>
        <v>550000</v>
      </c>
      <c r="G25" s="66"/>
      <c r="H25" s="66"/>
      <c r="I25" s="63">
        <f t="shared" si="3"/>
        <v>0</v>
      </c>
      <c r="J25" s="66"/>
      <c r="K25" s="66"/>
      <c r="L25" s="66"/>
      <c r="M25" s="66"/>
    </row>
    <row r="26" spans="1:13" ht="23.25" customHeight="1">
      <c r="A26" s="61">
        <v>20</v>
      </c>
      <c r="B26" s="87" t="s">
        <v>1035</v>
      </c>
      <c r="C26" s="87" t="s">
        <v>1022</v>
      </c>
      <c r="D26" s="66">
        <v>20</v>
      </c>
      <c r="E26" s="66">
        <v>365000</v>
      </c>
      <c r="F26" s="63">
        <f>SUM(D26*E26-300000)</f>
        <v>7000000</v>
      </c>
      <c r="G26" s="66"/>
      <c r="H26" s="66"/>
      <c r="I26" s="63">
        <f t="shared" si="3"/>
        <v>0</v>
      </c>
      <c r="J26" s="66"/>
      <c r="K26" s="66"/>
      <c r="L26" s="66"/>
      <c r="M26" s="66"/>
    </row>
    <row r="27" spans="1:13" ht="23.25" customHeight="1">
      <c r="A27" s="61">
        <v>21</v>
      </c>
      <c r="B27" s="87" t="s">
        <v>1036</v>
      </c>
      <c r="C27" s="87" t="s">
        <v>1022</v>
      </c>
      <c r="D27" s="66">
        <v>10</v>
      </c>
      <c r="E27" s="66">
        <v>292000</v>
      </c>
      <c r="F27" s="63">
        <f t="shared" si="2"/>
        <v>2920000</v>
      </c>
      <c r="G27" s="66"/>
      <c r="H27" s="66"/>
      <c r="I27" s="63">
        <f t="shared" si="3"/>
        <v>0</v>
      </c>
      <c r="J27" s="66"/>
      <c r="K27" s="66"/>
      <c r="L27" s="66"/>
      <c r="M27" s="66"/>
    </row>
    <row r="28" spans="1:13" ht="23.25" customHeight="1">
      <c r="A28" s="61">
        <v>22</v>
      </c>
      <c r="B28" s="87" t="s">
        <v>1037</v>
      </c>
      <c r="C28" s="87" t="s">
        <v>1023</v>
      </c>
      <c r="D28" s="66">
        <v>10</v>
      </c>
      <c r="E28" s="66">
        <v>58000</v>
      </c>
      <c r="F28" s="63">
        <f t="shared" si="2"/>
        <v>580000</v>
      </c>
      <c r="G28" s="66"/>
      <c r="H28" s="66"/>
      <c r="I28" s="63">
        <f t="shared" si="3"/>
        <v>0</v>
      </c>
      <c r="J28" s="66"/>
      <c r="K28" s="66"/>
      <c r="L28" s="66"/>
      <c r="M28" s="66"/>
    </row>
    <row r="29" spans="1:13" ht="23.25" customHeight="1">
      <c r="A29" s="61">
        <v>23</v>
      </c>
      <c r="B29" s="87" t="s">
        <v>1038</v>
      </c>
      <c r="C29" s="87" t="s">
        <v>1022</v>
      </c>
      <c r="D29" s="66">
        <v>20</v>
      </c>
      <c r="E29" s="66">
        <v>30000</v>
      </c>
      <c r="F29" s="63">
        <f t="shared" si="2"/>
        <v>600000</v>
      </c>
      <c r="G29" s="66"/>
      <c r="H29" s="66"/>
      <c r="I29" s="63">
        <f t="shared" si="3"/>
        <v>0</v>
      </c>
      <c r="J29" s="66"/>
      <c r="K29" s="66"/>
      <c r="L29" s="66"/>
      <c r="M29" s="66"/>
    </row>
    <row r="30" spans="1:13" ht="23.25" customHeight="1">
      <c r="A30" s="61">
        <v>24</v>
      </c>
      <c r="B30" s="87" t="s">
        <v>1038</v>
      </c>
      <c r="C30" s="87" t="s">
        <v>1022</v>
      </c>
      <c r="D30" s="66">
        <v>3</v>
      </c>
      <c r="E30" s="66">
        <v>30000</v>
      </c>
      <c r="F30" s="63">
        <f>SUM(D30*E30-90000)</f>
        <v>0</v>
      </c>
      <c r="G30" s="66"/>
      <c r="H30" s="66"/>
      <c r="I30" s="63">
        <f t="shared" si="3"/>
        <v>0</v>
      </c>
      <c r="J30" s="66"/>
      <c r="K30" s="66"/>
      <c r="L30" s="66"/>
      <c r="M30" s="66"/>
    </row>
    <row r="31" spans="1:13" ht="23.25" customHeight="1">
      <c r="A31" s="61">
        <v>25</v>
      </c>
      <c r="B31" s="87" t="s">
        <v>1039</v>
      </c>
      <c r="C31" s="87" t="s">
        <v>1022</v>
      </c>
      <c r="D31" s="66">
        <v>10</v>
      </c>
      <c r="E31" s="66">
        <v>77000</v>
      </c>
      <c r="F31" s="63">
        <f t="shared" si="2"/>
        <v>770000</v>
      </c>
      <c r="G31" s="66"/>
      <c r="H31" s="66"/>
      <c r="I31" s="63">
        <f t="shared" si="3"/>
        <v>0</v>
      </c>
      <c r="J31" s="66"/>
      <c r="K31" s="66"/>
      <c r="L31" s="66"/>
      <c r="M31" s="66"/>
    </row>
    <row r="32" spans="1:13" ht="23.25" customHeight="1">
      <c r="A32" s="61">
        <v>26</v>
      </c>
      <c r="B32" s="87" t="s">
        <v>1040</v>
      </c>
      <c r="C32" s="87" t="s">
        <v>1022</v>
      </c>
      <c r="D32" s="66">
        <v>10</v>
      </c>
      <c r="E32" s="66">
        <v>55000</v>
      </c>
      <c r="F32" s="63">
        <f t="shared" si="2"/>
        <v>550000</v>
      </c>
      <c r="G32" s="66"/>
      <c r="H32" s="66"/>
      <c r="I32" s="63">
        <f t="shared" si="3"/>
        <v>0</v>
      </c>
      <c r="J32" s="66"/>
      <c r="K32" s="66"/>
      <c r="L32" s="66"/>
      <c r="M32" s="66"/>
    </row>
    <row r="33" spans="1:13" ht="23.25" customHeight="1">
      <c r="A33" s="61">
        <v>27</v>
      </c>
      <c r="B33" s="87" t="s">
        <v>1041</v>
      </c>
      <c r="C33" s="87" t="s">
        <v>1042</v>
      </c>
      <c r="D33" s="66">
        <v>10</v>
      </c>
      <c r="E33" s="66">
        <v>134500</v>
      </c>
      <c r="F33" s="63">
        <f t="shared" si="2"/>
        <v>1345000</v>
      </c>
      <c r="G33" s="66"/>
      <c r="H33" s="66"/>
      <c r="I33" s="63">
        <f t="shared" si="3"/>
        <v>0</v>
      </c>
      <c r="J33" s="66"/>
      <c r="K33" s="66"/>
      <c r="L33" s="66"/>
      <c r="M33" s="66"/>
    </row>
    <row r="34" spans="1:13" ht="23.25" customHeight="1">
      <c r="A34" s="61">
        <v>28</v>
      </c>
      <c r="B34" s="87"/>
      <c r="C34" s="87"/>
      <c r="D34" s="66">
        <f>SUM(D7:D33)</f>
        <v>699</v>
      </c>
      <c r="E34" s="66"/>
      <c r="F34" s="63">
        <f t="shared" si="2"/>
        <v>0</v>
      </c>
      <c r="G34" s="66"/>
      <c r="H34" s="66"/>
      <c r="I34" s="63">
        <f t="shared" si="3"/>
        <v>0</v>
      </c>
      <c r="J34" s="66"/>
      <c r="K34" s="66"/>
      <c r="L34" s="66"/>
      <c r="M34" s="66"/>
    </row>
    <row r="35" spans="1:13" s="51" customFormat="1" ht="23.25" customHeight="1">
      <c r="A35" s="1090" t="s">
        <v>111</v>
      </c>
      <c r="B35" s="1091"/>
      <c r="C35" s="71"/>
      <c r="D35" s="56"/>
      <c r="E35" s="72"/>
      <c r="F35" s="72">
        <f>SUM(F7:F34)</f>
        <v>35570000</v>
      </c>
      <c r="G35" s="56"/>
      <c r="H35" s="72"/>
      <c r="I35" s="72">
        <f>SUM(I7:I14)</f>
        <v>16855000</v>
      </c>
      <c r="J35" s="72">
        <f>I35-F35</f>
        <v>-18715000</v>
      </c>
      <c r="K35" s="72">
        <f>J35*20%</f>
        <v>-3743000</v>
      </c>
      <c r="L35" s="72"/>
      <c r="M35" s="72"/>
    </row>
    <row r="36" spans="1:13">
      <c r="I36" s="54">
        <f>I35-F35</f>
        <v>-18715000</v>
      </c>
    </row>
  </sheetData>
  <mergeCells count="11">
    <mergeCell ref="A35:B35"/>
    <mergeCell ref="A5:A6"/>
    <mergeCell ref="B5:B6"/>
    <mergeCell ref="J5:J6"/>
    <mergeCell ref="M5:M6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topLeftCell="A8" zoomScale="60" zoomScaleNormal="60" zoomScaleSheetLayoutView="110" workbookViewId="0">
      <selection activeCell="E9" sqref="E9"/>
    </sheetView>
  </sheetViews>
  <sheetFormatPr defaultColWidth="9" defaultRowHeight="15"/>
  <cols>
    <col min="1" max="1" width="4" style="52" customWidth="1"/>
    <col min="2" max="2" width="31.140625" customWidth="1"/>
    <col min="3" max="3" width="10.425781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1" spans="1:13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>
      <c r="A2" s="933" t="s">
        <v>1019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3">
      <c r="A3" s="933" t="s">
        <v>1020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</row>
    <row r="5" spans="1:13" s="49" customFormat="1" ht="19.5" customHeight="1">
      <c r="A5" s="1049" t="s">
        <v>439</v>
      </c>
      <c r="B5" s="1052" t="s">
        <v>207</v>
      </c>
      <c r="C5" s="1089" t="s">
        <v>933</v>
      </c>
      <c r="D5" s="1089"/>
      <c r="E5" s="1089"/>
      <c r="F5" s="1089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 ht="32.1" customHeight="1">
      <c r="A6" s="1051"/>
      <c r="B6" s="1054"/>
      <c r="C6" s="57" t="s">
        <v>959</v>
      </c>
      <c r="D6" s="58" t="s">
        <v>1021</v>
      </c>
      <c r="E6" s="59" t="s">
        <v>924</v>
      </c>
      <c r="F6" s="59" t="s">
        <v>670</v>
      </c>
      <c r="G6" s="59" t="s">
        <v>924</v>
      </c>
      <c r="H6" s="56" t="s">
        <v>1021</v>
      </c>
      <c r="I6" s="56" t="s">
        <v>670</v>
      </c>
      <c r="J6" s="1056"/>
      <c r="K6" s="60" t="s">
        <v>1008</v>
      </c>
      <c r="L6" s="60" t="s">
        <v>1009</v>
      </c>
      <c r="M6" s="1056"/>
    </row>
    <row r="7" spans="1:13" s="50" customFormat="1" ht="23.25" customHeight="1">
      <c r="A7" s="61">
        <v>1</v>
      </c>
      <c r="B7" s="25" t="s">
        <v>1011</v>
      </c>
      <c r="C7" s="25" t="s">
        <v>1022</v>
      </c>
      <c r="D7" s="62">
        <v>9</v>
      </c>
      <c r="E7" s="62">
        <v>370000</v>
      </c>
      <c r="F7" s="63">
        <f>SUM(D7*E7)</f>
        <v>3330000</v>
      </c>
      <c r="G7" s="63">
        <v>420000</v>
      </c>
      <c r="H7" s="62">
        <v>9</v>
      </c>
      <c r="I7" s="63">
        <f>SUM(G7*H7)</f>
        <v>3780000</v>
      </c>
      <c r="J7" s="1088">
        <f>SUM(I34-F34)</f>
        <v>4299700</v>
      </c>
      <c r="K7" s="1088">
        <f>SUM(J7*20%)</f>
        <v>859940</v>
      </c>
      <c r="L7" s="1088">
        <f>SUM(J7*80%)</f>
        <v>3439760</v>
      </c>
      <c r="M7" s="63"/>
    </row>
    <row r="8" spans="1:13" ht="23.25" customHeight="1">
      <c r="A8" s="61">
        <v>2</v>
      </c>
      <c r="B8" s="65" t="s">
        <v>1013</v>
      </c>
      <c r="C8" s="65" t="s">
        <v>1022</v>
      </c>
      <c r="D8" s="66">
        <v>5</v>
      </c>
      <c r="E8" s="66">
        <v>143000</v>
      </c>
      <c r="F8" s="63">
        <f t="shared" ref="F8:F19" si="0">SUM(D8*E8)</f>
        <v>715000</v>
      </c>
      <c r="G8" s="66">
        <v>165000</v>
      </c>
      <c r="H8" s="66">
        <v>5</v>
      </c>
      <c r="I8" s="63">
        <f t="shared" ref="I8:I33" si="1">SUM(G8*H8)</f>
        <v>825000</v>
      </c>
      <c r="J8" s="1088"/>
      <c r="K8" s="1088"/>
      <c r="L8" s="1088"/>
      <c r="M8" s="66"/>
    </row>
    <row r="9" spans="1:13" ht="23.25" customHeight="1">
      <c r="A9" s="61">
        <v>3</v>
      </c>
      <c r="B9" s="65" t="s">
        <v>1014</v>
      </c>
      <c r="C9" s="65" t="s">
        <v>1022</v>
      </c>
      <c r="D9" s="66">
        <v>1</v>
      </c>
      <c r="E9" s="66">
        <v>140000</v>
      </c>
      <c r="F9" s="63">
        <f t="shared" si="0"/>
        <v>140000</v>
      </c>
      <c r="G9" s="66">
        <v>160000</v>
      </c>
      <c r="H9" s="66">
        <v>1</v>
      </c>
      <c r="I9" s="63">
        <f t="shared" si="1"/>
        <v>160000</v>
      </c>
      <c r="J9" s="1088"/>
      <c r="K9" s="1088"/>
      <c r="L9" s="1088"/>
      <c r="M9" s="66"/>
    </row>
    <row r="10" spans="1:13" ht="23.25" customHeight="1">
      <c r="A10" s="61">
        <v>4</v>
      </c>
      <c r="B10" s="65" t="s">
        <v>1015</v>
      </c>
      <c r="C10" s="65" t="s">
        <v>1022</v>
      </c>
      <c r="D10" s="66">
        <v>0</v>
      </c>
      <c r="E10" s="66">
        <v>94000</v>
      </c>
      <c r="F10" s="63">
        <f t="shared" si="0"/>
        <v>0</v>
      </c>
      <c r="G10" s="66"/>
      <c r="H10" s="66"/>
      <c r="I10" s="63">
        <f t="shared" si="1"/>
        <v>0</v>
      </c>
      <c r="J10" s="1088"/>
      <c r="K10" s="1088"/>
      <c r="L10" s="1088"/>
      <c r="M10" s="66"/>
    </row>
    <row r="11" spans="1:13" ht="23.25" customHeight="1">
      <c r="A11" s="61">
        <v>5</v>
      </c>
      <c r="B11" s="65" t="s">
        <v>1016</v>
      </c>
      <c r="C11" s="65" t="s">
        <v>1022</v>
      </c>
      <c r="D11" s="66">
        <v>0</v>
      </c>
      <c r="E11" s="66">
        <v>180000</v>
      </c>
      <c r="F11" s="63">
        <f t="shared" si="0"/>
        <v>0</v>
      </c>
      <c r="G11" s="66"/>
      <c r="H11" s="66"/>
      <c r="I11" s="63">
        <f t="shared" si="1"/>
        <v>0</v>
      </c>
      <c r="J11" s="1088"/>
      <c r="K11" s="1088"/>
      <c r="L11" s="1088"/>
      <c r="M11" s="66"/>
    </row>
    <row r="12" spans="1:13" ht="23.25" customHeight="1">
      <c r="A12" s="61">
        <v>6</v>
      </c>
      <c r="B12" s="65" t="s">
        <v>1017</v>
      </c>
      <c r="C12" s="65" t="s">
        <v>1022</v>
      </c>
      <c r="D12" s="66">
        <v>0</v>
      </c>
      <c r="E12" s="66">
        <v>160000</v>
      </c>
      <c r="F12" s="63">
        <f t="shared" si="0"/>
        <v>0</v>
      </c>
      <c r="G12" s="66"/>
      <c r="H12" s="66"/>
      <c r="I12" s="63">
        <f t="shared" si="1"/>
        <v>0</v>
      </c>
      <c r="J12" s="1088"/>
      <c r="K12" s="1088"/>
      <c r="L12" s="1088"/>
      <c r="M12" s="66"/>
    </row>
    <row r="13" spans="1:13" ht="23.25" customHeight="1">
      <c r="A13" s="61">
        <v>7</v>
      </c>
      <c r="B13" s="65" t="s">
        <v>1018</v>
      </c>
      <c r="C13" s="65" t="s">
        <v>1023</v>
      </c>
      <c r="D13" s="66">
        <v>34</v>
      </c>
      <c r="E13" s="66">
        <v>4300</v>
      </c>
      <c r="F13" s="63">
        <f t="shared" si="0"/>
        <v>146200</v>
      </c>
      <c r="G13" s="66">
        <v>7000</v>
      </c>
      <c r="H13" s="66">
        <v>34</v>
      </c>
      <c r="I13" s="63">
        <f t="shared" si="1"/>
        <v>238000</v>
      </c>
      <c r="J13" s="1088"/>
      <c r="K13" s="1088"/>
      <c r="L13" s="1088"/>
      <c r="M13" s="66"/>
    </row>
    <row r="14" spans="1:13" ht="23.25" customHeight="1">
      <c r="A14" s="61">
        <v>8</v>
      </c>
      <c r="B14" s="87" t="s">
        <v>1024</v>
      </c>
      <c r="C14" s="87" t="s">
        <v>1022</v>
      </c>
      <c r="D14" s="66"/>
      <c r="E14" s="66">
        <v>82000</v>
      </c>
      <c r="F14" s="63">
        <f t="shared" si="0"/>
        <v>0</v>
      </c>
      <c r="G14" s="66"/>
      <c r="H14" s="66"/>
      <c r="I14" s="63">
        <f t="shared" si="1"/>
        <v>0</v>
      </c>
      <c r="J14" s="1088"/>
      <c r="K14" s="1088"/>
      <c r="L14" s="1088"/>
      <c r="M14" s="66"/>
    </row>
    <row r="15" spans="1:13" ht="23.25" customHeight="1">
      <c r="A15" s="61">
        <v>9</v>
      </c>
      <c r="B15" s="87" t="s">
        <v>1025</v>
      </c>
      <c r="C15" s="87" t="s">
        <v>1023</v>
      </c>
      <c r="D15" s="66">
        <v>6</v>
      </c>
      <c r="E15" s="66">
        <v>60000</v>
      </c>
      <c r="F15" s="63">
        <f t="shared" si="0"/>
        <v>360000</v>
      </c>
      <c r="G15" s="66">
        <v>75000</v>
      </c>
      <c r="H15" s="66">
        <v>6</v>
      </c>
      <c r="I15" s="63">
        <f t="shared" si="1"/>
        <v>450000</v>
      </c>
      <c r="J15" s="1088"/>
      <c r="K15" s="1088"/>
      <c r="L15" s="1088"/>
      <c r="M15" s="66"/>
    </row>
    <row r="16" spans="1:13" ht="23.25" customHeight="1">
      <c r="A16" s="61">
        <v>10</v>
      </c>
      <c r="B16" s="87" t="s">
        <v>1026</v>
      </c>
      <c r="C16" s="87" t="s">
        <v>1022</v>
      </c>
      <c r="D16" s="66">
        <v>20</v>
      </c>
      <c r="E16" s="66">
        <v>65000</v>
      </c>
      <c r="F16" s="63">
        <f t="shared" si="0"/>
        <v>1300000</v>
      </c>
      <c r="G16" s="66">
        <v>95000</v>
      </c>
      <c r="H16" s="66">
        <v>20</v>
      </c>
      <c r="I16" s="63">
        <f t="shared" si="1"/>
        <v>1900000</v>
      </c>
      <c r="J16" s="1088"/>
      <c r="K16" s="1088"/>
      <c r="L16" s="1088"/>
      <c r="M16" s="66"/>
    </row>
    <row r="17" spans="1:13" ht="23.25" customHeight="1">
      <c r="A17" s="61">
        <v>11</v>
      </c>
      <c r="B17" s="87" t="s">
        <v>1027</v>
      </c>
      <c r="C17" s="87" t="s">
        <v>1022</v>
      </c>
      <c r="D17" s="66">
        <v>9</v>
      </c>
      <c r="E17" s="66">
        <v>52000</v>
      </c>
      <c r="F17" s="63">
        <f t="shared" si="0"/>
        <v>468000</v>
      </c>
      <c r="G17" s="66">
        <v>80000</v>
      </c>
      <c r="H17" s="66">
        <v>9</v>
      </c>
      <c r="I17" s="63">
        <f t="shared" si="1"/>
        <v>720000</v>
      </c>
      <c r="J17" s="1088"/>
      <c r="K17" s="1088"/>
      <c r="L17" s="1088"/>
      <c r="M17" s="66"/>
    </row>
    <row r="18" spans="1:13" ht="23.25" customHeight="1">
      <c r="A18" s="61">
        <v>12</v>
      </c>
      <c r="B18" s="87" t="s">
        <v>1028</v>
      </c>
      <c r="C18" s="87" t="s">
        <v>1022</v>
      </c>
      <c r="D18" s="66">
        <v>6</v>
      </c>
      <c r="E18" s="66">
        <v>45000</v>
      </c>
      <c r="F18" s="63">
        <f t="shared" si="0"/>
        <v>270000</v>
      </c>
      <c r="G18" s="66">
        <v>75000</v>
      </c>
      <c r="H18" s="66">
        <v>6</v>
      </c>
      <c r="I18" s="63">
        <f t="shared" si="1"/>
        <v>450000</v>
      </c>
      <c r="J18" s="1088"/>
      <c r="K18" s="1088"/>
      <c r="L18" s="1088"/>
      <c r="M18" s="66"/>
    </row>
    <row r="19" spans="1:13" ht="23.25" customHeight="1">
      <c r="A19" s="61">
        <v>13</v>
      </c>
      <c r="B19" s="87" t="s">
        <v>1029</v>
      </c>
      <c r="C19" s="87" t="s">
        <v>1022</v>
      </c>
      <c r="D19" s="66">
        <v>6</v>
      </c>
      <c r="E19" s="66">
        <v>65500</v>
      </c>
      <c r="F19" s="63">
        <f t="shared" si="0"/>
        <v>393000</v>
      </c>
      <c r="G19" s="66">
        <v>98500</v>
      </c>
      <c r="H19" s="66">
        <v>6</v>
      </c>
      <c r="I19" s="63">
        <f t="shared" si="1"/>
        <v>591000</v>
      </c>
      <c r="J19" s="1088"/>
      <c r="K19" s="1088"/>
      <c r="L19" s="1088"/>
      <c r="M19" s="66"/>
    </row>
    <row r="20" spans="1:13" ht="23.25" customHeight="1">
      <c r="A20" s="61">
        <v>14</v>
      </c>
      <c r="B20" s="87" t="s">
        <v>1030</v>
      </c>
      <c r="C20" s="87" t="s">
        <v>1022</v>
      </c>
      <c r="D20" s="66">
        <v>3</v>
      </c>
      <c r="E20" s="66">
        <v>91500</v>
      </c>
      <c r="F20" s="63">
        <f>SUM(D20*E20-40000)</f>
        <v>234500</v>
      </c>
      <c r="G20" s="66">
        <v>135000</v>
      </c>
      <c r="H20" s="66">
        <v>3</v>
      </c>
      <c r="I20" s="63">
        <f t="shared" si="1"/>
        <v>405000</v>
      </c>
      <c r="J20" s="1088"/>
      <c r="K20" s="1088"/>
      <c r="L20" s="1088"/>
      <c r="M20" s="66"/>
    </row>
    <row r="21" spans="1:13" ht="23.25" customHeight="1">
      <c r="A21" s="61">
        <v>15</v>
      </c>
      <c r="B21" s="87" t="s">
        <v>1031</v>
      </c>
      <c r="C21" s="87" t="s">
        <v>1023</v>
      </c>
      <c r="D21" s="66">
        <v>1</v>
      </c>
      <c r="E21" s="66">
        <v>12500</v>
      </c>
      <c r="F21" s="63">
        <f t="shared" ref="F21:F24" si="2">SUM(D21*E21)</f>
        <v>12500</v>
      </c>
      <c r="G21" s="66">
        <v>20000</v>
      </c>
      <c r="H21" s="66">
        <v>1</v>
      </c>
      <c r="I21" s="63">
        <f t="shared" si="1"/>
        <v>20000</v>
      </c>
      <c r="J21" s="1088"/>
      <c r="K21" s="1088"/>
      <c r="L21" s="1088"/>
      <c r="M21" s="66"/>
    </row>
    <row r="22" spans="1:13" ht="23.25" customHeight="1">
      <c r="A22" s="61">
        <v>16</v>
      </c>
      <c r="B22" s="87" t="s">
        <v>1032</v>
      </c>
      <c r="C22" s="87" t="s">
        <v>1023</v>
      </c>
      <c r="D22" s="66">
        <v>12</v>
      </c>
      <c r="E22" s="66">
        <v>34800</v>
      </c>
      <c r="F22" s="63">
        <f t="shared" si="2"/>
        <v>417600</v>
      </c>
      <c r="G22" s="66">
        <v>52500</v>
      </c>
      <c r="H22" s="66">
        <v>12</v>
      </c>
      <c r="I22" s="63">
        <f t="shared" si="1"/>
        <v>630000</v>
      </c>
      <c r="J22" s="1088"/>
      <c r="K22" s="1088"/>
      <c r="L22" s="1088"/>
      <c r="M22" s="66"/>
    </row>
    <row r="23" spans="1:13" ht="23.25" customHeight="1">
      <c r="A23" s="61">
        <v>17</v>
      </c>
      <c r="B23" s="87" t="s">
        <v>1033</v>
      </c>
      <c r="C23" s="87" t="s">
        <v>1023</v>
      </c>
      <c r="D23" s="66">
        <v>40</v>
      </c>
      <c r="E23" s="66">
        <v>6750</v>
      </c>
      <c r="F23" s="63">
        <f t="shared" si="2"/>
        <v>270000</v>
      </c>
      <c r="G23" s="66">
        <v>10500</v>
      </c>
      <c r="H23" s="66">
        <v>40</v>
      </c>
      <c r="I23" s="63">
        <f t="shared" si="1"/>
        <v>420000</v>
      </c>
      <c r="J23" s="1088"/>
      <c r="K23" s="1088"/>
      <c r="L23" s="1088"/>
      <c r="M23" s="66"/>
    </row>
    <row r="24" spans="1:13" ht="23.25" customHeight="1">
      <c r="A24" s="61">
        <v>18</v>
      </c>
      <c r="B24" s="87" t="s">
        <v>1034</v>
      </c>
      <c r="C24" s="87" t="s">
        <v>1022</v>
      </c>
      <c r="D24" s="66">
        <v>10</v>
      </c>
      <c r="E24" s="66">
        <v>55000</v>
      </c>
      <c r="F24" s="63">
        <f t="shared" si="2"/>
        <v>550000</v>
      </c>
      <c r="G24" s="66">
        <v>82500</v>
      </c>
      <c r="H24" s="66">
        <v>10</v>
      </c>
      <c r="I24" s="63">
        <f t="shared" si="1"/>
        <v>825000</v>
      </c>
      <c r="J24" s="1088"/>
      <c r="K24" s="1088"/>
      <c r="L24" s="1088"/>
      <c r="M24" s="66"/>
    </row>
    <row r="25" spans="1:13" ht="23.25" customHeight="1">
      <c r="A25" s="61">
        <v>19</v>
      </c>
      <c r="B25" s="87" t="s">
        <v>1035</v>
      </c>
      <c r="C25" s="87" t="s">
        <v>1022</v>
      </c>
      <c r="D25" s="66">
        <v>8</v>
      </c>
      <c r="E25" s="66">
        <v>365000</v>
      </c>
      <c r="F25" s="63">
        <f>SUM(D25*E25-300000)</f>
        <v>2620000</v>
      </c>
      <c r="G25" s="66">
        <v>410000</v>
      </c>
      <c r="H25" s="66">
        <v>8</v>
      </c>
      <c r="I25" s="63">
        <f t="shared" si="1"/>
        <v>3280000</v>
      </c>
      <c r="J25" s="1088"/>
      <c r="K25" s="1088"/>
      <c r="L25" s="1088"/>
      <c r="M25" s="66"/>
    </row>
    <row r="26" spans="1:13" ht="23.25" customHeight="1">
      <c r="A26" s="61">
        <v>20</v>
      </c>
      <c r="B26" s="87" t="s">
        <v>1036</v>
      </c>
      <c r="C26" s="87" t="s">
        <v>1022</v>
      </c>
      <c r="D26" s="66">
        <v>7</v>
      </c>
      <c r="E26" s="66">
        <v>292000</v>
      </c>
      <c r="F26" s="63">
        <f t="shared" ref="F26:F28" si="3">SUM(D26*E26)</f>
        <v>2044000</v>
      </c>
      <c r="G26" s="66">
        <v>340000</v>
      </c>
      <c r="H26" s="66">
        <v>7</v>
      </c>
      <c r="I26" s="63">
        <f t="shared" si="1"/>
        <v>2380000</v>
      </c>
      <c r="J26" s="1088"/>
      <c r="K26" s="1088"/>
      <c r="L26" s="1088"/>
      <c r="M26" s="66"/>
    </row>
    <row r="27" spans="1:13" ht="23.25" customHeight="1">
      <c r="A27" s="61">
        <v>21</v>
      </c>
      <c r="B27" s="87" t="s">
        <v>1037</v>
      </c>
      <c r="C27" s="87" t="s">
        <v>1023</v>
      </c>
      <c r="D27" s="66">
        <v>10</v>
      </c>
      <c r="E27" s="66">
        <v>58000</v>
      </c>
      <c r="F27" s="63">
        <f t="shared" si="3"/>
        <v>580000</v>
      </c>
      <c r="G27" s="66">
        <v>75000</v>
      </c>
      <c r="H27" s="66">
        <v>10</v>
      </c>
      <c r="I27" s="63">
        <f t="shared" si="1"/>
        <v>750000</v>
      </c>
      <c r="J27" s="1088"/>
      <c r="K27" s="1088"/>
      <c r="L27" s="1088"/>
      <c r="M27" s="66"/>
    </row>
    <row r="28" spans="1:13" ht="23.25" customHeight="1">
      <c r="A28" s="61">
        <v>22</v>
      </c>
      <c r="B28" s="87" t="s">
        <v>1038</v>
      </c>
      <c r="C28" s="87" t="s">
        <v>1022</v>
      </c>
      <c r="D28" s="66">
        <v>15</v>
      </c>
      <c r="E28" s="66">
        <v>30000</v>
      </c>
      <c r="F28" s="63">
        <f t="shared" si="3"/>
        <v>450000</v>
      </c>
      <c r="G28" s="66">
        <v>34500</v>
      </c>
      <c r="H28" s="66">
        <v>15</v>
      </c>
      <c r="I28" s="63">
        <f t="shared" si="1"/>
        <v>517500</v>
      </c>
      <c r="J28" s="1088"/>
      <c r="K28" s="1088"/>
      <c r="L28" s="1088"/>
      <c r="M28" s="66"/>
    </row>
    <row r="29" spans="1:13" ht="23.25" customHeight="1">
      <c r="A29" s="61">
        <v>23</v>
      </c>
      <c r="B29" s="87" t="s">
        <v>1038</v>
      </c>
      <c r="C29" s="87" t="s">
        <v>1022</v>
      </c>
      <c r="D29" s="66"/>
      <c r="E29" s="66"/>
      <c r="F29" s="63"/>
      <c r="G29" s="66"/>
      <c r="H29" s="66"/>
      <c r="I29" s="63">
        <f t="shared" si="1"/>
        <v>0</v>
      </c>
      <c r="J29" s="1088"/>
      <c r="K29" s="1088"/>
      <c r="L29" s="1088"/>
      <c r="M29" s="66"/>
    </row>
    <row r="30" spans="1:13" ht="23.25" customHeight="1">
      <c r="A30" s="61">
        <v>24</v>
      </c>
      <c r="B30" s="87" t="s">
        <v>1039</v>
      </c>
      <c r="C30" s="87" t="s">
        <v>1022</v>
      </c>
      <c r="D30" s="66">
        <v>3</v>
      </c>
      <c r="E30" s="66">
        <v>77000</v>
      </c>
      <c r="F30" s="63">
        <f t="shared" ref="F30:F33" si="4">SUM(D30*E30)</f>
        <v>231000</v>
      </c>
      <c r="G30" s="66">
        <v>115500</v>
      </c>
      <c r="H30" s="66">
        <v>3</v>
      </c>
      <c r="I30" s="63">
        <f t="shared" si="1"/>
        <v>346500</v>
      </c>
      <c r="J30" s="1088"/>
      <c r="K30" s="1088"/>
      <c r="L30" s="1088"/>
      <c r="M30" s="66"/>
    </row>
    <row r="31" spans="1:13" ht="23.25" customHeight="1">
      <c r="A31" s="61">
        <v>25</v>
      </c>
      <c r="B31" s="87" t="s">
        <v>1040</v>
      </c>
      <c r="C31" s="87" t="s">
        <v>1022</v>
      </c>
      <c r="D31" s="66">
        <v>4</v>
      </c>
      <c r="E31" s="66">
        <v>55000</v>
      </c>
      <c r="F31" s="63">
        <f t="shared" si="4"/>
        <v>220000</v>
      </c>
      <c r="G31" s="66">
        <v>64000</v>
      </c>
      <c r="H31" s="66">
        <v>4</v>
      </c>
      <c r="I31" s="63">
        <f t="shared" si="1"/>
        <v>256000</v>
      </c>
      <c r="J31" s="1088"/>
      <c r="K31" s="1088"/>
      <c r="L31" s="1088"/>
      <c r="M31" s="66"/>
    </row>
    <row r="32" spans="1:13" ht="23.25" customHeight="1">
      <c r="A32" s="61">
        <v>26</v>
      </c>
      <c r="B32" s="87" t="s">
        <v>1041</v>
      </c>
      <c r="C32" s="87" t="s">
        <v>1042</v>
      </c>
      <c r="D32" s="66">
        <v>5</v>
      </c>
      <c r="E32" s="66">
        <v>134500</v>
      </c>
      <c r="F32" s="63">
        <f t="shared" si="4"/>
        <v>672500</v>
      </c>
      <c r="G32" s="66">
        <v>156000</v>
      </c>
      <c r="H32" s="66">
        <v>5</v>
      </c>
      <c r="I32" s="63">
        <f t="shared" si="1"/>
        <v>780000</v>
      </c>
      <c r="J32" s="1088"/>
      <c r="K32" s="1088"/>
      <c r="L32" s="1088"/>
      <c r="M32" s="66"/>
    </row>
    <row r="33" spans="1:13" ht="23.25" customHeight="1">
      <c r="A33" s="61">
        <v>27</v>
      </c>
      <c r="B33" s="87"/>
      <c r="C33" s="87"/>
      <c r="D33" s="66">
        <f>SUM(D7:D32)</f>
        <v>214</v>
      </c>
      <c r="E33" s="66"/>
      <c r="F33" s="63">
        <f t="shared" si="4"/>
        <v>0</v>
      </c>
      <c r="G33" s="66"/>
      <c r="H33" s="66">
        <f>SUM(H7:H32)</f>
        <v>214</v>
      </c>
      <c r="I33" s="63">
        <f t="shared" si="1"/>
        <v>0</v>
      </c>
      <c r="J33" s="1088"/>
      <c r="K33" s="1088"/>
      <c r="L33" s="1088"/>
      <c r="M33" s="66"/>
    </row>
    <row r="34" spans="1:13" s="51" customFormat="1" ht="23.25" customHeight="1">
      <c r="A34" s="1090" t="s">
        <v>111</v>
      </c>
      <c r="B34" s="1091"/>
      <c r="C34" s="71"/>
      <c r="D34" s="56"/>
      <c r="E34" s="72"/>
      <c r="F34" s="72">
        <f>SUM(F7:F33)</f>
        <v>15424300</v>
      </c>
      <c r="G34" s="56"/>
      <c r="H34" s="72"/>
      <c r="I34" s="72">
        <f>SUM(I7:I32)</f>
        <v>19724000</v>
      </c>
      <c r="J34" s="72"/>
      <c r="K34" s="72">
        <f>J34*20%</f>
        <v>0</v>
      </c>
      <c r="L34" s="72"/>
      <c r="M34" s="72"/>
    </row>
    <row r="35" spans="1:13">
      <c r="I35" s="54">
        <f>SUM(I34+'PESTISIDA (3)'!I18)</f>
        <v>26883500</v>
      </c>
    </row>
    <row r="36" spans="1:13">
      <c r="I36" s="54">
        <v>26830000</v>
      </c>
    </row>
    <row r="37" spans="1:13">
      <c r="I37" s="54">
        <f>I36-I35</f>
        <v>-53500</v>
      </c>
    </row>
    <row r="38" spans="1:13">
      <c r="I38" s="54" t="s">
        <v>225</v>
      </c>
    </row>
  </sheetData>
  <mergeCells count="14">
    <mergeCell ref="K7:K33"/>
    <mergeCell ref="L7:L33"/>
    <mergeCell ref="M5:M6"/>
    <mergeCell ref="A34:B34"/>
    <mergeCell ref="A5:A6"/>
    <mergeCell ref="B5:B6"/>
    <mergeCell ref="J5:J6"/>
    <mergeCell ref="J7:J33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tabSelected="1" topLeftCell="A7" zoomScale="110" zoomScaleNormal="110" workbookViewId="0">
      <selection activeCell="F31" sqref="F31"/>
    </sheetView>
  </sheetViews>
  <sheetFormatPr defaultColWidth="9" defaultRowHeight="15"/>
  <cols>
    <col min="1" max="1" width="4.85546875" style="363" customWidth="1"/>
    <col min="2" max="2" width="36.42578125" style="363" customWidth="1"/>
    <col min="3" max="3" width="25.5703125" style="363" customWidth="1"/>
    <col min="4" max="4" width="21.7109375" style="363" hidden="1" customWidth="1"/>
    <col min="5" max="5" width="5" style="363" customWidth="1"/>
    <col min="6" max="6" width="33" style="363" customWidth="1"/>
    <col min="7" max="7" width="19.42578125" style="363" customWidth="1"/>
    <col min="8" max="8" width="17" style="363" customWidth="1"/>
    <col min="9" max="10" width="14.7109375" style="363" customWidth="1"/>
    <col min="11" max="11" width="13.28515625" style="363" customWidth="1"/>
    <col min="12" max="14" width="12.85546875" style="363" customWidth="1"/>
    <col min="15" max="15" width="11.28515625" style="363" customWidth="1"/>
    <col min="16" max="16" width="12.85546875" style="363" customWidth="1"/>
    <col min="17" max="16384" width="9" style="363"/>
  </cols>
  <sheetData>
    <row r="1" spans="1:9">
      <c r="A1" s="880" t="s">
        <v>0</v>
      </c>
      <c r="B1" s="880"/>
      <c r="C1" s="880"/>
      <c r="D1" s="680"/>
    </row>
    <row r="2" spans="1:9">
      <c r="A2" s="880" t="s">
        <v>119</v>
      </c>
      <c r="B2" s="880"/>
      <c r="C2" s="880"/>
      <c r="D2" s="680"/>
    </row>
    <row r="3" spans="1:9">
      <c r="A3" s="880" t="s">
        <v>120</v>
      </c>
      <c r="B3" s="880"/>
      <c r="C3" s="880"/>
      <c r="D3" s="680"/>
    </row>
    <row r="4" spans="1:9">
      <c r="A4" s="881" t="s">
        <v>121</v>
      </c>
      <c r="B4" s="881"/>
      <c r="C4" s="363" t="s">
        <v>122</v>
      </c>
    </row>
    <row r="5" spans="1:9">
      <c r="A5" s="881" t="s">
        <v>123</v>
      </c>
      <c r="B5" s="881"/>
      <c r="C5" s="363" t="s">
        <v>124</v>
      </c>
    </row>
    <row r="6" spans="1:9">
      <c r="A6" s="881" t="s">
        <v>125</v>
      </c>
      <c r="B6" s="881"/>
      <c r="C6" s="363" t="s">
        <v>126</v>
      </c>
    </row>
    <row r="7" spans="1:9">
      <c r="A7" s="681">
        <v>4</v>
      </c>
      <c r="B7" s="682" t="s">
        <v>127</v>
      </c>
      <c r="C7" s="681" t="s">
        <v>128</v>
      </c>
      <c r="E7" s="683"/>
      <c r="F7" s="684"/>
      <c r="G7" s="685"/>
    </row>
    <row r="8" spans="1:9">
      <c r="A8" s="686" t="s">
        <v>129</v>
      </c>
      <c r="B8" s="686" t="s">
        <v>130</v>
      </c>
      <c r="C8" s="687"/>
      <c r="E8" s="688"/>
      <c r="F8" s="684"/>
    </row>
    <row r="9" spans="1:9">
      <c r="A9" s="687" t="s">
        <v>131</v>
      </c>
      <c r="B9" s="687" t="s">
        <v>132</v>
      </c>
      <c r="C9" s="689">
        <f>SUM(MODUS!H162)</f>
        <v>7404097</v>
      </c>
      <c r="D9" s="690"/>
      <c r="E9" s="691"/>
      <c r="F9" s="684"/>
      <c r="G9" s="691"/>
      <c r="H9" s="691"/>
      <c r="I9" s="691"/>
    </row>
    <row r="10" spans="1:9">
      <c r="A10" s="687" t="s">
        <v>133</v>
      </c>
      <c r="B10" s="687" t="s">
        <v>134</v>
      </c>
      <c r="C10" s="692">
        <f>SUM(KASHAR!F217)</f>
        <v>800000</v>
      </c>
      <c r="E10" s="691"/>
      <c r="F10" s="684"/>
      <c r="G10" s="691"/>
      <c r="H10" s="691"/>
      <c r="I10" s="691"/>
    </row>
    <row r="11" spans="1:9">
      <c r="A11" s="687" t="s">
        <v>135</v>
      </c>
      <c r="B11" s="687" t="s">
        <v>136</v>
      </c>
      <c r="C11" s="692"/>
      <c r="E11" s="691"/>
      <c r="F11" s="684"/>
      <c r="G11" s="691"/>
      <c r="H11" s="691"/>
      <c r="I11" s="691"/>
    </row>
    <row r="12" spans="1:9">
      <c r="A12" s="687" t="s">
        <v>137</v>
      </c>
      <c r="B12" s="687" t="s">
        <v>138</v>
      </c>
      <c r="C12" s="693">
        <f>SUM(BRILink!E16)</f>
        <v>4162140</v>
      </c>
      <c r="E12" s="691"/>
      <c r="F12" s="684"/>
      <c r="G12" s="691"/>
      <c r="H12" s="691"/>
      <c r="I12" s="691"/>
    </row>
    <row r="13" spans="1:9">
      <c r="A13" s="687" t="s">
        <v>139</v>
      </c>
      <c r="B13" s="687" t="s">
        <v>140</v>
      </c>
      <c r="C13" s="694">
        <f>SUM(MULTI!N67)</f>
        <v>7447000</v>
      </c>
      <c r="D13" s="690"/>
      <c r="E13" s="691"/>
      <c r="F13" s="684"/>
      <c r="G13" s="691"/>
      <c r="H13" s="691"/>
      <c r="I13" s="691"/>
    </row>
    <row r="14" spans="1:9">
      <c r="A14" s="687" t="s">
        <v>141</v>
      </c>
      <c r="B14" s="687" t="s">
        <v>142</v>
      </c>
      <c r="C14" s="694">
        <f>SUM(KASHAR!G217)</f>
        <v>2500000</v>
      </c>
      <c r="D14" s="690"/>
      <c r="E14" s="691"/>
      <c r="F14" s="684"/>
      <c r="G14" s="691"/>
      <c r="H14" s="691"/>
      <c r="I14" s="691"/>
    </row>
    <row r="15" spans="1:9">
      <c r="A15" s="687" t="s">
        <v>143</v>
      </c>
      <c r="B15" s="687" t="s">
        <v>144</v>
      </c>
      <c r="C15" s="694">
        <f>SUM(KASHAR!I217)</f>
        <v>0</v>
      </c>
      <c r="D15" s="690"/>
      <c r="E15" s="691"/>
      <c r="F15" s="684"/>
      <c r="G15" s="691"/>
      <c r="H15" s="691"/>
      <c r="I15" s="691"/>
    </row>
    <row r="16" spans="1:9">
      <c r="A16" s="687" t="s">
        <v>145</v>
      </c>
      <c r="B16" s="687" t="s">
        <v>146</v>
      </c>
      <c r="C16" s="694">
        <f>SUM('TOKO BENGKEL'!N97)</f>
        <v>387240</v>
      </c>
      <c r="D16" s="690"/>
      <c r="E16" s="691"/>
      <c r="F16" s="684"/>
      <c r="G16" s="691"/>
      <c r="H16" s="691"/>
      <c r="I16" s="691"/>
    </row>
    <row r="17" spans="1:15">
      <c r="A17" s="686" t="s">
        <v>147</v>
      </c>
      <c r="B17" s="686" t="s">
        <v>148</v>
      </c>
      <c r="C17" s="695"/>
      <c r="E17" s="691"/>
      <c r="F17" s="691"/>
      <c r="G17" s="691"/>
      <c r="H17" s="691"/>
      <c r="I17" s="691"/>
    </row>
    <row r="18" spans="1:15">
      <c r="A18" s="687" t="s">
        <v>149</v>
      </c>
      <c r="B18" s="687" t="s">
        <v>150</v>
      </c>
      <c r="C18" s="692"/>
      <c r="E18" s="691"/>
      <c r="F18" s="691"/>
      <c r="G18" s="691"/>
      <c r="H18" s="691"/>
      <c r="I18" s="691"/>
    </row>
    <row r="19" spans="1:15">
      <c r="A19" s="687" t="s">
        <v>151</v>
      </c>
      <c r="B19" s="686" t="s">
        <v>152</v>
      </c>
      <c r="C19" s="695"/>
      <c r="E19" s="691"/>
      <c r="F19" s="691"/>
      <c r="G19" s="691"/>
      <c r="H19" s="691"/>
      <c r="I19" s="691"/>
    </row>
    <row r="20" spans="1:15">
      <c r="A20" s="687"/>
      <c r="B20" s="687"/>
      <c r="C20" s="695"/>
      <c r="E20" s="691"/>
      <c r="F20" s="696"/>
      <c r="G20" s="691"/>
      <c r="H20" s="691"/>
      <c r="I20" s="691"/>
    </row>
    <row r="21" spans="1:15">
      <c r="A21" s="882" t="s">
        <v>153</v>
      </c>
      <c r="B21" s="882"/>
      <c r="C21" s="697">
        <f>SUM(C8:C20)</f>
        <v>22700477</v>
      </c>
      <c r="E21" s="691"/>
      <c r="F21" s="698"/>
      <c r="G21" s="691"/>
      <c r="H21" s="688"/>
      <c r="I21" s="688"/>
      <c r="J21" s="699"/>
    </row>
    <row r="22" spans="1:15">
      <c r="A22" s="700">
        <v>5</v>
      </c>
      <c r="B22" s="686" t="s">
        <v>154</v>
      </c>
      <c r="C22" s="687"/>
      <c r="E22" s="701"/>
      <c r="F22" s="702"/>
      <c r="G22" s="703"/>
      <c r="H22" s="703"/>
      <c r="I22" s="703"/>
      <c r="L22" s="371"/>
      <c r="M22" s="371"/>
    </row>
    <row r="23" spans="1:15">
      <c r="A23" s="687" t="s">
        <v>155</v>
      </c>
      <c r="B23" s="687" t="s">
        <v>156</v>
      </c>
      <c r="C23" s="692">
        <v>7850000</v>
      </c>
      <c r="D23" s="382"/>
      <c r="E23" s="704"/>
      <c r="F23" s="704"/>
      <c r="G23" s="704"/>
      <c r="H23" s="704"/>
      <c r="I23" s="704"/>
      <c r="J23" s="705"/>
      <c r="L23" s="706"/>
    </row>
    <row r="24" spans="1:15">
      <c r="A24" s="687" t="s">
        <v>157</v>
      </c>
      <c r="B24" s="687" t="s">
        <v>158</v>
      </c>
      <c r="C24" s="692">
        <v>1600000</v>
      </c>
      <c r="E24" s="688"/>
      <c r="F24" s="706"/>
      <c r="G24" s="691"/>
      <c r="H24" s="706"/>
      <c r="I24" s="706"/>
      <c r="J24" s="706"/>
      <c r="K24" s="706"/>
      <c r="L24" s="382"/>
      <c r="M24" s="707"/>
      <c r="N24" s="371"/>
      <c r="O24" s="708"/>
    </row>
    <row r="25" spans="1:15">
      <c r="A25" s="687" t="s">
        <v>159</v>
      </c>
      <c r="B25" s="687" t="s">
        <v>160</v>
      </c>
      <c r="C25" s="692">
        <v>1100000</v>
      </c>
      <c r="E25" s="709"/>
      <c r="F25" s="710"/>
      <c r="G25" s="711"/>
      <c r="H25" s="710"/>
      <c r="I25" s="710"/>
      <c r="J25" s="710"/>
      <c r="K25" s="712"/>
      <c r="L25" s="706"/>
    </row>
    <row r="26" spans="1:15">
      <c r="A26" s="687" t="s">
        <v>161</v>
      </c>
      <c r="B26" s="687" t="s">
        <v>162</v>
      </c>
      <c r="C26" s="692">
        <f>SUM(KASHAR!T217)</f>
        <v>1890000</v>
      </c>
      <c r="E26" s="691"/>
      <c r="F26" s="691">
        <f>C23+C24+C25+C2+C26+C27+C28+C30+C31</f>
        <v>20185029.166666672</v>
      </c>
      <c r="G26" s="691"/>
      <c r="J26" s="713"/>
      <c r="K26" s="706"/>
      <c r="L26" s="706"/>
    </row>
    <row r="27" spans="1:15">
      <c r="A27" s="687" t="s">
        <v>163</v>
      </c>
      <c r="B27" s="687" t="s">
        <v>164</v>
      </c>
      <c r="C27" s="692">
        <v>2500000</v>
      </c>
      <c r="E27" s="706"/>
      <c r="F27" s="706"/>
      <c r="G27" s="691"/>
      <c r="K27" s="706"/>
    </row>
    <row r="28" spans="1:15">
      <c r="A28" s="687" t="s">
        <v>165</v>
      </c>
      <c r="B28" s="687" t="s">
        <v>166</v>
      </c>
      <c r="C28" s="692">
        <f>SUM('[43]INVEN (2)'!$M$172)</f>
        <v>4745029.1666666698</v>
      </c>
      <c r="E28" s="706"/>
      <c r="F28" s="714"/>
      <c r="G28" s="371"/>
      <c r="H28" s="706"/>
      <c r="I28" s="706"/>
      <c r="J28" s="371"/>
      <c r="K28" s="690"/>
      <c r="L28" s="706"/>
    </row>
    <row r="29" spans="1:15">
      <c r="A29" s="700" t="s">
        <v>167</v>
      </c>
      <c r="B29" s="686" t="s">
        <v>168</v>
      </c>
      <c r="C29" s="692"/>
      <c r="E29" s="706"/>
      <c r="F29" s="706"/>
      <c r="G29" s="382"/>
      <c r="H29" s="382"/>
      <c r="I29" s="382"/>
      <c r="J29" s="715"/>
      <c r="K29" s="690"/>
      <c r="L29" s="715"/>
      <c r="M29" s="715"/>
      <c r="N29" s="715"/>
    </row>
    <row r="30" spans="1:15">
      <c r="A30" s="687" t="s">
        <v>169</v>
      </c>
      <c r="B30" s="687" t="s">
        <v>170</v>
      </c>
      <c r="C30" s="692"/>
      <c r="E30" s="706"/>
      <c r="F30" s="706"/>
      <c r="G30" s="706"/>
      <c r="J30" s="707"/>
      <c r="K30" s="690"/>
      <c r="L30" s="371"/>
      <c r="M30" s="371"/>
      <c r="N30" s="371"/>
      <c r="O30" s="371"/>
    </row>
    <row r="31" spans="1:15">
      <c r="A31" s="687" t="s">
        <v>171</v>
      </c>
      <c r="B31" s="687" t="s">
        <v>172</v>
      </c>
      <c r="C31" s="716">
        <v>500000</v>
      </c>
      <c r="E31" s="706"/>
      <c r="F31" s="706"/>
      <c r="G31" s="706"/>
      <c r="H31" s="706"/>
      <c r="I31" s="706"/>
      <c r="J31" s="717"/>
      <c r="K31" s="371"/>
    </row>
    <row r="32" spans="1:15">
      <c r="A32" s="700">
        <v>7</v>
      </c>
      <c r="B32" s="686" t="s">
        <v>173</v>
      </c>
      <c r="C32" s="718"/>
      <c r="E32" s="706"/>
      <c r="F32" s="706"/>
      <c r="G32" s="706"/>
      <c r="H32" s="691"/>
      <c r="I32" s="691"/>
      <c r="J32" s="719"/>
      <c r="K32" s="719"/>
      <c r="L32" s="719"/>
      <c r="M32" s="715"/>
    </row>
    <row r="33" spans="1:15">
      <c r="A33" s="687" t="s">
        <v>174</v>
      </c>
      <c r="B33" s="686" t="s">
        <v>175</v>
      </c>
      <c r="C33" s="692"/>
      <c r="E33" s="706"/>
      <c r="F33" s="706"/>
      <c r="H33" s="706"/>
      <c r="I33" s="706"/>
      <c r="J33" s="690"/>
      <c r="K33" s="706"/>
      <c r="L33" s="706"/>
      <c r="M33" s="706"/>
      <c r="N33" s="706"/>
      <c r="O33" s="706"/>
    </row>
    <row r="34" spans="1:15">
      <c r="A34" s="882" t="s">
        <v>176</v>
      </c>
      <c r="B34" s="882"/>
      <c r="C34" s="697">
        <f>C21-C23-C24-C25-C26-C27-C28-C30-C31</f>
        <v>2515447.8333333302</v>
      </c>
      <c r="E34" s="710"/>
      <c r="F34" s="706"/>
      <c r="G34" s="688"/>
      <c r="H34" s="706"/>
      <c r="I34" s="706"/>
      <c r="J34" s="720"/>
      <c r="K34" s="706"/>
      <c r="L34" s="706"/>
      <c r="M34" s="706"/>
      <c r="O34" s="706"/>
    </row>
    <row r="35" spans="1:15">
      <c r="C35" s="721" t="s">
        <v>112</v>
      </c>
      <c r="D35" s="721"/>
      <c r="F35" s="382"/>
      <c r="G35" s="382"/>
      <c r="H35" s="706"/>
      <c r="I35" s="382"/>
      <c r="J35" s="382"/>
      <c r="N35" s="706"/>
    </row>
    <row r="36" spans="1:15">
      <c r="A36" s="883" t="s">
        <v>113</v>
      </c>
      <c r="B36" s="883"/>
      <c r="C36" s="883"/>
      <c r="F36" s="722"/>
      <c r="G36" s="706"/>
      <c r="H36" s="722"/>
      <c r="L36" s="706"/>
      <c r="M36" s="706"/>
      <c r="N36" s="706"/>
    </row>
    <row r="37" spans="1:15">
      <c r="A37" s="883" t="s">
        <v>114</v>
      </c>
      <c r="B37" s="883"/>
      <c r="C37" s="883"/>
      <c r="F37" s="706"/>
      <c r="G37" s="706"/>
      <c r="H37" s="690"/>
    </row>
    <row r="38" spans="1:15">
      <c r="F38" s="723"/>
      <c r="G38" s="706"/>
      <c r="H38" s="706"/>
    </row>
    <row r="39" spans="1:15">
      <c r="A39" s="883" t="s">
        <v>115</v>
      </c>
      <c r="B39" s="883"/>
      <c r="C39" s="380" t="s">
        <v>116</v>
      </c>
      <c r="F39" s="706"/>
      <c r="H39" s="722"/>
    </row>
    <row r="40" spans="1:15">
      <c r="B40" s="380"/>
      <c r="G40" s="364"/>
      <c r="H40" s="722"/>
    </row>
    <row r="41" spans="1:15">
      <c r="B41" s="380"/>
      <c r="G41" s="364"/>
      <c r="H41" s="706"/>
    </row>
    <row r="42" spans="1:15">
      <c r="B42" s="380"/>
      <c r="G42" s="364"/>
      <c r="H42" s="706"/>
    </row>
    <row r="43" spans="1:15">
      <c r="B43" s="383"/>
    </row>
    <row r="44" spans="1:15">
      <c r="A44" s="884" t="s">
        <v>117</v>
      </c>
      <c r="B44" s="884"/>
      <c r="C44" s="383" t="s">
        <v>177</v>
      </c>
      <c r="D44" s="381"/>
      <c r="E44" s="381"/>
    </row>
    <row r="46" spans="1:15">
      <c r="B46" s="883"/>
      <c r="C46" s="883"/>
      <c r="D46" s="883"/>
    </row>
    <row r="47" spans="1:15">
      <c r="B47" s="884"/>
      <c r="C47" s="884"/>
      <c r="D47" s="884"/>
    </row>
    <row r="51" spans="2:4">
      <c r="B51" s="885"/>
      <c r="C51" s="885"/>
      <c r="D51" s="885"/>
    </row>
  </sheetData>
  <mergeCells count="15">
    <mergeCell ref="A39:B39"/>
    <mergeCell ref="A44:B44"/>
    <mergeCell ref="B46:D46"/>
    <mergeCell ref="B47:D47"/>
    <mergeCell ref="B51:D51"/>
    <mergeCell ref="A6:B6"/>
    <mergeCell ref="A21:B21"/>
    <mergeCell ref="A34:B34"/>
    <mergeCell ref="A36:C36"/>
    <mergeCell ref="A37:C37"/>
    <mergeCell ref="A1:C1"/>
    <mergeCell ref="A2:C2"/>
    <mergeCell ref="A3:C3"/>
    <mergeCell ref="A4:B4"/>
    <mergeCell ref="A5:B5"/>
  </mergeCells>
  <pageMargins left="1.19444444444444" right="0.25" top="0.75" bottom="0.75" header="0.3" footer="0.3"/>
  <pageSetup paperSize="5" orientation="portrait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3"/>
  <sheetViews>
    <sheetView view="pageLayout" topLeftCell="A9" zoomScale="80" zoomScaleNormal="100" zoomScaleSheetLayoutView="110" zoomScalePageLayoutView="80" workbookViewId="0">
      <selection activeCell="L7" sqref="L7:L17"/>
    </sheetView>
  </sheetViews>
  <sheetFormatPr defaultColWidth="9" defaultRowHeight="15"/>
  <cols>
    <col min="1" max="1" width="4" style="52" customWidth="1"/>
    <col min="2" max="2" width="31.140625" customWidth="1"/>
    <col min="3" max="3" width="12.1406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1" spans="1:13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>
      <c r="A2" s="933" t="s">
        <v>1019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3">
      <c r="A3" s="933" t="s">
        <v>1043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</row>
    <row r="5" spans="1:13" s="49" customFormat="1" ht="19.5" customHeight="1">
      <c r="A5" s="1049" t="s">
        <v>439</v>
      </c>
      <c r="B5" s="1052" t="s">
        <v>207</v>
      </c>
      <c r="C5" s="1089" t="s">
        <v>933</v>
      </c>
      <c r="D5" s="1089"/>
      <c r="E5" s="1089"/>
      <c r="F5" s="1089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 ht="32.1" customHeight="1">
      <c r="A6" s="1051"/>
      <c r="B6" s="1054"/>
      <c r="C6" s="57" t="s">
        <v>959</v>
      </c>
      <c r="D6" s="58" t="s">
        <v>1021</v>
      </c>
      <c r="E6" s="59" t="s">
        <v>924</v>
      </c>
      <c r="F6" s="59" t="s">
        <v>670</v>
      </c>
      <c r="G6" s="59" t="s">
        <v>924</v>
      </c>
      <c r="H6" s="56" t="s">
        <v>1021</v>
      </c>
      <c r="I6" s="56" t="s">
        <v>670</v>
      </c>
      <c r="J6" s="1056"/>
      <c r="K6" s="60" t="s">
        <v>1008</v>
      </c>
      <c r="L6" s="60" t="s">
        <v>1009</v>
      </c>
      <c r="M6" s="1056"/>
    </row>
    <row r="7" spans="1:13" s="50" customFormat="1" ht="23.25" customHeight="1">
      <c r="A7" s="61">
        <v>1</v>
      </c>
      <c r="B7" s="25" t="s">
        <v>1044</v>
      </c>
      <c r="C7" s="25" t="s">
        <v>1022</v>
      </c>
      <c r="D7" s="62">
        <v>5</v>
      </c>
      <c r="E7" s="62">
        <v>55000</v>
      </c>
      <c r="F7" s="63">
        <f t="shared" ref="F7:F17" si="0">SUM(D7*E7)</f>
        <v>275000</v>
      </c>
      <c r="G7" s="64">
        <v>82500</v>
      </c>
      <c r="H7" s="62">
        <v>5</v>
      </c>
      <c r="I7" s="63">
        <f t="shared" ref="I7:I17" si="1">SUM(G7*H7)</f>
        <v>412500</v>
      </c>
      <c r="J7" s="1088">
        <f>SUM(I18-F18)</f>
        <v>1167000</v>
      </c>
      <c r="K7" s="1088">
        <f>SUM(J7*20%)</f>
        <v>233400</v>
      </c>
      <c r="L7" s="1088">
        <f>SUM(J7*80%)</f>
        <v>933600</v>
      </c>
      <c r="M7" s="63"/>
    </row>
    <row r="8" spans="1:13" ht="23.25" customHeight="1">
      <c r="A8" s="61">
        <v>2</v>
      </c>
      <c r="B8" s="65" t="s">
        <v>1016</v>
      </c>
      <c r="C8" s="65" t="s">
        <v>1022</v>
      </c>
      <c r="D8" s="66">
        <v>20</v>
      </c>
      <c r="E8" s="66">
        <v>180000</v>
      </c>
      <c r="F8" s="63">
        <f t="shared" si="0"/>
        <v>3600000</v>
      </c>
      <c r="G8" s="64">
        <v>210000</v>
      </c>
      <c r="H8" s="66">
        <v>20</v>
      </c>
      <c r="I8" s="63">
        <f t="shared" si="1"/>
        <v>4200000</v>
      </c>
      <c r="J8" s="1088"/>
      <c r="K8" s="1088"/>
      <c r="L8" s="1088"/>
      <c r="M8" s="66"/>
    </row>
    <row r="9" spans="1:13" ht="23.25" customHeight="1">
      <c r="A9" s="61">
        <v>3</v>
      </c>
      <c r="B9" s="65" t="s">
        <v>1017</v>
      </c>
      <c r="C9" s="65" t="s">
        <v>1022</v>
      </c>
      <c r="D9" s="66">
        <v>9</v>
      </c>
      <c r="E9" s="66">
        <v>157500</v>
      </c>
      <c r="F9" s="63">
        <f t="shared" si="0"/>
        <v>1417500</v>
      </c>
      <c r="G9" s="64">
        <v>185000</v>
      </c>
      <c r="H9" s="66">
        <v>9</v>
      </c>
      <c r="I9" s="63">
        <f t="shared" si="1"/>
        <v>1665000</v>
      </c>
      <c r="J9" s="1088"/>
      <c r="K9" s="1088"/>
      <c r="L9" s="1088"/>
      <c r="M9" s="66"/>
    </row>
    <row r="10" spans="1:13" ht="23.25" customHeight="1">
      <c r="A10" s="61">
        <v>4</v>
      </c>
      <c r="B10" s="65" t="s">
        <v>1045</v>
      </c>
      <c r="C10" s="65" t="s">
        <v>1022</v>
      </c>
      <c r="D10" s="66">
        <v>1</v>
      </c>
      <c r="E10" s="66">
        <v>65000</v>
      </c>
      <c r="F10" s="63">
        <f t="shared" si="0"/>
        <v>65000</v>
      </c>
      <c r="G10" s="64">
        <v>95000</v>
      </c>
      <c r="H10" s="66">
        <v>1</v>
      </c>
      <c r="I10" s="63">
        <f t="shared" si="1"/>
        <v>95000</v>
      </c>
      <c r="J10" s="1088"/>
      <c r="K10" s="1088"/>
      <c r="L10" s="1088"/>
      <c r="M10" s="66"/>
    </row>
    <row r="11" spans="1:13" ht="23.25" customHeight="1">
      <c r="A11" s="61">
        <v>5</v>
      </c>
      <c r="B11" s="65" t="s">
        <v>1046</v>
      </c>
      <c r="C11" s="65" t="s">
        <v>1023</v>
      </c>
      <c r="D11" s="66">
        <v>2</v>
      </c>
      <c r="E11" s="66">
        <v>58000</v>
      </c>
      <c r="F11" s="63">
        <f t="shared" si="0"/>
        <v>116000</v>
      </c>
      <c r="G11" s="64">
        <v>75000</v>
      </c>
      <c r="H11" s="66">
        <v>2</v>
      </c>
      <c r="I11" s="63">
        <f t="shared" si="1"/>
        <v>150000</v>
      </c>
      <c r="J11" s="1088"/>
      <c r="K11" s="1088"/>
      <c r="L11" s="1088"/>
      <c r="M11" s="66"/>
    </row>
    <row r="12" spans="1:13" ht="23.25" customHeight="1">
      <c r="A12" s="61">
        <v>6</v>
      </c>
      <c r="B12" s="65" t="s">
        <v>1047</v>
      </c>
      <c r="C12" s="65" t="s">
        <v>1022</v>
      </c>
      <c r="D12" s="64"/>
      <c r="E12" s="66">
        <v>65500</v>
      </c>
      <c r="F12" s="63">
        <f t="shared" si="0"/>
        <v>0</v>
      </c>
      <c r="G12" s="64"/>
      <c r="H12" s="66"/>
      <c r="I12" s="63">
        <f t="shared" si="1"/>
        <v>0</v>
      </c>
      <c r="J12" s="1088"/>
      <c r="K12" s="1088"/>
      <c r="L12" s="1088"/>
      <c r="M12" s="66"/>
    </row>
    <row r="13" spans="1:13" ht="23.25" customHeight="1">
      <c r="A13" s="61">
        <v>7</v>
      </c>
      <c r="B13" s="65" t="s">
        <v>1048</v>
      </c>
      <c r="C13" s="65" t="s">
        <v>1022</v>
      </c>
      <c r="D13" s="66">
        <v>1</v>
      </c>
      <c r="E13" s="66">
        <v>64000</v>
      </c>
      <c r="F13" s="63">
        <f t="shared" si="0"/>
        <v>64000</v>
      </c>
      <c r="G13" s="64">
        <v>97000</v>
      </c>
      <c r="H13" s="66">
        <v>1</v>
      </c>
      <c r="I13" s="63">
        <f t="shared" si="1"/>
        <v>97000</v>
      </c>
      <c r="J13" s="1088"/>
      <c r="K13" s="1088"/>
      <c r="L13" s="1088"/>
      <c r="M13" s="66"/>
    </row>
    <row r="14" spans="1:13" ht="23.25" customHeight="1">
      <c r="A14" s="61">
        <v>8</v>
      </c>
      <c r="B14" s="67" t="s">
        <v>1049</v>
      </c>
      <c r="C14" s="67" t="s">
        <v>1023</v>
      </c>
      <c r="D14" s="66">
        <v>1</v>
      </c>
      <c r="E14" s="66">
        <v>190000</v>
      </c>
      <c r="F14" s="63">
        <f t="shared" si="0"/>
        <v>190000</v>
      </c>
      <c r="G14" s="64">
        <v>230000</v>
      </c>
      <c r="H14" s="66">
        <v>1</v>
      </c>
      <c r="I14" s="63">
        <f t="shared" si="1"/>
        <v>230000</v>
      </c>
      <c r="J14" s="1088"/>
      <c r="K14" s="1088"/>
      <c r="L14" s="1088"/>
      <c r="M14" s="66"/>
    </row>
    <row r="15" spans="1:13" s="51" customFormat="1" ht="23.25" customHeight="1">
      <c r="A15" s="61">
        <v>9</v>
      </c>
      <c r="B15" s="68" t="s">
        <v>1050</v>
      </c>
      <c r="C15" s="68" t="s">
        <v>1051</v>
      </c>
      <c r="D15" s="70">
        <v>1</v>
      </c>
      <c r="E15" s="70">
        <v>265000</v>
      </c>
      <c r="F15" s="63">
        <f t="shared" si="0"/>
        <v>265000</v>
      </c>
      <c r="G15" s="69">
        <v>310000</v>
      </c>
      <c r="H15" s="70">
        <v>1</v>
      </c>
      <c r="I15" s="63">
        <f t="shared" si="1"/>
        <v>310000</v>
      </c>
      <c r="J15" s="1088"/>
      <c r="K15" s="1088"/>
      <c r="L15" s="1088"/>
      <c r="M15" s="72"/>
    </row>
    <row r="16" spans="1:13" s="51" customFormat="1" ht="23.25" customHeight="1">
      <c r="A16" s="61">
        <v>10</v>
      </c>
      <c r="B16" s="68" t="s">
        <v>1052</v>
      </c>
      <c r="C16" s="68" t="s">
        <v>1023</v>
      </c>
      <c r="D16" s="69"/>
      <c r="E16" s="70">
        <v>98000</v>
      </c>
      <c r="F16" s="63">
        <f t="shared" si="0"/>
        <v>0</v>
      </c>
      <c r="G16" s="56"/>
      <c r="H16" s="72"/>
      <c r="I16" s="63">
        <f t="shared" si="1"/>
        <v>0</v>
      </c>
      <c r="J16" s="1088"/>
      <c r="K16" s="1088"/>
      <c r="L16" s="1088"/>
      <c r="M16" s="72"/>
    </row>
    <row r="17" spans="1:13" s="51" customFormat="1" ht="23.25" customHeight="1">
      <c r="A17" s="61">
        <v>11</v>
      </c>
      <c r="B17" s="68" t="s">
        <v>1053</v>
      </c>
      <c r="C17" s="68" t="s">
        <v>1022</v>
      </c>
      <c r="D17" s="69"/>
      <c r="E17" s="70">
        <v>18000</v>
      </c>
      <c r="F17" s="63">
        <f t="shared" si="0"/>
        <v>0</v>
      </c>
      <c r="G17" s="56"/>
      <c r="H17" s="72"/>
      <c r="I17" s="63">
        <f t="shared" si="1"/>
        <v>0</v>
      </c>
      <c r="J17" s="1088"/>
      <c r="K17" s="1088"/>
      <c r="L17" s="1088"/>
      <c r="M17" s="72"/>
    </row>
    <row r="18" spans="1:13" s="51" customFormat="1" ht="23.25" customHeight="1">
      <c r="A18" s="1090" t="s">
        <v>111</v>
      </c>
      <c r="B18" s="1091"/>
      <c r="C18" s="71"/>
      <c r="D18" s="56">
        <f>SUM(D7:D17)</f>
        <v>40</v>
      </c>
      <c r="E18" s="72"/>
      <c r="F18" s="72">
        <f>SUM(F7:F17)</f>
        <v>5992500</v>
      </c>
      <c r="G18" s="56"/>
      <c r="H18" s="72">
        <f>SUM(H7:H17)</f>
        <v>40</v>
      </c>
      <c r="I18" s="72">
        <f>SUM(I7:I17)</f>
        <v>7159500</v>
      </c>
      <c r="J18" s="72"/>
      <c r="K18" s="72">
        <f>J18*20%</f>
        <v>0</v>
      </c>
      <c r="L18" s="72"/>
      <c r="M18" s="72"/>
    </row>
    <row r="20" spans="1:13">
      <c r="B20" t="s">
        <v>1054</v>
      </c>
      <c r="C20" s="83">
        <f>SUM(F18+'PESTISIDA (2)'!F35)</f>
        <v>41562500</v>
      </c>
      <c r="F20" s="54">
        <f>F18+'TAHAP 2'!F34</f>
        <v>21416800</v>
      </c>
    </row>
    <row r="21" spans="1:13">
      <c r="C21" s="85">
        <f>340000000+C20</f>
        <v>381562500</v>
      </c>
    </row>
    <row r="22" spans="1:13">
      <c r="B22" t="s">
        <v>1055</v>
      </c>
      <c r="C22" s="86">
        <f>SUM('TAHAP 2'!L7+L7)</f>
        <v>4373360</v>
      </c>
    </row>
    <row r="23" spans="1:13">
      <c r="C23" s="85">
        <f>SUM('TAHAP 2'!K7+K7)</f>
        <v>1093340</v>
      </c>
    </row>
  </sheetData>
  <mergeCells count="14">
    <mergeCell ref="K7:K17"/>
    <mergeCell ref="L7:L17"/>
    <mergeCell ref="M5:M6"/>
    <mergeCell ref="A18:B18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4"/>
  <sheetViews>
    <sheetView view="pageLayout" topLeftCell="A11" zoomScale="80" zoomScaleNormal="100" zoomScaleSheetLayoutView="110" zoomScalePageLayoutView="80" workbookViewId="0">
      <selection activeCell="H18" sqref="H18"/>
    </sheetView>
  </sheetViews>
  <sheetFormatPr defaultColWidth="9" defaultRowHeight="15"/>
  <cols>
    <col min="1" max="1" width="4" style="52" customWidth="1"/>
    <col min="2" max="2" width="31.140625" customWidth="1"/>
    <col min="3" max="3" width="12.1406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  <col min="13" max="13" width="9.140625" style="54"/>
  </cols>
  <sheetData>
    <row r="1" spans="1:13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</row>
    <row r="2" spans="1:13">
      <c r="A2" s="933" t="s">
        <v>1019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</row>
    <row r="3" spans="1:13">
      <c r="A3" s="933" t="s">
        <v>1056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</row>
    <row r="5" spans="1:13" s="49" customFormat="1" ht="19.5" customHeight="1">
      <c r="A5" s="1049" t="s">
        <v>439</v>
      </c>
      <c r="B5" s="1052" t="s">
        <v>207</v>
      </c>
      <c r="C5" s="1089" t="s">
        <v>933</v>
      </c>
      <c r="D5" s="1089"/>
      <c r="E5" s="1089"/>
      <c r="F5" s="1089"/>
      <c r="G5" s="1046" t="s">
        <v>934</v>
      </c>
      <c r="H5" s="1047"/>
      <c r="I5" s="1048"/>
      <c r="J5" s="1055" t="s">
        <v>669</v>
      </c>
      <c r="K5" s="1058" t="s">
        <v>935</v>
      </c>
      <c r="L5" s="1059"/>
      <c r="M5" s="1055" t="s">
        <v>936</v>
      </c>
    </row>
    <row r="6" spans="1:13" s="49" customFormat="1" ht="32.1" customHeight="1">
      <c r="A6" s="1051"/>
      <c r="B6" s="1054"/>
      <c r="C6" s="57" t="s">
        <v>959</v>
      </c>
      <c r="D6" s="58" t="s">
        <v>1021</v>
      </c>
      <c r="E6" s="59" t="s">
        <v>924</v>
      </c>
      <c r="F6" s="59" t="s">
        <v>670</v>
      </c>
      <c r="G6" s="59" t="s">
        <v>924</v>
      </c>
      <c r="H6" s="56" t="s">
        <v>1021</v>
      </c>
      <c r="I6" s="56" t="s">
        <v>670</v>
      </c>
      <c r="J6" s="1056"/>
      <c r="K6" s="60" t="s">
        <v>1008</v>
      </c>
      <c r="L6" s="60" t="s">
        <v>1009</v>
      </c>
      <c r="M6" s="1056"/>
    </row>
    <row r="7" spans="1:13" s="50" customFormat="1" ht="23.25" customHeight="1">
      <c r="A7" s="61">
        <v>1</v>
      </c>
      <c r="B7" s="25" t="s">
        <v>1046</v>
      </c>
      <c r="C7" s="25" t="s">
        <v>1057</v>
      </c>
      <c r="D7" s="62">
        <v>3</v>
      </c>
      <c r="E7" s="62">
        <v>58000</v>
      </c>
      <c r="F7" s="63">
        <f t="shared" ref="F7:F18" si="0">SUM(D7*E7)</f>
        <v>174000</v>
      </c>
      <c r="G7" s="64">
        <v>75000</v>
      </c>
      <c r="H7" s="62">
        <v>3</v>
      </c>
      <c r="I7" s="63">
        <f t="shared" ref="I7:I18" si="1">SUM(G7*H7)</f>
        <v>225000</v>
      </c>
      <c r="J7" s="1088">
        <f>SUM(I19-F19)</f>
        <v>723500</v>
      </c>
      <c r="K7" s="1088">
        <f>SUM(J7*20%)</f>
        <v>144700</v>
      </c>
      <c r="L7" s="1088">
        <f>SUM(J7*80%)</f>
        <v>578800</v>
      </c>
      <c r="M7" s="63"/>
    </row>
    <row r="8" spans="1:13" ht="23.25" customHeight="1">
      <c r="A8" s="61">
        <v>2</v>
      </c>
      <c r="B8" s="65" t="s">
        <v>1058</v>
      </c>
      <c r="C8" s="65" t="s">
        <v>1022</v>
      </c>
      <c r="D8" s="66">
        <v>1</v>
      </c>
      <c r="E8" s="66">
        <v>370000</v>
      </c>
      <c r="F8" s="63">
        <f t="shared" si="0"/>
        <v>370000</v>
      </c>
      <c r="G8" s="64">
        <v>420000</v>
      </c>
      <c r="H8" s="66">
        <v>1</v>
      </c>
      <c r="I8" s="63">
        <f t="shared" si="1"/>
        <v>420000</v>
      </c>
      <c r="J8" s="1088"/>
      <c r="K8" s="1088"/>
      <c r="L8" s="1088"/>
      <c r="M8" s="66"/>
    </row>
    <row r="9" spans="1:13" ht="23.25" customHeight="1">
      <c r="A9" s="61">
        <v>3</v>
      </c>
      <c r="B9" s="65" t="s">
        <v>1017</v>
      </c>
      <c r="C9" s="65" t="s">
        <v>1022</v>
      </c>
      <c r="D9" s="66">
        <v>2</v>
      </c>
      <c r="E9" s="66">
        <v>157500</v>
      </c>
      <c r="F9" s="63">
        <f t="shared" si="0"/>
        <v>315000</v>
      </c>
      <c r="G9" s="64">
        <v>185000</v>
      </c>
      <c r="H9" s="66">
        <v>2</v>
      </c>
      <c r="I9" s="63">
        <f t="shared" si="1"/>
        <v>370000</v>
      </c>
      <c r="J9" s="1088"/>
      <c r="K9" s="1088"/>
      <c r="L9" s="1088"/>
      <c r="M9" s="66"/>
    </row>
    <row r="10" spans="1:13" ht="23.25" customHeight="1">
      <c r="A10" s="61">
        <v>4</v>
      </c>
      <c r="B10" s="65" t="s">
        <v>1059</v>
      </c>
      <c r="C10" s="65" t="s">
        <v>1022</v>
      </c>
      <c r="D10" s="66">
        <v>5</v>
      </c>
      <c r="E10" s="66">
        <v>180000</v>
      </c>
      <c r="F10" s="63">
        <f t="shared" si="0"/>
        <v>900000</v>
      </c>
      <c r="G10" s="64">
        <v>210000</v>
      </c>
      <c r="H10" s="66">
        <v>5</v>
      </c>
      <c r="I10" s="63">
        <f t="shared" si="1"/>
        <v>1050000</v>
      </c>
      <c r="J10" s="1088"/>
      <c r="K10" s="1088"/>
      <c r="L10" s="1088"/>
      <c r="M10" s="66"/>
    </row>
    <row r="11" spans="1:13" ht="23.25" customHeight="1">
      <c r="A11" s="61">
        <v>5</v>
      </c>
      <c r="B11" s="65" t="s">
        <v>1060</v>
      </c>
      <c r="C11" s="65" t="s">
        <v>1022</v>
      </c>
      <c r="D11" s="66">
        <v>2</v>
      </c>
      <c r="E11" s="66">
        <v>55000</v>
      </c>
      <c r="F11" s="63">
        <f t="shared" si="0"/>
        <v>110000</v>
      </c>
      <c r="G11" s="64">
        <v>64000</v>
      </c>
      <c r="H11" s="66">
        <v>2</v>
      </c>
      <c r="I11" s="63">
        <f t="shared" si="1"/>
        <v>128000</v>
      </c>
      <c r="J11" s="1088"/>
      <c r="K11" s="1088"/>
      <c r="L11" s="1088"/>
      <c r="M11" s="66"/>
    </row>
    <row r="12" spans="1:13" ht="23.25" customHeight="1">
      <c r="A12" s="61">
        <v>6</v>
      </c>
      <c r="B12" s="65" t="s">
        <v>1061</v>
      </c>
      <c r="C12" s="65" t="s">
        <v>1022</v>
      </c>
      <c r="D12" s="64">
        <v>3</v>
      </c>
      <c r="E12" s="66">
        <v>52000</v>
      </c>
      <c r="F12" s="63">
        <f t="shared" si="0"/>
        <v>156000</v>
      </c>
      <c r="G12" s="64">
        <v>80000</v>
      </c>
      <c r="H12" s="66">
        <v>3</v>
      </c>
      <c r="I12" s="63">
        <f t="shared" si="1"/>
        <v>240000</v>
      </c>
      <c r="J12" s="1088"/>
      <c r="K12" s="1088"/>
      <c r="L12" s="1088"/>
      <c r="M12" s="66"/>
    </row>
    <row r="13" spans="1:13" ht="23.25" customHeight="1">
      <c r="A13" s="61">
        <v>7</v>
      </c>
      <c r="B13" s="65" t="s">
        <v>1062</v>
      </c>
      <c r="C13" s="65" t="s">
        <v>1022</v>
      </c>
      <c r="D13" s="66">
        <v>1</v>
      </c>
      <c r="E13" s="66">
        <v>143000</v>
      </c>
      <c r="F13" s="63">
        <f t="shared" si="0"/>
        <v>143000</v>
      </c>
      <c r="G13" s="64">
        <v>165000</v>
      </c>
      <c r="H13" s="66">
        <v>1</v>
      </c>
      <c r="I13" s="63">
        <f t="shared" si="1"/>
        <v>165000</v>
      </c>
      <c r="J13" s="1088"/>
      <c r="K13" s="1088"/>
      <c r="L13" s="1088"/>
      <c r="M13" s="66"/>
    </row>
    <row r="14" spans="1:13" ht="23.25" customHeight="1">
      <c r="A14" s="61">
        <v>8</v>
      </c>
      <c r="B14" s="67" t="s">
        <v>1063</v>
      </c>
      <c r="C14" s="67" t="s">
        <v>1022</v>
      </c>
      <c r="D14" s="66">
        <v>2</v>
      </c>
      <c r="E14" s="66">
        <v>65000</v>
      </c>
      <c r="F14" s="63">
        <f t="shared" si="0"/>
        <v>130000</v>
      </c>
      <c r="G14" s="64">
        <v>95000</v>
      </c>
      <c r="H14" s="66">
        <v>2</v>
      </c>
      <c r="I14" s="63">
        <f t="shared" si="1"/>
        <v>190000</v>
      </c>
      <c r="J14" s="1088"/>
      <c r="K14" s="1088"/>
      <c r="L14" s="1088"/>
      <c r="M14" s="66"/>
    </row>
    <row r="15" spans="1:13" s="51" customFormat="1" ht="23.25" customHeight="1">
      <c r="A15" s="61">
        <v>9</v>
      </c>
      <c r="B15" s="68" t="s">
        <v>1050</v>
      </c>
      <c r="C15" s="68" t="s">
        <v>1051</v>
      </c>
      <c r="D15" s="70">
        <v>1</v>
      </c>
      <c r="E15" s="70">
        <v>265000</v>
      </c>
      <c r="F15" s="63">
        <f t="shared" si="0"/>
        <v>265000</v>
      </c>
      <c r="G15" s="69">
        <v>310000</v>
      </c>
      <c r="H15" s="70">
        <v>1</v>
      </c>
      <c r="I15" s="63">
        <f t="shared" si="1"/>
        <v>310000</v>
      </c>
      <c r="J15" s="1088"/>
      <c r="K15" s="1088"/>
      <c r="L15" s="1088"/>
      <c r="M15" s="72"/>
    </row>
    <row r="16" spans="1:13" s="51" customFormat="1" ht="23.25" customHeight="1">
      <c r="A16" s="61">
        <v>10</v>
      </c>
      <c r="B16" s="68" t="s">
        <v>1064</v>
      </c>
      <c r="C16" s="68" t="s">
        <v>1065</v>
      </c>
      <c r="D16" s="69">
        <v>2</v>
      </c>
      <c r="E16" s="70">
        <v>55000</v>
      </c>
      <c r="F16" s="63">
        <f t="shared" si="0"/>
        <v>110000</v>
      </c>
      <c r="G16" s="69">
        <v>82500</v>
      </c>
      <c r="H16" s="70">
        <v>2</v>
      </c>
      <c r="I16" s="63">
        <f t="shared" si="1"/>
        <v>165000</v>
      </c>
      <c r="J16" s="1088"/>
      <c r="K16" s="1088"/>
      <c r="L16" s="1088"/>
      <c r="M16" s="72"/>
    </row>
    <row r="17" spans="1:13" s="51" customFormat="1" ht="23.25" customHeight="1">
      <c r="A17" s="61">
        <v>11</v>
      </c>
      <c r="B17" s="68" t="s">
        <v>1066</v>
      </c>
      <c r="C17" s="68" t="s">
        <v>1022</v>
      </c>
      <c r="D17" s="69">
        <v>3</v>
      </c>
      <c r="E17" s="70">
        <v>134500</v>
      </c>
      <c r="F17" s="63">
        <f t="shared" si="0"/>
        <v>403500</v>
      </c>
      <c r="G17" s="69">
        <v>156000</v>
      </c>
      <c r="H17" s="70">
        <v>3</v>
      </c>
      <c r="I17" s="63">
        <f t="shared" si="1"/>
        <v>468000</v>
      </c>
      <c r="J17" s="1088"/>
      <c r="K17" s="1088"/>
      <c r="L17" s="1088"/>
      <c r="M17" s="72"/>
    </row>
    <row r="18" spans="1:13" s="51" customFormat="1" ht="23.25" customHeight="1">
      <c r="A18" s="61">
        <v>12</v>
      </c>
      <c r="B18" s="68" t="s">
        <v>1067</v>
      </c>
      <c r="C18" s="68" t="s">
        <v>1022</v>
      </c>
      <c r="D18" s="69">
        <v>2</v>
      </c>
      <c r="E18" s="70">
        <v>30000</v>
      </c>
      <c r="F18" s="63">
        <f t="shared" si="0"/>
        <v>60000</v>
      </c>
      <c r="G18" s="69">
        <v>34500</v>
      </c>
      <c r="H18" s="70">
        <v>2</v>
      </c>
      <c r="I18" s="63">
        <f t="shared" si="1"/>
        <v>69000</v>
      </c>
      <c r="J18" s="72"/>
      <c r="K18" s="72"/>
      <c r="L18" s="72"/>
      <c r="M18" s="72"/>
    </row>
    <row r="19" spans="1:13" s="51" customFormat="1" ht="23.25" customHeight="1">
      <c r="A19" s="1090" t="s">
        <v>111</v>
      </c>
      <c r="B19" s="1091"/>
      <c r="C19" s="71"/>
      <c r="D19" s="56">
        <f t="shared" ref="D19:H19" si="2">SUM(D7:D17)</f>
        <v>25</v>
      </c>
      <c r="E19" s="72"/>
      <c r="F19" s="72">
        <f t="shared" si="2"/>
        <v>3076500</v>
      </c>
      <c r="G19" s="56"/>
      <c r="H19" s="72">
        <f t="shared" si="2"/>
        <v>25</v>
      </c>
      <c r="I19" s="72">
        <f>SUM(I7:I18)</f>
        <v>3800000</v>
      </c>
      <c r="J19" s="72"/>
      <c r="K19" s="72">
        <f>J19*20%</f>
        <v>0</v>
      </c>
      <c r="L19" s="72"/>
      <c r="M19" s="72"/>
    </row>
    <row r="21" spans="1:13">
      <c r="C21" s="83"/>
    </row>
    <row r="22" spans="1:13">
      <c r="C22" s="84">
        <v>28411700</v>
      </c>
    </row>
    <row r="23" spans="1:13">
      <c r="B23" t="s">
        <v>1068</v>
      </c>
      <c r="C23" s="85">
        <f>F19</f>
        <v>3076500</v>
      </c>
    </row>
    <row r="24" spans="1:13">
      <c r="C24" s="85">
        <f>C22-C23</f>
        <v>25335200</v>
      </c>
    </row>
  </sheetData>
  <mergeCells count="14">
    <mergeCell ref="K7:K17"/>
    <mergeCell ref="L7:L17"/>
    <mergeCell ref="M5:M6"/>
    <mergeCell ref="A19:B19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9"/>
  <sheetViews>
    <sheetView view="pageLayout" topLeftCell="A7" zoomScale="80" zoomScaleNormal="100" zoomScaleSheetLayoutView="110" zoomScalePageLayoutView="80" workbookViewId="0">
      <selection activeCell="M9" sqref="M9"/>
    </sheetView>
  </sheetViews>
  <sheetFormatPr defaultColWidth="9" defaultRowHeight="15"/>
  <cols>
    <col min="1" max="1" width="4" style="52" customWidth="1"/>
    <col min="2" max="2" width="31.140625" customWidth="1"/>
    <col min="3" max="3" width="12.140625" customWidth="1"/>
    <col min="4" max="4" width="9.140625" style="53"/>
    <col min="5" max="6" width="12.140625" style="54" customWidth="1"/>
    <col min="7" max="7" width="9.140625" style="53"/>
    <col min="8" max="10" width="12.140625" style="54" customWidth="1"/>
    <col min="11" max="12" width="13" style="54" customWidth="1"/>
  </cols>
  <sheetData>
    <row r="1" spans="1:12">
      <c r="A1" s="933" t="s">
        <v>1005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</row>
    <row r="2" spans="1:12">
      <c r="A2" s="933" t="s">
        <v>1019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</row>
    <row r="3" spans="1:12">
      <c r="A3" s="933" t="s">
        <v>1069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</row>
    <row r="5" spans="1:12" s="49" customFormat="1" ht="19.5" customHeight="1">
      <c r="A5" s="1049" t="s">
        <v>439</v>
      </c>
      <c r="B5" s="1052" t="s">
        <v>207</v>
      </c>
      <c r="C5" s="1089" t="s">
        <v>933</v>
      </c>
      <c r="D5" s="1089"/>
      <c r="E5" s="1089"/>
      <c r="F5" s="1089"/>
      <c r="G5" s="1046" t="s">
        <v>934</v>
      </c>
      <c r="H5" s="1047"/>
      <c r="I5" s="1048"/>
      <c r="J5" s="1055" t="s">
        <v>669</v>
      </c>
      <c r="K5" s="1089" t="s">
        <v>935</v>
      </c>
      <c r="L5" s="1089"/>
    </row>
    <row r="6" spans="1:12" s="49" customFormat="1" ht="27.95" customHeight="1">
      <c r="A6" s="1051"/>
      <c r="B6" s="1054"/>
      <c r="C6" s="57" t="s">
        <v>959</v>
      </c>
      <c r="D6" s="58" t="s">
        <v>1021</v>
      </c>
      <c r="E6" s="59" t="s">
        <v>924</v>
      </c>
      <c r="F6" s="59" t="s">
        <v>670</v>
      </c>
      <c r="G6" s="59" t="s">
        <v>924</v>
      </c>
      <c r="H6" s="56" t="s">
        <v>1021</v>
      </c>
      <c r="I6" s="56" t="s">
        <v>670</v>
      </c>
      <c r="J6" s="1056"/>
      <c r="K6" s="60" t="s">
        <v>1070</v>
      </c>
      <c r="L6" s="60" t="s">
        <v>1071</v>
      </c>
    </row>
    <row r="7" spans="1:12" s="50" customFormat="1" ht="15.95" customHeight="1">
      <c r="A7" s="61">
        <v>1</v>
      </c>
      <c r="B7" s="25" t="s">
        <v>1046</v>
      </c>
      <c r="C7" s="25" t="s">
        <v>1057</v>
      </c>
      <c r="D7" s="62">
        <v>4</v>
      </c>
      <c r="E7" s="62">
        <v>58000</v>
      </c>
      <c r="F7" s="63">
        <f t="shared" ref="F7:F20" si="0">SUM(D7*E7)</f>
        <v>232000</v>
      </c>
      <c r="G7" s="64">
        <v>75000</v>
      </c>
      <c r="H7" s="62">
        <f>SUM(D7)</f>
        <v>4</v>
      </c>
      <c r="I7" s="63">
        <f t="shared" ref="I7:I20" si="1">SUM(G7*H7)</f>
        <v>300000</v>
      </c>
      <c r="J7" s="1088">
        <f>SUM(I21-F21)</f>
        <v>1004600</v>
      </c>
      <c r="K7" s="1088">
        <f>SUM(J7*40%)</f>
        <v>401840</v>
      </c>
      <c r="L7" s="1088">
        <f>SUM(J7*60%)</f>
        <v>602760</v>
      </c>
    </row>
    <row r="8" spans="1:12" ht="15.95" customHeight="1">
      <c r="A8" s="61">
        <v>2</v>
      </c>
      <c r="B8" s="65" t="s">
        <v>1058</v>
      </c>
      <c r="C8" s="65" t="s">
        <v>1022</v>
      </c>
      <c r="D8" s="66">
        <v>2</v>
      </c>
      <c r="E8" s="66">
        <v>370000</v>
      </c>
      <c r="F8" s="63">
        <f t="shared" si="0"/>
        <v>740000</v>
      </c>
      <c r="G8" s="64">
        <v>420000</v>
      </c>
      <c r="H8" s="62">
        <f>SUM(D8)</f>
        <v>2</v>
      </c>
      <c r="I8" s="63">
        <f t="shared" si="1"/>
        <v>840000</v>
      </c>
      <c r="J8" s="1088"/>
      <c r="K8" s="1088"/>
      <c r="L8" s="1088"/>
    </row>
    <row r="9" spans="1:12" ht="15.95" customHeight="1">
      <c r="A9" s="61">
        <v>3</v>
      </c>
      <c r="B9" s="65" t="s">
        <v>1017</v>
      </c>
      <c r="C9" s="65" t="s">
        <v>1022</v>
      </c>
      <c r="D9" s="66">
        <v>2</v>
      </c>
      <c r="E9" s="66">
        <v>157500</v>
      </c>
      <c r="F9" s="63">
        <f t="shared" si="0"/>
        <v>315000</v>
      </c>
      <c r="G9" s="64">
        <v>185000</v>
      </c>
      <c r="H9" s="62">
        <f>SUM(D9)</f>
        <v>2</v>
      </c>
      <c r="I9" s="63">
        <f t="shared" si="1"/>
        <v>370000</v>
      </c>
      <c r="J9" s="1088"/>
      <c r="K9" s="1088"/>
      <c r="L9" s="1088"/>
    </row>
    <row r="10" spans="1:12" ht="15.95" customHeight="1">
      <c r="A10" s="61">
        <v>4</v>
      </c>
      <c r="B10" s="65" t="s">
        <v>1059</v>
      </c>
      <c r="C10" s="65" t="s">
        <v>1022</v>
      </c>
      <c r="D10" s="66">
        <v>7</v>
      </c>
      <c r="E10" s="66">
        <v>180000</v>
      </c>
      <c r="F10" s="63">
        <f t="shared" si="0"/>
        <v>1260000</v>
      </c>
      <c r="G10" s="64">
        <v>210000</v>
      </c>
      <c r="H10" s="62">
        <f>SUM(D10)</f>
        <v>7</v>
      </c>
      <c r="I10" s="63">
        <f t="shared" si="1"/>
        <v>1470000</v>
      </c>
      <c r="J10" s="1088"/>
      <c r="K10" s="1088"/>
      <c r="L10" s="1088"/>
    </row>
    <row r="11" spans="1:12" ht="15.95" customHeight="1">
      <c r="A11" s="61">
        <v>5</v>
      </c>
      <c r="B11" s="65" t="s">
        <v>1061</v>
      </c>
      <c r="C11" s="65" t="s">
        <v>1022</v>
      </c>
      <c r="D11" s="64">
        <v>4</v>
      </c>
      <c r="E11" s="66">
        <v>52000</v>
      </c>
      <c r="F11" s="63">
        <f t="shared" si="0"/>
        <v>208000</v>
      </c>
      <c r="G11" s="64">
        <v>80000</v>
      </c>
      <c r="H11" s="62">
        <f>SUM(D11)</f>
        <v>4</v>
      </c>
      <c r="I11" s="63">
        <f t="shared" si="1"/>
        <v>320000</v>
      </c>
      <c r="J11" s="1088"/>
      <c r="K11" s="1088"/>
      <c r="L11" s="1088"/>
    </row>
    <row r="12" spans="1:12" ht="15.95" customHeight="1">
      <c r="A12" s="61">
        <v>6</v>
      </c>
      <c r="B12" s="67" t="s">
        <v>1063</v>
      </c>
      <c r="C12" s="67" t="s">
        <v>1022</v>
      </c>
      <c r="D12" s="66">
        <v>3</v>
      </c>
      <c r="E12" s="66">
        <v>65000</v>
      </c>
      <c r="F12" s="63">
        <f t="shared" si="0"/>
        <v>195000</v>
      </c>
      <c r="G12" s="64">
        <v>95000</v>
      </c>
      <c r="H12" s="62">
        <v>3</v>
      </c>
      <c r="I12" s="63">
        <f t="shared" si="1"/>
        <v>285000</v>
      </c>
      <c r="J12" s="1088"/>
      <c r="K12" s="1088"/>
      <c r="L12" s="1088"/>
    </row>
    <row r="13" spans="1:12" s="51" customFormat="1" ht="15.95" customHeight="1">
      <c r="A13" s="61">
        <v>8</v>
      </c>
      <c r="B13" s="68" t="s">
        <v>1064</v>
      </c>
      <c r="C13" s="68" t="s">
        <v>1065</v>
      </c>
      <c r="D13" s="69">
        <v>2</v>
      </c>
      <c r="E13" s="70">
        <v>55000</v>
      </c>
      <c r="F13" s="63">
        <f t="shared" si="0"/>
        <v>110000</v>
      </c>
      <c r="G13" s="69">
        <v>82500</v>
      </c>
      <c r="H13" s="62">
        <f>SUM(D13)</f>
        <v>2</v>
      </c>
      <c r="I13" s="63">
        <f t="shared" si="1"/>
        <v>165000</v>
      </c>
      <c r="J13" s="1088"/>
      <c r="K13" s="1088"/>
      <c r="L13" s="1088"/>
    </row>
    <row r="14" spans="1:12" s="51" customFormat="1" ht="15.95" customHeight="1">
      <c r="A14" s="61">
        <v>10</v>
      </c>
      <c r="B14" s="68" t="s">
        <v>1067</v>
      </c>
      <c r="C14" s="68" t="s">
        <v>1022</v>
      </c>
      <c r="D14" s="69">
        <v>1</v>
      </c>
      <c r="E14" s="70">
        <v>30000</v>
      </c>
      <c r="F14" s="63">
        <f t="shared" si="0"/>
        <v>30000</v>
      </c>
      <c r="G14" s="69">
        <v>34500</v>
      </c>
      <c r="H14" s="62">
        <f t="shared" ref="H14:H20" si="2">SUM(D14)</f>
        <v>1</v>
      </c>
      <c r="I14" s="63">
        <f t="shared" si="1"/>
        <v>34500</v>
      </c>
      <c r="J14" s="1088"/>
      <c r="K14" s="1088"/>
      <c r="L14" s="1088"/>
    </row>
    <row r="15" spans="1:12" s="51" customFormat="1" ht="15.95" customHeight="1">
      <c r="A15" s="61">
        <v>11</v>
      </c>
      <c r="B15" s="68" t="s">
        <v>1072</v>
      </c>
      <c r="C15" s="68" t="s">
        <v>1022</v>
      </c>
      <c r="D15" s="69">
        <v>1</v>
      </c>
      <c r="E15" s="70">
        <v>45000</v>
      </c>
      <c r="F15" s="63">
        <f t="shared" si="0"/>
        <v>45000</v>
      </c>
      <c r="G15" s="69">
        <v>75000</v>
      </c>
      <c r="H15" s="62">
        <f t="shared" si="2"/>
        <v>1</v>
      </c>
      <c r="I15" s="63">
        <f t="shared" si="1"/>
        <v>75000</v>
      </c>
      <c r="J15" s="1088"/>
      <c r="K15" s="1088"/>
      <c r="L15" s="1088"/>
    </row>
    <row r="16" spans="1:12" s="51" customFormat="1" ht="15.95" customHeight="1">
      <c r="A16" s="61">
        <v>12</v>
      </c>
      <c r="B16" s="68" t="s">
        <v>1073</v>
      </c>
      <c r="C16" s="68" t="s">
        <v>1023</v>
      </c>
      <c r="D16" s="69">
        <v>3</v>
      </c>
      <c r="E16" s="70">
        <v>34800</v>
      </c>
      <c r="F16" s="63">
        <f t="shared" si="0"/>
        <v>104400</v>
      </c>
      <c r="G16" s="69">
        <v>52500</v>
      </c>
      <c r="H16" s="62">
        <f t="shared" si="2"/>
        <v>3</v>
      </c>
      <c r="I16" s="63">
        <f t="shared" si="1"/>
        <v>157500</v>
      </c>
      <c r="J16" s="1088"/>
      <c r="K16" s="1088"/>
      <c r="L16" s="1088"/>
    </row>
    <row r="17" spans="1:12" s="51" customFormat="1" ht="15.95" customHeight="1">
      <c r="A17" s="61">
        <v>13</v>
      </c>
      <c r="B17" s="68" t="s">
        <v>1074</v>
      </c>
      <c r="C17" s="68" t="s">
        <v>1022</v>
      </c>
      <c r="D17" s="69">
        <v>2</v>
      </c>
      <c r="E17" s="70">
        <v>365000</v>
      </c>
      <c r="F17" s="63">
        <f t="shared" si="0"/>
        <v>730000</v>
      </c>
      <c r="G17" s="69">
        <v>410000</v>
      </c>
      <c r="H17" s="62">
        <f t="shared" si="2"/>
        <v>2</v>
      </c>
      <c r="I17" s="63">
        <f t="shared" si="1"/>
        <v>820000</v>
      </c>
      <c r="J17" s="1088"/>
      <c r="K17" s="1088"/>
      <c r="L17" s="1088"/>
    </row>
    <row r="18" spans="1:12" s="51" customFormat="1" ht="15.95" customHeight="1">
      <c r="A18" s="61">
        <v>14</v>
      </c>
      <c r="B18" s="68" t="s">
        <v>1075</v>
      </c>
      <c r="C18" s="68" t="s">
        <v>1022</v>
      </c>
      <c r="D18" s="69">
        <v>2</v>
      </c>
      <c r="E18" s="70">
        <v>91500</v>
      </c>
      <c r="F18" s="63">
        <f t="shared" si="0"/>
        <v>183000</v>
      </c>
      <c r="G18" s="69">
        <v>135000</v>
      </c>
      <c r="H18" s="62">
        <f t="shared" si="2"/>
        <v>2</v>
      </c>
      <c r="I18" s="63">
        <f t="shared" si="1"/>
        <v>270000</v>
      </c>
      <c r="J18" s="1088"/>
      <c r="K18" s="1088"/>
      <c r="L18" s="1088"/>
    </row>
    <row r="19" spans="1:12" s="51" customFormat="1" ht="15.95" customHeight="1">
      <c r="A19" s="61">
        <v>15</v>
      </c>
      <c r="B19" s="68" t="s">
        <v>1076</v>
      </c>
      <c r="C19" s="68" t="s">
        <v>1023</v>
      </c>
      <c r="D19" s="69">
        <v>2</v>
      </c>
      <c r="E19" s="70">
        <v>60000</v>
      </c>
      <c r="F19" s="63">
        <f t="shared" si="0"/>
        <v>120000</v>
      </c>
      <c r="G19" s="69">
        <v>75000</v>
      </c>
      <c r="H19" s="62">
        <f t="shared" si="2"/>
        <v>2</v>
      </c>
      <c r="I19" s="63">
        <f t="shared" si="1"/>
        <v>150000</v>
      </c>
      <c r="J19" s="1088"/>
      <c r="K19" s="1088"/>
      <c r="L19" s="1088"/>
    </row>
    <row r="20" spans="1:12" s="51" customFormat="1" ht="15.95" customHeight="1">
      <c r="A20" s="61">
        <v>16</v>
      </c>
      <c r="B20" s="68" t="s">
        <v>1077</v>
      </c>
      <c r="C20" s="68" t="s">
        <v>1022</v>
      </c>
      <c r="D20" s="69">
        <v>1</v>
      </c>
      <c r="E20" s="70">
        <v>140000</v>
      </c>
      <c r="F20" s="63">
        <f t="shared" si="0"/>
        <v>140000</v>
      </c>
      <c r="G20" s="69">
        <v>160000</v>
      </c>
      <c r="H20" s="62">
        <f t="shared" si="2"/>
        <v>1</v>
      </c>
      <c r="I20" s="63">
        <f t="shared" si="1"/>
        <v>160000</v>
      </c>
      <c r="J20" s="1088"/>
      <c r="K20" s="1088"/>
      <c r="L20" s="1088"/>
    </row>
    <row r="21" spans="1:12" s="51" customFormat="1" ht="15.95" customHeight="1">
      <c r="A21" s="1090" t="s">
        <v>111</v>
      </c>
      <c r="B21" s="1091"/>
      <c r="C21" s="71"/>
      <c r="D21" s="56">
        <f>SUM(D7:D20)</f>
        <v>36</v>
      </c>
      <c r="E21" s="72"/>
      <c r="F21" s="72">
        <f>SUM(F7:F20)</f>
        <v>4412400</v>
      </c>
      <c r="G21" s="56"/>
      <c r="H21" s="72">
        <f>SUM(H7:H20)</f>
        <v>36</v>
      </c>
      <c r="I21" s="72">
        <f>SUM(I7:I20)</f>
        <v>5417000</v>
      </c>
      <c r="J21" s="1088"/>
      <c r="K21" s="1088"/>
      <c r="L21" s="1088"/>
    </row>
    <row r="23" spans="1:12">
      <c r="A23" s="886" t="s">
        <v>658</v>
      </c>
      <c r="B23" s="886"/>
      <c r="C23" s="886"/>
      <c r="D23" s="934"/>
      <c r="E23" s="886"/>
      <c r="F23" s="886"/>
      <c r="G23" s="886"/>
      <c r="H23" s="886"/>
      <c r="I23" s="886"/>
      <c r="J23" s="886"/>
      <c r="K23" s="886"/>
      <c r="L23" s="886"/>
    </row>
    <row r="24" spans="1:12">
      <c r="B24" s="886" t="s">
        <v>429</v>
      </c>
      <c r="C24" s="886"/>
      <c r="D24" s="73"/>
      <c r="E24" s="74"/>
      <c r="F24" s="886" t="s">
        <v>659</v>
      </c>
      <c r="G24" s="886"/>
      <c r="H24" s="886"/>
      <c r="I24" s="74"/>
      <c r="J24" s="74"/>
      <c r="K24" s="886" t="s">
        <v>428</v>
      </c>
      <c r="L24" s="886"/>
    </row>
    <row r="25" spans="1:12">
      <c r="B25" s="886" t="s">
        <v>660</v>
      </c>
      <c r="C25" s="886"/>
      <c r="D25" s="73"/>
      <c r="E25" s="74"/>
      <c r="F25" s="886" t="s">
        <v>661</v>
      </c>
      <c r="G25" s="886"/>
      <c r="H25" s="886"/>
      <c r="I25"/>
      <c r="J25" s="74"/>
      <c r="K25" s="886" t="s">
        <v>115</v>
      </c>
      <c r="L25" s="886"/>
    </row>
    <row r="26" spans="1:12">
      <c r="B26" s="74"/>
      <c r="C26" s="75"/>
      <c r="D26" s="76"/>
      <c r="E26" s="77"/>
      <c r="F26" s="78"/>
      <c r="G26" s="75"/>
      <c r="H26" s="75"/>
      <c r="I26"/>
      <c r="J26" s="51"/>
      <c r="K26" s="51"/>
      <c r="L26" s="51"/>
    </row>
    <row r="27" spans="1:12">
      <c r="B27" s="75"/>
      <c r="C27" s="79"/>
      <c r="D27" s="80"/>
      <c r="E27" s="79"/>
      <c r="F27"/>
      <c r="G27" s="75"/>
      <c r="H27" s="75"/>
      <c r="I27"/>
      <c r="J27" s="51"/>
      <c r="K27" s="51"/>
      <c r="L27" s="51"/>
    </row>
    <row r="28" spans="1:12">
      <c r="B28" s="75"/>
      <c r="C28" s="79"/>
      <c r="D28" s="80"/>
      <c r="E28" s="79"/>
      <c r="F28"/>
      <c r="G28" s="75"/>
      <c r="H28" s="75"/>
      <c r="I28"/>
      <c r="J28" s="51"/>
      <c r="K28" s="51"/>
      <c r="L28" s="51"/>
    </row>
    <row r="29" spans="1:12">
      <c r="B29" s="942" t="s">
        <v>1078</v>
      </c>
      <c r="C29" s="942"/>
      <c r="D29" s="82"/>
      <c r="E29"/>
      <c r="F29" s="943" t="s">
        <v>177</v>
      </c>
      <c r="G29" s="943"/>
      <c r="H29" s="943"/>
      <c r="I29" s="74"/>
      <c r="J29"/>
      <c r="K29" s="942" t="s">
        <v>117</v>
      </c>
      <c r="L29" s="942"/>
    </row>
  </sheetData>
  <mergeCells count="23">
    <mergeCell ref="B25:C25"/>
    <mergeCell ref="F25:H25"/>
    <mergeCell ref="K25:L25"/>
    <mergeCell ref="B29:C29"/>
    <mergeCell ref="F29:H29"/>
    <mergeCell ref="K29:L29"/>
    <mergeCell ref="A21:B21"/>
    <mergeCell ref="A23:L23"/>
    <mergeCell ref="B24:C24"/>
    <mergeCell ref="F24:H24"/>
    <mergeCell ref="K24:L24"/>
    <mergeCell ref="J7:J21"/>
    <mergeCell ref="K7:K21"/>
    <mergeCell ref="L7:L21"/>
    <mergeCell ref="A1:L1"/>
    <mergeCell ref="A2:L2"/>
    <mergeCell ref="A3:L3"/>
    <mergeCell ref="C5:F5"/>
    <mergeCell ref="G5:I5"/>
    <mergeCell ref="K5:L5"/>
    <mergeCell ref="A5:A6"/>
    <mergeCell ref="B5:B6"/>
    <mergeCell ref="J5:J6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02"/>
  <sheetViews>
    <sheetView topLeftCell="A82" zoomScale="80" zoomScaleNormal="80" zoomScaleSheetLayoutView="90" workbookViewId="0">
      <selection activeCell="C95" sqref="C95"/>
    </sheetView>
  </sheetViews>
  <sheetFormatPr defaultColWidth="9" defaultRowHeight="15"/>
  <cols>
    <col min="1" max="1" width="7.28515625" style="5" customWidth="1"/>
    <col min="2" max="2" width="13.42578125" style="6" customWidth="1"/>
    <col min="3" max="3" width="35.28515625" style="6" customWidth="1"/>
    <col min="4" max="4" width="7.7109375" style="6" customWidth="1"/>
    <col min="5" max="7" width="7.7109375" style="5" customWidth="1"/>
    <col min="8" max="8" width="10.28515625" style="5" customWidth="1"/>
    <col min="9" max="9" width="13.42578125" style="5" customWidth="1"/>
    <col min="10" max="11" width="11.5703125" style="6" customWidth="1"/>
    <col min="12" max="12" width="13.7109375" style="6" customWidth="1"/>
    <col min="13" max="14" width="14" style="6" customWidth="1"/>
    <col min="15" max="15" width="13.28515625" style="6" customWidth="1"/>
    <col min="16" max="16384" width="9" style="6"/>
  </cols>
  <sheetData>
    <row r="1" spans="1:16" s="1" customFormat="1" ht="20.25" customHeight="1">
      <c r="A1" s="1098" t="s">
        <v>439</v>
      </c>
      <c r="B1" s="1098" t="s">
        <v>676</v>
      </c>
      <c r="C1" s="1098" t="s">
        <v>1079</v>
      </c>
      <c r="D1" s="1092" t="s">
        <v>1080</v>
      </c>
      <c r="E1" s="1093"/>
      <c r="F1" s="1093"/>
      <c r="G1" s="1093"/>
      <c r="H1" s="1093"/>
      <c r="I1" s="1094"/>
      <c r="J1" s="1095" t="s">
        <v>1081</v>
      </c>
      <c r="K1" s="1096"/>
      <c r="L1" s="1096"/>
      <c r="M1" s="1104" t="s">
        <v>944</v>
      </c>
      <c r="N1" s="1105" t="s">
        <v>1082</v>
      </c>
      <c r="O1" s="1108" t="s">
        <v>1083</v>
      </c>
    </row>
    <row r="2" spans="1:16" s="1" customFormat="1" ht="20.25" customHeight="1">
      <c r="A2" s="1099"/>
      <c r="B2" s="1099"/>
      <c r="C2" s="1099"/>
      <c r="D2" s="1101" t="s">
        <v>1084</v>
      </c>
      <c r="E2" s="1101" t="s">
        <v>1085</v>
      </c>
      <c r="F2" s="1103" t="s">
        <v>1086</v>
      </c>
      <c r="G2" s="1101" t="s">
        <v>923</v>
      </c>
      <c r="H2" s="1092" t="s">
        <v>668</v>
      </c>
      <c r="I2" s="1094"/>
      <c r="J2" s="1095" t="s">
        <v>934</v>
      </c>
      <c r="K2" s="1096"/>
      <c r="L2" s="1096"/>
      <c r="M2" s="1104"/>
      <c r="N2" s="1106"/>
      <c r="O2" s="1109"/>
    </row>
    <row r="3" spans="1:16" s="1" customFormat="1" ht="20.25" customHeight="1">
      <c r="A3" s="1100"/>
      <c r="B3" s="1100"/>
      <c r="C3" s="1100"/>
      <c r="D3" s="1102"/>
      <c r="E3" s="1102"/>
      <c r="F3" s="1102"/>
      <c r="G3" s="1102"/>
      <c r="H3" s="7" t="s">
        <v>923</v>
      </c>
      <c r="I3" s="7" t="s">
        <v>679</v>
      </c>
      <c r="J3" s="8" t="s">
        <v>1087</v>
      </c>
      <c r="K3" s="9" t="s">
        <v>1088</v>
      </c>
      <c r="L3" s="10" t="s">
        <v>1089</v>
      </c>
      <c r="M3" s="1104"/>
      <c r="N3" s="1107"/>
      <c r="O3" s="1110"/>
    </row>
    <row r="4" spans="1:16" s="2" customFormat="1" ht="21" customHeight="1">
      <c r="A4" s="11">
        <v>1</v>
      </c>
      <c r="B4" s="12">
        <v>46002</v>
      </c>
      <c r="C4" s="13" t="s">
        <v>1090</v>
      </c>
      <c r="D4" s="11">
        <v>3</v>
      </c>
      <c r="E4" s="11"/>
      <c r="F4" s="11">
        <f>SUM(D4-E4)</f>
        <v>3</v>
      </c>
      <c r="G4" s="11"/>
      <c r="H4" s="14">
        <v>256880</v>
      </c>
      <c r="I4" s="15">
        <f>SUM(E4*H4)</f>
        <v>0</v>
      </c>
      <c r="J4" s="11"/>
      <c r="K4" s="16">
        <v>295000</v>
      </c>
      <c r="L4" s="17">
        <f>SUM(J4*K4)</f>
        <v>0</v>
      </c>
      <c r="M4" s="18">
        <f>SUM(L4-I4)</f>
        <v>0</v>
      </c>
      <c r="N4" s="18">
        <f>SUM(M4*70%)</f>
        <v>0</v>
      </c>
      <c r="O4" s="18">
        <f>SUM(M4*30%)</f>
        <v>0</v>
      </c>
      <c r="P4" s="19"/>
    </row>
    <row r="5" spans="1:16" s="3" customFormat="1" ht="21" customHeight="1">
      <c r="A5" s="11">
        <v>2</v>
      </c>
      <c r="B5" s="12">
        <v>46002</v>
      </c>
      <c r="C5" s="13" t="s">
        <v>1091</v>
      </c>
      <c r="D5" s="20">
        <v>3</v>
      </c>
      <c r="E5" s="20"/>
      <c r="F5" s="11">
        <f t="shared" ref="F5:F68" si="0">SUM(D5-E5)</f>
        <v>3</v>
      </c>
      <c r="G5" s="20"/>
      <c r="H5" s="21">
        <v>312360</v>
      </c>
      <c r="I5" s="15">
        <f t="shared" ref="I5:I68" si="1">SUM(E5*H5)</f>
        <v>0</v>
      </c>
      <c r="J5" s="20"/>
      <c r="K5" s="22">
        <v>347000</v>
      </c>
      <c r="L5" s="17">
        <f t="shared" ref="L5:L68" si="2">SUM(J5*K5)</f>
        <v>0</v>
      </c>
      <c r="M5" s="18">
        <f t="shared" ref="M5:M68" si="3">SUM(L5-I5)</f>
        <v>0</v>
      </c>
      <c r="N5" s="18">
        <f t="shared" ref="N5:N68" si="4">SUM(M5*70%)</f>
        <v>0</v>
      </c>
      <c r="O5" s="18">
        <f t="shared" ref="O5:O68" si="5">SUM(M5*30%)</f>
        <v>0</v>
      </c>
      <c r="P5" s="19"/>
    </row>
    <row r="6" spans="1:16" s="3" customFormat="1" ht="21" customHeight="1">
      <c r="A6" s="11">
        <v>3</v>
      </c>
      <c r="B6" s="12">
        <v>46002</v>
      </c>
      <c r="C6" s="13" t="s">
        <v>1092</v>
      </c>
      <c r="D6" s="20">
        <v>3</v>
      </c>
      <c r="E6" s="20"/>
      <c r="F6" s="11">
        <f t="shared" si="0"/>
        <v>3</v>
      </c>
      <c r="G6" s="20"/>
      <c r="H6" s="21">
        <v>336680</v>
      </c>
      <c r="I6" s="15">
        <f t="shared" si="1"/>
        <v>0</v>
      </c>
      <c r="J6" s="20"/>
      <c r="K6" s="22">
        <v>370000</v>
      </c>
      <c r="L6" s="17">
        <f t="shared" si="2"/>
        <v>0</v>
      </c>
      <c r="M6" s="18">
        <f t="shared" si="3"/>
        <v>0</v>
      </c>
      <c r="N6" s="18">
        <f t="shared" si="4"/>
        <v>0</v>
      </c>
      <c r="O6" s="18">
        <f t="shared" si="5"/>
        <v>0</v>
      </c>
      <c r="P6" s="19"/>
    </row>
    <row r="7" spans="1:16" s="4" customFormat="1" ht="21" customHeight="1">
      <c r="A7" s="11">
        <v>4</v>
      </c>
      <c r="B7" s="12">
        <v>46002</v>
      </c>
      <c r="C7" s="13" t="s">
        <v>1093</v>
      </c>
      <c r="D7" s="20">
        <v>2</v>
      </c>
      <c r="E7" s="20"/>
      <c r="F7" s="11">
        <f t="shared" si="0"/>
        <v>2</v>
      </c>
      <c r="G7" s="20"/>
      <c r="H7" s="23">
        <v>409040</v>
      </c>
      <c r="I7" s="15">
        <f t="shared" si="1"/>
        <v>0</v>
      </c>
      <c r="J7" s="20"/>
      <c r="K7" s="24">
        <v>450000</v>
      </c>
      <c r="L7" s="17">
        <f t="shared" si="2"/>
        <v>0</v>
      </c>
      <c r="M7" s="18">
        <f t="shared" si="3"/>
        <v>0</v>
      </c>
      <c r="N7" s="18">
        <f t="shared" si="4"/>
        <v>0</v>
      </c>
      <c r="O7" s="18">
        <f t="shared" si="5"/>
        <v>0</v>
      </c>
      <c r="P7" s="19"/>
    </row>
    <row r="8" spans="1:16" s="4" customFormat="1" ht="21" customHeight="1">
      <c r="A8" s="11">
        <v>5</v>
      </c>
      <c r="B8" s="12">
        <v>46002</v>
      </c>
      <c r="C8" s="13" t="s">
        <v>1094</v>
      </c>
      <c r="D8" s="20">
        <v>5</v>
      </c>
      <c r="E8" s="20"/>
      <c r="F8" s="11">
        <f t="shared" si="0"/>
        <v>5</v>
      </c>
      <c r="G8" s="20"/>
      <c r="H8" s="24">
        <v>181040</v>
      </c>
      <c r="I8" s="15">
        <f t="shared" si="1"/>
        <v>0</v>
      </c>
      <c r="J8" s="20"/>
      <c r="K8" s="24">
        <v>215000</v>
      </c>
      <c r="L8" s="17">
        <f t="shared" si="2"/>
        <v>0</v>
      </c>
      <c r="M8" s="18">
        <f t="shared" si="3"/>
        <v>0</v>
      </c>
      <c r="N8" s="18">
        <f t="shared" si="4"/>
        <v>0</v>
      </c>
      <c r="O8" s="18">
        <f t="shared" si="5"/>
        <v>0</v>
      </c>
      <c r="P8" s="19"/>
    </row>
    <row r="9" spans="1:16" s="4" customFormat="1" ht="21" customHeight="1">
      <c r="A9" s="11">
        <v>6</v>
      </c>
      <c r="B9" s="12">
        <v>46002</v>
      </c>
      <c r="C9" s="13" t="s">
        <v>1095</v>
      </c>
      <c r="D9" s="20">
        <v>5</v>
      </c>
      <c r="E9" s="20"/>
      <c r="F9" s="11">
        <f t="shared" si="0"/>
        <v>5</v>
      </c>
      <c r="G9" s="20"/>
      <c r="H9" s="24">
        <v>216080</v>
      </c>
      <c r="I9" s="15">
        <f t="shared" si="1"/>
        <v>0</v>
      </c>
      <c r="J9" s="20"/>
      <c r="K9" s="24">
        <v>240000</v>
      </c>
      <c r="L9" s="17">
        <f t="shared" si="2"/>
        <v>0</v>
      </c>
      <c r="M9" s="18">
        <f t="shared" si="3"/>
        <v>0</v>
      </c>
      <c r="N9" s="18">
        <f t="shared" si="4"/>
        <v>0</v>
      </c>
      <c r="O9" s="18">
        <f t="shared" si="5"/>
        <v>0</v>
      </c>
      <c r="P9" s="19"/>
    </row>
    <row r="10" spans="1:16" s="4" customFormat="1" ht="21" customHeight="1">
      <c r="A10" s="11">
        <v>7</v>
      </c>
      <c r="B10" s="12">
        <v>46002</v>
      </c>
      <c r="C10" s="13" t="s">
        <v>1096</v>
      </c>
      <c r="D10" s="20">
        <v>5</v>
      </c>
      <c r="E10" s="20"/>
      <c r="F10" s="11">
        <f t="shared" si="0"/>
        <v>5</v>
      </c>
      <c r="G10" s="20"/>
      <c r="H10" s="24">
        <v>188340</v>
      </c>
      <c r="I10" s="15">
        <f t="shared" si="1"/>
        <v>0</v>
      </c>
      <c r="J10" s="20"/>
      <c r="K10" s="24">
        <v>230000</v>
      </c>
      <c r="L10" s="17">
        <f t="shared" si="2"/>
        <v>0</v>
      </c>
      <c r="M10" s="18">
        <f t="shared" si="3"/>
        <v>0</v>
      </c>
      <c r="N10" s="18">
        <f t="shared" si="4"/>
        <v>0</v>
      </c>
      <c r="O10" s="18">
        <f t="shared" si="5"/>
        <v>0</v>
      </c>
      <c r="P10" s="19"/>
    </row>
    <row r="11" spans="1:16" s="4" customFormat="1" ht="21" customHeight="1">
      <c r="A11" s="11">
        <v>8</v>
      </c>
      <c r="B11" s="12">
        <v>46002</v>
      </c>
      <c r="C11" s="13" t="s">
        <v>1097</v>
      </c>
      <c r="D11" s="20">
        <v>5</v>
      </c>
      <c r="E11" s="20"/>
      <c r="F11" s="11">
        <f t="shared" si="0"/>
        <v>5</v>
      </c>
      <c r="G11" s="20"/>
      <c r="H11" s="24">
        <v>218270</v>
      </c>
      <c r="I11" s="15">
        <f t="shared" si="1"/>
        <v>0</v>
      </c>
      <c r="J11" s="20"/>
      <c r="K11" s="24">
        <v>245000</v>
      </c>
      <c r="L11" s="17">
        <f t="shared" si="2"/>
        <v>0</v>
      </c>
      <c r="M11" s="18">
        <f t="shared" si="3"/>
        <v>0</v>
      </c>
      <c r="N11" s="18">
        <f t="shared" si="4"/>
        <v>0</v>
      </c>
      <c r="O11" s="18">
        <f t="shared" si="5"/>
        <v>0</v>
      </c>
      <c r="P11" s="19"/>
    </row>
    <row r="12" spans="1:16" s="4" customFormat="1" ht="21" customHeight="1">
      <c r="A12" s="11">
        <v>9</v>
      </c>
      <c r="B12" s="12">
        <v>46002</v>
      </c>
      <c r="C12" s="13" t="s">
        <v>1098</v>
      </c>
      <c r="D12" s="20">
        <v>5</v>
      </c>
      <c r="E12" s="20"/>
      <c r="F12" s="11">
        <f t="shared" si="0"/>
        <v>5</v>
      </c>
      <c r="G12" s="20"/>
      <c r="H12" s="24">
        <v>248200</v>
      </c>
      <c r="I12" s="15">
        <f t="shared" si="1"/>
        <v>0</v>
      </c>
      <c r="J12" s="20"/>
      <c r="K12" s="24">
        <v>275000</v>
      </c>
      <c r="L12" s="17">
        <f t="shared" si="2"/>
        <v>0</v>
      </c>
      <c r="M12" s="18">
        <f t="shared" si="3"/>
        <v>0</v>
      </c>
      <c r="N12" s="18">
        <f t="shared" si="4"/>
        <v>0</v>
      </c>
      <c r="O12" s="18">
        <f t="shared" si="5"/>
        <v>0</v>
      </c>
      <c r="P12" s="19"/>
    </row>
    <row r="13" spans="1:16" s="4" customFormat="1" ht="21" customHeight="1">
      <c r="A13" s="11">
        <v>10</v>
      </c>
      <c r="B13" s="12">
        <v>46002</v>
      </c>
      <c r="C13" s="25" t="s">
        <v>1099</v>
      </c>
      <c r="D13" s="20">
        <v>10</v>
      </c>
      <c r="E13" s="20"/>
      <c r="F13" s="11">
        <f t="shared" si="0"/>
        <v>10</v>
      </c>
      <c r="G13" s="20"/>
      <c r="H13" s="24">
        <v>57500</v>
      </c>
      <c r="I13" s="15">
        <f t="shared" si="1"/>
        <v>0</v>
      </c>
      <c r="J13" s="20"/>
      <c r="K13" s="24">
        <v>77000</v>
      </c>
      <c r="L13" s="17">
        <f t="shared" si="2"/>
        <v>0</v>
      </c>
      <c r="M13" s="18">
        <f t="shared" si="3"/>
        <v>0</v>
      </c>
      <c r="N13" s="18">
        <f t="shared" si="4"/>
        <v>0</v>
      </c>
      <c r="O13" s="18">
        <f t="shared" si="5"/>
        <v>0</v>
      </c>
      <c r="P13" s="19"/>
    </row>
    <row r="14" spans="1:16" s="4" customFormat="1" ht="21" customHeight="1">
      <c r="A14" s="11">
        <v>11</v>
      </c>
      <c r="B14" s="12">
        <v>46002</v>
      </c>
      <c r="C14" s="25" t="s">
        <v>1100</v>
      </c>
      <c r="D14" s="20">
        <v>10</v>
      </c>
      <c r="E14" s="20"/>
      <c r="F14" s="11">
        <f t="shared" si="0"/>
        <v>10</v>
      </c>
      <c r="G14" s="20"/>
      <c r="H14" s="24">
        <v>57500</v>
      </c>
      <c r="I14" s="15">
        <f t="shared" si="1"/>
        <v>0</v>
      </c>
      <c r="J14" s="20"/>
      <c r="K14" s="24">
        <v>77000</v>
      </c>
      <c r="L14" s="17">
        <f t="shared" si="2"/>
        <v>0</v>
      </c>
      <c r="M14" s="18">
        <f t="shared" si="3"/>
        <v>0</v>
      </c>
      <c r="N14" s="18">
        <f t="shared" si="4"/>
        <v>0</v>
      </c>
      <c r="O14" s="18">
        <f t="shared" si="5"/>
        <v>0</v>
      </c>
      <c r="P14" s="19"/>
    </row>
    <row r="15" spans="1:16" s="4" customFormat="1" ht="21" customHeight="1">
      <c r="A15" s="11">
        <v>12</v>
      </c>
      <c r="B15" s="12">
        <v>46002</v>
      </c>
      <c r="C15" s="25" t="s">
        <v>1101</v>
      </c>
      <c r="D15" s="20">
        <v>10</v>
      </c>
      <c r="E15" s="20"/>
      <c r="F15" s="11">
        <f t="shared" si="0"/>
        <v>10</v>
      </c>
      <c r="G15" s="20"/>
      <c r="H15" s="24">
        <v>120000</v>
      </c>
      <c r="I15" s="15">
        <f t="shared" si="1"/>
        <v>0</v>
      </c>
      <c r="J15" s="20"/>
      <c r="K15" s="24">
        <v>145000</v>
      </c>
      <c r="L15" s="17">
        <f t="shared" si="2"/>
        <v>0</v>
      </c>
      <c r="M15" s="18">
        <f t="shared" si="3"/>
        <v>0</v>
      </c>
      <c r="N15" s="18">
        <f t="shared" si="4"/>
        <v>0</v>
      </c>
      <c r="O15" s="18">
        <f t="shared" si="5"/>
        <v>0</v>
      </c>
      <c r="P15" s="19"/>
    </row>
    <row r="16" spans="1:16" s="4" customFormat="1" ht="21" customHeight="1">
      <c r="A16" s="11">
        <v>13</v>
      </c>
      <c r="B16" s="12">
        <v>46002</v>
      </c>
      <c r="C16" s="25" t="s">
        <v>1102</v>
      </c>
      <c r="D16" s="20">
        <v>10</v>
      </c>
      <c r="E16" s="20"/>
      <c r="F16" s="11">
        <f t="shared" si="0"/>
        <v>10</v>
      </c>
      <c r="G16" s="20"/>
      <c r="H16" s="24">
        <v>62000</v>
      </c>
      <c r="I16" s="15">
        <f t="shared" si="1"/>
        <v>0</v>
      </c>
      <c r="J16" s="20"/>
      <c r="K16" s="24">
        <v>80000</v>
      </c>
      <c r="L16" s="17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  <c r="P16" s="19"/>
    </row>
    <row r="17" spans="1:16" s="4" customFormat="1" ht="21" customHeight="1">
      <c r="A17" s="11">
        <v>14</v>
      </c>
      <c r="B17" s="12">
        <v>46002</v>
      </c>
      <c r="C17" s="25" t="s">
        <v>1103</v>
      </c>
      <c r="D17" s="20">
        <v>9</v>
      </c>
      <c r="E17" s="20"/>
      <c r="F17" s="11">
        <f t="shared" si="0"/>
        <v>9</v>
      </c>
      <c r="G17" s="20"/>
      <c r="H17" s="24">
        <v>99000</v>
      </c>
      <c r="I17" s="15">
        <f t="shared" si="1"/>
        <v>0</v>
      </c>
      <c r="J17" s="20"/>
      <c r="K17" s="24">
        <v>120000</v>
      </c>
      <c r="L17" s="17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  <c r="P17" s="19"/>
    </row>
    <row r="18" spans="1:16" s="4" customFormat="1" ht="21" customHeight="1">
      <c r="A18" s="11">
        <v>15</v>
      </c>
      <c r="B18" s="12">
        <v>46002</v>
      </c>
      <c r="C18" s="25" t="s">
        <v>1104</v>
      </c>
      <c r="D18" s="20">
        <v>10</v>
      </c>
      <c r="E18" s="20"/>
      <c r="F18" s="11">
        <f t="shared" si="0"/>
        <v>10</v>
      </c>
      <c r="G18" s="20"/>
      <c r="H18" s="24">
        <v>96000</v>
      </c>
      <c r="I18" s="15">
        <f t="shared" si="1"/>
        <v>0</v>
      </c>
      <c r="J18" s="20"/>
      <c r="K18" s="24">
        <v>120000</v>
      </c>
      <c r="L18" s="17">
        <f t="shared" si="2"/>
        <v>0</v>
      </c>
      <c r="M18" s="18">
        <f t="shared" si="3"/>
        <v>0</v>
      </c>
      <c r="N18" s="18">
        <f t="shared" si="4"/>
        <v>0</v>
      </c>
      <c r="O18" s="18">
        <f t="shared" si="5"/>
        <v>0</v>
      </c>
      <c r="P18" s="19"/>
    </row>
    <row r="19" spans="1:16" s="4" customFormat="1" ht="21" customHeight="1">
      <c r="A19" s="11">
        <v>16</v>
      </c>
      <c r="B19" s="12">
        <v>46002</v>
      </c>
      <c r="C19" s="25" t="s">
        <v>1105</v>
      </c>
      <c r="D19" s="20">
        <v>10</v>
      </c>
      <c r="E19" s="20"/>
      <c r="F19" s="11">
        <f t="shared" si="0"/>
        <v>10</v>
      </c>
      <c r="G19" s="20"/>
      <c r="H19" s="22">
        <v>77500</v>
      </c>
      <c r="I19" s="15">
        <f t="shared" si="1"/>
        <v>0</v>
      </c>
      <c r="J19" s="20"/>
      <c r="K19" s="22">
        <v>100000</v>
      </c>
      <c r="L19" s="17">
        <f t="shared" si="2"/>
        <v>0</v>
      </c>
      <c r="M19" s="18">
        <f t="shared" si="3"/>
        <v>0</v>
      </c>
      <c r="N19" s="18">
        <f t="shared" si="4"/>
        <v>0</v>
      </c>
      <c r="O19" s="18">
        <f t="shared" si="5"/>
        <v>0</v>
      </c>
      <c r="P19" s="19"/>
    </row>
    <row r="20" spans="1:16" s="4" customFormat="1" ht="21" customHeight="1">
      <c r="A20" s="11">
        <v>17</v>
      </c>
      <c r="B20" s="12">
        <v>46002</v>
      </c>
      <c r="C20" s="25" t="s">
        <v>1106</v>
      </c>
      <c r="D20" s="20">
        <v>10</v>
      </c>
      <c r="E20" s="26"/>
      <c r="F20" s="11">
        <f t="shared" si="0"/>
        <v>10</v>
      </c>
      <c r="G20" s="26"/>
      <c r="H20" s="27">
        <v>79000</v>
      </c>
      <c r="I20" s="15">
        <f t="shared" si="1"/>
        <v>0</v>
      </c>
      <c r="J20" s="26"/>
      <c r="K20" s="27">
        <v>115000</v>
      </c>
      <c r="L20" s="17">
        <f t="shared" si="2"/>
        <v>0</v>
      </c>
      <c r="M20" s="18">
        <f t="shared" si="3"/>
        <v>0</v>
      </c>
      <c r="N20" s="18">
        <f t="shared" si="4"/>
        <v>0</v>
      </c>
      <c r="O20" s="18">
        <f t="shared" si="5"/>
        <v>0</v>
      </c>
      <c r="P20" s="19"/>
    </row>
    <row r="21" spans="1:16" s="4" customFormat="1" ht="21" customHeight="1">
      <c r="A21" s="11">
        <v>18</v>
      </c>
      <c r="B21" s="12">
        <v>46002</v>
      </c>
      <c r="C21" s="28" t="s">
        <v>1107</v>
      </c>
      <c r="D21" s="26">
        <v>17</v>
      </c>
      <c r="E21" s="26"/>
      <c r="F21" s="11">
        <f t="shared" si="0"/>
        <v>17</v>
      </c>
      <c r="G21" s="26"/>
      <c r="H21" s="27">
        <v>10000</v>
      </c>
      <c r="I21" s="15">
        <f t="shared" si="1"/>
        <v>0</v>
      </c>
      <c r="J21" s="26"/>
      <c r="K21" s="27">
        <v>15000</v>
      </c>
      <c r="L21" s="17">
        <f t="shared" si="2"/>
        <v>0</v>
      </c>
      <c r="M21" s="18">
        <f t="shared" si="3"/>
        <v>0</v>
      </c>
      <c r="N21" s="18">
        <f t="shared" si="4"/>
        <v>0</v>
      </c>
      <c r="O21" s="18">
        <f t="shared" si="5"/>
        <v>0</v>
      </c>
      <c r="P21" s="19"/>
    </row>
    <row r="22" spans="1:16" s="4" customFormat="1" ht="21" customHeight="1">
      <c r="A22" s="11">
        <v>19</v>
      </c>
      <c r="B22" s="12">
        <v>46002</v>
      </c>
      <c r="C22" s="25" t="s">
        <v>1108</v>
      </c>
      <c r="D22" s="20">
        <v>19</v>
      </c>
      <c r="E22" s="20"/>
      <c r="F22" s="11">
        <f t="shared" si="0"/>
        <v>19</v>
      </c>
      <c r="G22" s="20"/>
      <c r="H22" s="22">
        <v>10000</v>
      </c>
      <c r="I22" s="15">
        <f t="shared" si="1"/>
        <v>0</v>
      </c>
      <c r="J22" s="20"/>
      <c r="K22" s="22">
        <v>15000</v>
      </c>
      <c r="L22" s="17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  <c r="P22" s="19"/>
    </row>
    <row r="23" spans="1:16" s="4" customFormat="1" ht="21" customHeight="1">
      <c r="A23" s="11">
        <v>20</v>
      </c>
      <c r="B23" s="12">
        <v>46002</v>
      </c>
      <c r="C23" s="28" t="s">
        <v>1109</v>
      </c>
      <c r="D23" s="20">
        <v>19</v>
      </c>
      <c r="E23" s="20"/>
      <c r="F23" s="11">
        <f t="shared" si="0"/>
        <v>19</v>
      </c>
      <c r="G23" s="20"/>
      <c r="H23" s="27">
        <v>10000</v>
      </c>
      <c r="I23" s="15">
        <f t="shared" si="1"/>
        <v>0</v>
      </c>
      <c r="J23" s="20"/>
      <c r="K23" s="22">
        <v>15000</v>
      </c>
      <c r="L23" s="17">
        <f t="shared" si="2"/>
        <v>0</v>
      </c>
      <c r="M23" s="18">
        <f t="shared" si="3"/>
        <v>0</v>
      </c>
      <c r="N23" s="18">
        <f t="shared" si="4"/>
        <v>0</v>
      </c>
      <c r="O23" s="18">
        <f t="shared" si="5"/>
        <v>0</v>
      </c>
      <c r="P23" s="19"/>
    </row>
    <row r="24" spans="1:16" s="4" customFormat="1" ht="21" customHeight="1">
      <c r="A24" s="11">
        <v>21</v>
      </c>
      <c r="B24" s="12">
        <v>46002</v>
      </c>
      <c r="C24" s="28" t="s">
        <v>1110</v>
      </c>
      <c r="D24" s="20">
        <v>20</v>
      </c>
      <c r="E24" s="26"/>
      <c r="F24" s="11">
        <f t="shared" si="0"/>
        <v>20</v>
      </c>
      <c r="G24" s="26"/>
      <c r="H24" s="27">
        <v>10000</v>
      </c>
      <c r="I24" s="15">
        <f t="shared" si="1"/>
        <v>0</v>
      </c>
      <c r="J24" s="26"/>
      <c r="K24" s="27">
        <v>15000</v>
      </c>
      <c r="L24" s="17">
        <f t="shared" si="2"/>
        <v>0</v>
      </c>
      <c r="M24" s="18">
        <f t="shared" si="3"/>
        <v>0</v>
      </c>
      <c r="N24" s="18">
        <f t="shared" si="4"/>
        <v>0</v>
      </c>
      <c r="O24" s="18">
        <f t="shared" si="5"/>
        <v>0</v>
      </c>
      <c r="P24" s="19"/>
    </row>
    <row r="25" spans="1:16" s="4" customFormat="1" ht="21" customHeight="1">
      <c r="A25" s="11">
        <v>22</v>
      </c>
      <c r="B25" s="12">
        <v>46002</v>
      </c>
      <c r="C25" s="28" t="s">
        <v>1111</v>
      </c>
      <c r="D25" s="20">
        <v>20</v>
      </c>
      <c r="E25" s="26"/>
      <c r="F25" s="11">
        <f t="shared" si="0"/>
        <v>20</v>
      </c>
      <c r="G25" s="26"/>
      <c r="H25" s="27">
        <v>10000</v>
      </c>
      <c r="I25" s="15">
        <f t="shared" si="1"/>
        <v>0</v>
      </c>
      <c r="J25" s="26"/>
      <c r="K25" s="27">
        <v>15000</v>
      </c>
      <c r="L25" s="17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  <c r="P25" s="19"/>
    </row>
    <row r="26" spans="1:16" s="4" customFormat="1" ht="21" customHeight="1">
      <c r="A26" s="11">
        <v>23</v>
      </c>
      <c r="B26" s="12">
        <v>46002</v>
      </c>
      <c r="C26" s="28" t="s">
        <v>1112</v>
      </c>
      <c r="D26" s="20">
        <v>18</v>
      </c>
      <c r="E26" s="26">
        <v>1</v>
      </c>
      <c r="F26" s="11">
        <f t="shared" si="0"/>
        <v>17</v>
      </c>
      <c r="G26" s="26"/>
      <c r="H26" s="27">
        <v>25000</v>
      </c>
      <c r="I26" s="15">
        <f t="shared" si="1"/>
        <v>25000</v>
      </c>
      <c r="J26" s="26">
        <v>1</v>
      </c>
      <c r="K26" s="27">
        <v>37000</v>
      </c>
      <c r="L26" s="17">
        <f t="shared" si="2"/>
        <v>37000</v>
      </c>
      <c r="M26" s="18">
        <f t="shared" si="3"/>
        <v>12000</v>
      </c>
      <c r="N26" s="18">
        <f t="shared" si="4"/>
        <v>8400</v>
      </c>
      <c r="O26" s="18">
        <f t="shared" si="5"/>
        <v>3600</v>
      </c>
      <c r="P26" s="19"/>
    </row>
    <row r="27" spans="1:16" s="4" customFormat="1" ht="21" customHeight="1">
      <c r="A27" s="11">
        <v>24</v>
      </c>
      <c r="B27" s="12">
        <v>46002</v>
      </c>
      <c r="C27" s="28" t="s">
        <v>1113</v>
      </c>
      <c r="D27" s="20">
        <v>18</v>
      </c>
      <c r="E27" s="26"/>
      <c r="F27" s="11">
        <f t="shared" si="0"/>
        <v>18</v>
      </c>
      <c r="G27" s="26"/>
      <c r="H27" s="27">
        <v>10000</v>
      </c>
      <c r="I27" s="15">
        <f t="shared" si="1"/>
        <v>0</v>
      </c>
      <c r="J27" s="26"/>
      <c r="K27" s="27">
        <v>15000</v>
      </c>
      <c r="L27" s="17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  <c r="P27" s="19"/>
    </row>
    <row r="28" spans="1:16" s="4" customFormat="1" ht="21" customHeight="1">
      <c r="A28" s="11">
        <v>25</v>
      </c>
      <c r="B28" s="12">
        <v>46002</v>
      </c>
      <c r="C28" s="28" t="s">
        <v>1114</v>
      </c>
      <c r="D28" s="20">
        <v>15</v>
      </c>
      <c r="E28" s="26">
        <v>1</v>
      </c>
      <c r="F28" s="11">
        <f t="shared" si="0"/>
        <v>14</v>
      </c>
      <c r="G28" s="26"/>
      <c r="H28" s="27">
        <v>25000</v>
      </c>
      <c r="I28" s="15">
        <f t="shared" si="1"/>
        <v>25000</v>
      </c>
      <c r="J28" s="26">
        <v>1</v>
      </c>
      <c r="K28" s="27">
        <v>40000</v>
      </c>
      <c r="L28" s="17">
        <f t="shared" si="2"/>
        <v>40000</v>
      </c>
      <c r="M28" s="18">
        <f t="shared" si="3"/>
        <v>15000</v>
      </c>
      <c r="N28" s="18">
        <f t="shared" si="4"/>
        <v>10500</v>
      </c>
      <c r="O28" s="18">
        <f t="shared" si="5"/>
        <v>4500</v>
      </c>
      <c r="P28" s="19"/>
    </row>
    <row r="29" spans="1:16" s="4" customFormat="1" ht="21" customHeight="1">
      <c r="A29" s="11">
        <v>26</v>
      </c>
      <c r="B29" s="12">
        <v>46002</v>
      </c>
      <c r="C29" s="28" t="s">
        <v>1115</v>
      </c>
      <c r="D29" s="20">
        <v>20</v>
      </c>
      <c r="E29" s="26"/>
      <c r="F29" s="11">
        <f t="shared" si="0"/>
        <v>20</v>
      </c>
      <c r="G29" s="26"/>
      <c r="H29" s="27">
        <v>10000</v>
      </c>
      <c r="I29" s="15">
        <f t="shared" si="1"/>
        <v>0</v>
      </c>
      <c r="J29" s="26"/>
      <c r="K29" s="27">
        <v>15000</v>
      </c>
      <c r="L29" s="17">
        <f t="shared" si="2"/>
        <v>0</v>
      </c>
      <c r="M29" s="18">
        <f t="shared" si="3"/>
        <v>0</v>
      </c>
      <c r="N29" s="18">
        <f t="shared" si="4"/>
        <v>0</v>
      </c>
      <c r="O29" s="18">
        <f t="shared" si="5"/>
        <v>0</v>
      </c>
      <c r="P29" s="19"/>
    </row>
    <row r="30" spans="1:16" s="4" customFormat="1" ht="21" customHeight="1">
      <c r="A30" s="11">
        <v>27</v>
      </c>
      <c r="B30" s="12">
        <v>46002</v>
      </c>
      <c r="C30" s="28" t="s">
        <v>1116</v>
      </c>
      <c r="D30" s="26">
        <v>5</v>
      </c>
      <c r="E30" s="26"/>
      <c r="F30" s="11">
        <f t="shared" si="0"/>
        <v>5</v>
      </c>
      <c r="G30" s="26"/>
      <c r="H30" s="27">
        <v>12000</v>
      </c>
      <c r="I30" s="15">
        <f t="shared" si="1"/>
        <v>0</v>
      </c>
      <c r="J30" s="26"/>
      <c r="K30" s="27">
        <v>17000</v>
      </c>
      <c r="L30" s="17">
        <f t="shared" si="2"/>
        <v>0</v>
      </c>
      <c r="M30" s="18">
        <f t="shared" si="3"/>
        <v>0</v>
      </c>
      <c r="N30" s="18">
        <f t="shared" si="4"/>
        <v>0</v>
      </c>
      <c r="O30" s="18">
        <f t="shared" si="5"/>
        <v>0</v>
      </c>
      <c r="P30" s="19"/>
    </row>
    <row r="31" spans="1:16" s="4" customFormat="1" ht="21" customHeight="1">
      <c r="A31" s="11">
        <v>28</v>
      </c>
      <c r="B31" s="12">
        <v>46002</v>
      </c>
      <c r="C31" s="28" t="s">
        <v>1117</v>
      </c>
      <c r="D31" s="26">
        <v>8</v>
      </c>
      <c r="E31" s="26"/>
      <c r="F31" s="11">
        <f t="shared" si="0"/>
        <v>8</v>
      </c>
      <c r="G31" s="26"/>
      <c r="H31" s="27">
        <v>12000</v>
      </c>
      <c r="I31" s="15">
        <f t="shared" si="1"/>
        <v>0</v>
      </c>
      <c r="J31" s="26"/>
      <c r="K31" s="27">
        <v>17000</v>
      </c>
      <c r="L31" s="17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  <c r="P31" s="19"/>
    </row>
    <row r="32" spans="1:16" s="4" customFormat="1" ht="21" customHeight="1">
      <c r="A32" s="11">
        <v>29</v>
      </c>
      <c r="B32" s="12">
        <v>46002</v>
      </c>
      <c r="C32" s="28" t="s">
        <v>1118</v>
      </c>
      <c r="D32" s="26">
        <v>7</v>
      </c>
      <c r="E32" s="26">
        <v>1</v>
      </c>
      <c r="F32" s="11">
        <f t="shared" si="0"/>
        <v>6</v>
      </c>
      <c r="G32" s="26"/>
      <c r="H32" s="27">
        <v>12000</v>
      </c>
      <c r="I32" s="15">
        <f t="shared" si="1"/>
        <v>12000</v>
      </c>
      <c r="J32" s="26">
        <v>1</v>
      </c>
      <c r="K32" s="27">
        <v>17000</v>
      </c>
      <c r="L32" s="17">
        <f t="shared" si="2"/>
        <v>17000</v>
      </c>
      <c r="M32" s="18">
        <f t="shared" si="3"/>
        <v>5000</v>
      </c>
      <c r="N32" s="18">
        <f t="shared" si="4"/>
        <v>3500</v>
      </c>
      <c r="O32" s="18">
        <f t="shared" si="5"/>
        <v>1500</v>
      </c>
      <c r="P32" s="19"/>
    </row>
    <row r="33" spans="1:16" s="4" customFormat="1" ht="21" customHeight="1">
      <c r="A33" s="11">
        <v>30</v>
      </c>
      <c r="B33" s="12">
        <v>46002</v>
      </c>
      <c r="C33" s="28" t="s">
        <v>1119</v>
      </c>
      <c r="D33" s="26">
        <v>47</v>
      </c>
      <c r="E33" s="26">
        <v>1</v>
      </c>
      <c r="F33" s="11">
        <f t="shared" si="0"/>
        <v>46</v>
      </c>
      <c r="G33" s="26"/>
      <c r="H33" s="27">
        <v>30000</v>
      </c>
      <c r="I33" s="15">
        <f t="shared" si="1"/>
        <v>30000</v>
      </c>
      <c r="J33" s="26">
        <v>1</v>
      </c>
      <c r="K33" s="27">
        <v>35000</v>
      </c>
      <c r="L33" s="17">
        <f t="shared" si="2"/>
        <v>35000</v>
      </c>
      <c r="M33" s="18">
        <f t="shared" si="3"/>
        <v>5000</v>
      </c>
      <c r="N33" s="18">
        <f t="shared" si="4"/>
        <v>3500</v>
      </c>
      <c r="O33" s="18">
        <f t="shared" si="5"/>
        <v>1500</v>
      </c>
      <c r="P33" s="19"/>
    </row>
    <row r="34" spans="1:16" ht="21" customHeight="1">
      <c r="A34" s="11">
        <v>31</v>
      </c>
      <c r="B34" s="12">
        <v>46002</v>
      </c>
      <c r="C34" s="29" t="s">
        <v>1120</v>
      </c>
      <c r="D34" s="20">
        <v>47</v>
      </c>
      <c r="E34" s="26"/>
      <c r="F34" s="11">
        <f t="shared" si="0"/>
        <v>47</v>
      </c>
      <c r="G34" s="26"/>
      <c r="H34" s="27">
        <v>30000</v>
      </c>
      <c r="I34" s="15">
        <f t="shared" si="1"/>
        <v>0</v>
      </c>
      <c r="J34" s="26"/>
      <c r="K34" s="27">
        <v>35000</v>
      </c>
      <c r="L34" s="17">
        <f t="shared" si="2"/>
        <v>0</v>
      </c>
      <c r="M34" s="18">
        <f t="shared" si="3"/>
        <v>0</v>
      </c>
      <c r="N34" s="18">
        <f t="shared" si="4"/>
        <v>0</v>
      </c>
      <c r="O34" s="18">
        <f t="shared" si="5"/>
        <v>0</v>
      </c>
    </row>
    <row r="35" spans="1:16" ht="21" customHeight="1">
      <c r="A35" s="11">
        <v>32</v>
      </c>
      <c r="B35" s="12">
        <v>46002</v>
      </c>
      <c r="C35" s="29" t="s">
        <v>1121</v>
      </c>
      <c r="D35" s="20">
        <v>28</v>
      </c>
      <c r="E35" s="26">
        <v>4</v>
      </c>
      <c r="F35" s="11">
        <f t="shared" si="0"/>
        <v>24</v>
      </c>
      <c r="G35" s="26"/>
      <c r="H35" s="27">
        <v>30000</v>
      </c>
      <c r="I35" s="15">
        <f t="shared" si="1"/>
        <v>120000</v>
      </c>
      <c r="J35" s="26">
        <v>4</v>
      </c>
      <c r="K35" s="27">
        <v>35000</v>
      </c>
      <c r="L35" s="17">
        <f t="shared" si="2"/>
        <v>140000</v>
      </c>
      <c r="M35" s="18">
        <f t="shared" si="3"/>
        <v>20000</v>
      </c>
      <c r="N35" s="18">
        <f t="shared" si="4"/>
        <v>14000</v>
      </c>
      <c r="O35" s="18">
        <f t="shared" si="5"/>
        <v>6000</v>
      </c>
    </row>
    <row r="36" spans="1:16" ht="21" customHeight="1">
      <c r="A36" s="11">
        <v>33</v>
      </c>
      <c r="B36" s="12">
        <v>46002</v>
      </c>
      <c r="C36" s="29" t="s">
        <v>1122</v>
      </c>
      <c r="D36" s="20">
        <v>48</v>
      </c>
      <c r="E36" s="26">
        <v>1</v>
      </c>
      <c r="F36" s="11">
        <f t="shared" si="0"/>
        <v>47</v>
      </c>
      <c r="G36" s="26"/>
      <c r="H36" s="27">
        <v>35000</v>
      </c>
      <c r="I36" s="15">
        <f t="shared" si="1"/>
        <v>35000</v>
      </c>
      <c r="J36" s="26">
        <v>1</v>
      </c>
      <c r="K36" s="27">
        <v>40000</v>
      </c>
      <c r="L36" s="17">
        <f t="shared" si="2"/>
        <v>40000</v>
      </c>
      <c r="M36" s="18">
        <f t="shared" si="3"/>
        <v>5000</v>
      </c>
      <c r="N36" s="18">
        <f t="shared" si="4"/>
        <v>3500</v>
      </c>
      <c r="O36" s="18">
        <f t="shared" si="5"/>
        <v>1500</v>
      </c>
    </row>
    <row r="37" spans="1:16" ht="21" customHeight="1">
      <c r="A37" s="11">
        <v>34</v>
      </c>
      <c r="B37" s="12">
        <v>46002</v>
      </c>
      <c r="C37" s="29" t="s">
        <v>1123</v>
      </c>
      <c r="D37" s="20">
        <v>49</v>
      </c>
      <c r="E37" s="26">
        <v>3</v>
      </c>
      <c r="F37" s="11">
        <f t="shared" si="0"/>
        <v>46</v>
      </c>
      <c r="G37" s="26"/>
      <c r="H37" s="27">
        <v>41000</v>
      </c>
      <c r="I37" s="15">
        <f t="shared" si="1"/>
        <v>123000</v>
      </c>
      <c r="J37" s="26">
        <v>3</v>
      </c>
      <c r="K37" s="27">
        <v>46000</v>
      </c>
      <c r="L37" s="17">
        <f t="shared" si="2"/>
        <v>138000</v>
      </c>
      <c r="M37" s="18">
        <f t="shared" si="3"/>
        <v>15000</v>
      </c>
      <c r="N37" s="18">
        <f t="shared" si="4"/>
        <v>10500</v>
      </c>
      <c r="O37" s="18">
        <f t="shared" si="5"/>
        <v>4500</v>
      </c>
    </row>
    <row r="38" spans="1:16" ht="21" customHeight="1">
      <c r="A38" s="11">
        <v>35</v>
      </c>
      <c r="B38" s="12">
        <v>46002</v>
      </c>
      <c r="C38" s="13" t="s">
        <v>1124</v>
      </c>
      <c r="D38" s="20">
        <v>30</v>
      </c>
      <c r="E38" s="20"/>
      <c r="F38" s="11">
        <f t="shared" si="0"/>
        <v>30</v>
      </c>
      <c r="G38" s="20"/>
      <c r="H38" s="22">
        <v>2500</v>
      </c>
      <c r="I38" s="15">
        <f t="shared" si="1"/>
        <v>0</v>
      </c>
      <c r="J38" s="20"/>
      <c r="K38" s="22">
        <v>8000</v>
      </c>
      <c r="L38" s="17">
        <f t="shared" si="2"/>
        <v>0</v>
      </c>
      <c r="M38" s="18">
        <f t="shared" si="3"/>
        <v>0</v>
      </c>
      <c r="N38" s="18">
        <f t="shared" si="4"/>
        <v>0</v>
      </c>
      <c r="O38" s="18">
        <f t="shared" si="5"/>
        <v>0</v>
      </c>
    </row>
    <row r="39" spans="1:16" ht="21" customHeight="1">
      <c r="A39" s="11">
        <v>36</v>
      </c>
      <c r="B39" s="12">
        <v>46002</v>
      </c>
      <c r="C39" s="29" t="s">
        <v>1125</v>
      </c>
      <c r="D39" s="20">
        <v>30</v>
      </c>
      <c r="E39" s="26"/>
      <c r="F39" s="11">
        <f t="shared" si="0"/>
        <v>30</v>
      </c>
      <c r="G39" s="26"/>
      <c r="H39" s="27">
        <v>2000</v>
      </c>
      <c r="I39" s="15">
        <f t="shared" si="1"/>
        <v>0</v>
      </c>
      <c r="J39" s="26"/>
      <c r="K39" s="27">
        <v>8000</v>
      </c>
      <c r="L39" s="17">
        <f t="shared" si="2"/>
        <v>0</v>
      </c>
      <c r="M39" s="18">
        <f t="shared" si="3"/>
        <v>0</v>
      </c>
      <c r="N39" s="18">
        <f t="shared" si="4"/>
        <v>0</v>
      </c>
      <c r="O39" s="18">
        <f t="shared" si="5"/>
        <v>0</v>
      </c>
    </row>
    <row r="40" spans="1:16" ht="21" customHeight="1">
      <c r="A40" s="11">
        <v>37</v>
      </c>
      <c r="B40" s="12">
        <v>46002</v>
      </c>
      <c r="C40" s="29" t="s">
        <v>1126</v>
      </c>
      <c r="D40" s="26">
        <v>41</v>
      </c>
      <c r="E40" s="26">
        <v>4</v>
      </c>
      <c r="F40" s="11">
        <f t="shared" si="0"/>
        <v>37</v>
      </c>
      <c r="G40" s="26"/>
      <c r="H40" s="27">
        <v>62500</v>
      </c>
      <c r="I40" s="15">
        <f t="shared" si="1"/>
        <v>250000</v>
      </c>
      <c r="J40" s="26">
        <v>4</v>
      </c>
      <c r="K40" s="27">
        <v>67500</v>
      </c>
      <c r="L40" s="17">
        <f t="shared" si="2"/>
        <v>270000</v>
      </c>
      <c r="M40" s="18">
        <f t="shared" si="3"/>
        <v>20000</v>
      </c>
      <c r="N40" s="18">
        <f t="shared" si="4"/>
        <v>14000</v>
      </c>
      <c r="O40" s="18">
        <f t="shared" si="5"/>
        <v>6000</v>
      </c>
    </row>
    <row r="41" spans="1:16" ht="21" customHeight="1">
      <c r="A41" s="11">
        <v>38</v>
      </c>
      <c r="B41" s="12">
        <v>46002</v>
      </c>
      <c r="C41" s="29" t="s">
        <v>1127</v>
      </c>
      <c r="D41" s="26">
        <v>42</v>
      </c>
      <c r="E41" s="26">
        <v>2</v>
      </c>
      <c r="F41" s="11">
        <f t="shared" si="0"/>
        <v>40</v>
      </c>
      <c r="G41" s="26"/>
      <c r="H41" s="27">
        <v>52500</v>
      </c>
      <c r="I41" s="15">
        <f t="shared" si="1"/>
        <v>105000</v>
      </c>
      <c r="J41" s="26">
        <v>2</v>
      </c>
      <c r="K41" s="27">
        <v>58000</v>
      </c>
      <c r="L41" s="17">
        <f t="shared" si="2"/>
        <v>116000</v>
      </c>
      <c r="M41" s="18">
        <f t="shared" si="3"/>
        <v>11000</v>
      </c>
      <c r="N41" s="18">
        <f t="shared" si="4"/>
        <v>7700</v>
      </c>
      <c r="O41" s="18">
        <f t="shared" si="5"/>
        <v>3300</v>
      </c>
    </row>
    <row r="42" spans="1:16" ht="21" customHeight="1">
      <c r="A42" s="11">
        <v>39</v>
      </c>
      <c r="B42" s="12">
        <v>46002</v>
      </c>
      <c r="C42" s="29" t="s">
        <v>1128</v>
      </c>
      <c r="D42" s="26">
        <v>14</v>
      </c>
      <c r="E42" s="26">
        <v>8</v>
      </c>
      <c r="F42" s="11">
        <f t="shared" si="0"/>
        <v>6</v>
      </c>
      <c r="G42" s="26"/>
      <c r="H42" s="27">
        <v>42000</v>
      </c>
      <c r="I42" s="15">
        <f t="shared" si="1"/>
        <v>336000</v>
      </c>
      <c r="J42" s="26">
        <v>8</v>
      </c>
      <c r="K42" s="27">
        <v>50000</v>
      </c>
      <c r="L42" s="17">
        <f t="shared" si="2"/>
        <v>400000</v>
      </c>
      <c r="M42" s="18">
        <f t="shared" si="3"/>
        <v>64000</v>
      </c>
      <c r="N42" s="18">
        <f t="shared" si="4"/>
        <v>44800</v>
      </c>
      <c r="O42" s="18">
        <f t="shared" si="5"/>
        <v>19200</v>
      </c>
    </row>
    <row r="43" spans="1:16" ht="21" customHeight="1">
      <c r="A43" s="11">
        <v>40</v>
      </c>
      <c r="B43" s="12">
        <v>46002</v>
      </c>
      <c r="C43" s="29" t="s">
        <v>1129</v>
      </c>
      <c r="D43" s="26">
        <v>46</v>
      </c>
      <c r="E43" s="26">
        <v>4</v>
      </c>
      <c r="F43" s="11">
        <f t="shared" si="0"/>
        <v>42</v>
      </c>
      <c r="G43" s="26"/>
      <c r="H43" s="27">
        <v>42000</v>
      </c>
      <c r="I43" s="15">
        <f t="shared" si="1"/>
        <v>168000</v>
      </c>
      <c r="J43" s="26">
        <v>4</v>
      </c>
      <c r="K43" s="27">
        <v>49000</v>
      </c>
      <c r="L43" s="17">
        <f t="shared" si="2"/>
        <v>196000</v>
      </c>
      <c r="M43" s="18">
        <f t="shared" si="3"/>
        <v>28000</v>
      </c>
      <c r="N43" s="18">
        <f t="shared" si="4"/>
        <v>19600</v>
      </c>
      <c r="O43" s="18">
        <f t="shared" si="5"/>
        <v>8400</v>
      </c>
    </row>
    <row r="44" spans="1:16" ht="21" customHeight="1">
      <c r="A44" s="11">
        <v>41</v>
      </c>
      <c r="B44" s="12">
        <v>46002</v>
      </c>
      <c r="C44" s="29" t="s">
        <v>1130</v>
      </c>
      <c r="D44" s="20">
        <v>12</v>
      </c>
      <c r="E44" s="26"/>
      <c r="F44" s="11">
        <f t="shared" si="0"/>
        <v>12</v>
      </c>
      <c r="G44" s="26"/>
      <c r="H44" s="27">
        <v>52000</v>
      </c>
      <c r="I44" s="15">
        <f t="shared" si="1"/>
        <v>0</v>
      </c>
      <c r="J44" s="26"/>
      <c r="K44" s="27">
        <v>59000</v>
      </c>
      <c r="L44" s="17">
        <f t="shared" si="2"/>
        <v>0</v>
      </c>
      <c r="M44" s="18">
        <f t="shared" si="3"/>
        <v>0</v>
      </c>
      <c r="N44" s="18">
        <f t="shared" si="4"/>
        <v>0</v>
      </c>
      <c r="O44" s="18">
        <f t="shared" si="5"/>
        <v>0</v>
      </c>
    </row>
    <row r="45" spans="1:16" ht="21" customHeight="1">
      <c r="A45" s="11">
        <v>42</v>
      </c>
      <c r="B45" s="12">
        <v>46002</v>
      </c>
      <c r="C45" s="29" t="s">
        <v>1131</v>
      </c>
      <c r="D45" s="20">
        <v>9</v>
      </c>
      <c r="E45" s="26">
        <v>1</v>
      </c>
      <c r="F45" s="11">
        <f t="shared" si="0"/>
        <v>8</v>
      </c>
      <c r="G45" s="26"/>
      <c r="H45" s="27">
        <v>62000</v>
      </c>
      <c r="I45" s="15">
        <f t="shared" si="1"/>
        <v>62000</v>
      </c>
      <c r="J45" s="26">
        <v>1</v>
      </c>
      <c r="K45" s="27">
        <v>69000</v>
      </c>
      <c r="L45" s="17">
        <f t="shared" si="2"/>
        <v>69000</v>
      </c>
      <c r="M45" s="18">
        <f t="shared" si="3"/>
        <v>7000</v>
      </c>
      <c r="N45" s="18">
        <f t="shared" si="4"/>
        <v>4900</v>
      </c>
      <c r="O45" s="18">
        <f t="shared" si="5"/>
        <v>2100</v>
      </c>
    </row>
    <row r="46" spans="1:16" ht="21" customHeight="1">
      <c r="A46" s="11">
        <v>43</v>
      </c>
      <c r="B46" s="12">
        <v>46002</v>
      </c>
      <c r="C46" s="13" t="s">
        <v>1132</v>
      </c>
      <c r="D46" s="20">
        <v>16</v>
      </c>
      <c r="E46" s="20">
        <v>5</v>
      </c>
      <c r="F46" s="11">
        <f t="shared" si="0"/>
        <v>11</v>
      </c>
      <c r="G46" s="20"/>
      <c r="H46" s="22">
        <v>51000</v>
      </c>
      <c r="I46" s="15">
        <f t="shared" si="1"/>
        <v>255000</v>
      </c>
      <c r="J46" s="20">
        <v>5</v>
      </c>
      <c r="K46" s="22">
        <v>50000</v>
      </c>
      <c r="L46" s="17">
        <f t="shared" si="2"/>
        <v>250000</v>
      </c>
      <c r="M46" s="18">
        <f t="shared" si="3"/>
        <v>-5000</v>
      </c>
      <c r="N46" s="18">
        <f t="shared" si="4"/>
        <v>-3500</v>
      </c>
      <c r="O46" s="18">
        <f t="shared" si="5"/>
        <v>-1500</v>
      </c>
    </row>
    <row r="47" spans="1:16" ht="21" customHeight="1">
      <c r="A47" s="11">
        <v>44</v>
      </c>
      <c r="B47" s="12">
        <v>46002</v>
      </c>
      <c r="C47" s="29" t="s">
        <v>1133</v>
      </c>
      <c r="D47" s="20">
        <v>19</v>
      </c>
      <c r="E47" s="26">
        <v>1</v>
      </c>
      <c r="F47" s="11">
        <f t="shared" si="0"/>
        <v>18</v>
      </c>
      <c r="G47" s="26"/>
      <c r="H47" s="27">
        <v>45000</v>
      </c>
      <c r="I47" s="15">
        <f t="shared" si="1"/>
        <v>45000</v>
      </c>
      <c r="J47" s="26">
        <v>1</v>
      </c>
      <c r="K47" s="27">
        <v>56000</v>
      </c>
      <c r="L47" s="17">
        <f t="shared" si="2"/>
        <v>56000</v>
      </c>
      <c r="M47" s="18">
        <f t="shared" si="3"/>
        <v>11000</v>
      </c>
      <c r="N47" s="18">
        <f t="shared" si="4"/>
        <v>7700</v>
      </c>
      <c r="O47" s="18">
        <f t="shared" si="5"/>
        <v>3300</v>
      </c>
    </row>
    <row r="48" spans="1:16" ht="21" customHeight="1">
      <c r="A48" s="11">
        <v>45</v>
      </c>
      <c r="B48" s="12">
        <v>46002</v>
      </c>
      <c r="C48" s="29" t="s">
        <v>1134</v>
      </c>
      <c r="D48" s="20">
        <v>8</v>
      </c>
      <c r="E48" s="26">
        <v>1</v>
      </c>
      <c r="F48" s="11">
        <f t="shared" si="0"/>
        <v>7</v>
      </c>
      <c r="G48" s="26"/>
      <c r="H48" s="27">
        <v>55000</v>
      </c>
      <c r="I48" s="15">
        <f t="shared" si="1"/>
        <v>55000</v>
      </c>
      <c r="J48" s="26">
        <v>1</v>
      </c>
      <c r="K48" s="27">
        <v>60000</v>
      </c>
      <c r="L48" s="17">
        <f t="shared" si="2"/>
        <v>60000</v>
      </c>
      <c r="M48" s="18">
        <f t="shared" si="3"/>
        <v>5000</v>
      </c>
      <c r="N48" s="18">
        <f t="shared" si="4"/>
        <v>3500</v>
      </c>
      <c r="O48" s="18">
        <f t="shared" si="5"/>
        <v>1500</v>
      </c>
    </row>
    <row r="49" spans="1:15" ht="21" customHeight="1">
      <c r="A49" s="11">
        <v>46</v>
      </c>
      <c r="B49" s="12">
        <v>46002</v>
      </c>
      <c r="C49" s="29" t="s">
        <v>1135</v>
      </c>
      <c r="D49" s="20">
        <v>12</v>
      </c>
      <c r="E49" s="26"/>
      <c r="F49" s="11">
        <f t="shared" si="0"/>
        <v>12</v>
      </c>
      <c r="G49" s="26"/>
      <c r="H49" s="27">
        <v>142000</v>
      </c>
      <c r="I49" s="15">
        <f t="shared" si="1"/>
        <v>0</v>
      </c>
      <c r="J49" s="26"/>
      <c r="K49" s="27">
        <v>65000</v>
      </c>
      <c r="L49" s="17">
        <f t="shared" si="2"/>
        <v>0</v>
      </c>
      <c r="M49" s="18">
        <f t="shared" si="3"/>
        <v>0</v>
      </c>
      <c r="N49" s="18">
        <f t="shared" si="4"/>
        <v>0</v>
      </c>
      <c r="O49" s="18">
        <f t="shared" si="5"/>
        <v>0</v>
      </c>
    </row>
    <row r="50" spans="1:15" ht="21" customHeight="1">
      <c r="A50" s="11">
        <v>47</v>
      </c>
      <c r="B50" s="12">
        <v>46002</v>
      </c>
      <c r="C50" s="29" t="s">
        <v>1136</v>
      </c>
      <c r="D50" s="26">
        <v>3</v>
      </c>
      <c r="E50" s="26">
        <v>1</v>
      </c>
      <c r="F50" s="11">
        <f t="shared" si="0"/>
        <v>2</v>
      </c>
      <c r="G50" s="26"/>
      <c r="H50" s="27">
        <v>41500</v>
      </c>
      <c r="I50" s="15">
        <f t="shared" si="1"/>
        <v>41500</v>
      </c>
      <c r="J50" s="26">
        <v>1</v>
      </c>
      <c r="K50" s="27">
        <v>48000</v>
      </c>
      <c r="L50" s="17">
        <f t="shared" si="2"/>
        <v>48000</v>
      </c>
      <c r="M50" s="18">
        <f t="shared" si="3"/>
        <v>6500</v>
      </c>
      <c r="N50" s="18">
        <f t="shared" si="4"/>
        <v>4550</v>
      </c>
      <c r="O50" s="18">
        <f t="shared" si="5"/>
        <v>1950</v>
      </c>
    </row>
    <row r="51" spans="1:15" ht="21" customHeight="1">
      <c r="A51" s="11">
        <v>48</v>
      </c>
      <c r="B51" s="12">
        <v>46002</v>
      </c>
      <c r="C51" s="29" t="s">
        <v>1137</v>
      </c>
      <c r="D51" s="26">
        <v>8</v>
      </c>
      <c r="E51" s="26"/>
      <c r="F51" s="11">
        <f t="shared" si="0"/>
        <v>8</v>
      </c>
      <c r="G51" s="26"/>
      <c r="H51" s="27">
        <v>56500</v>
      </c>
      <c r="I51" s="15">
        <f t="shared" si="1"/>
        <v>0</v>
      </c>
      <c r="J51" s="26"/>
      <c r="K51" s="27">
        <v>65000</v>
      </c>
      <c r="L51" s="17">
        <f t="shared" si="2"/>
        <v>0</v>
      </c>
      <c r="M51" s="18">
        <f t="shared" si="3"/>
        <v>0</v>
      </c>
      <c r="N51" s="18">
        <f t="shared" si="4"/>
        <v>0</v>
      </c>
      <c r="O51" s="18">
        <f t="shared" si="5"/>
        <v>0</v>
      </c>
    </row>
    <row r="52" spans="1:15" ht="21" customHeight="1">
      <c r="A52" s="11">
        <v>49</v>
      </c>
      <c r="B52" s="12">
        <v>46002</v>
      </c>
      <c r="C52" s="29" t="s">
        <v>1138</v>
      </c>
      <c r="D52" s="26">
        <v>9</v>
      </c>
      <c r="E52" s="26"/>
      <c r="F52" s="11">
        <f t="shared" si="0"/>
        <v>9</v>
      </c>
      <c r="G52" s="26"/>
      <c r="H52" s="27">
        <v>41500</v>
      </c>
      <c r="I52" s="15">
        <f t="shared" si="1"/>
        <v>0</v>
      </c>
      <c r="J52" s="26"/>
      <c r="K52" s="27">
        <v>48000</v>
      </c>
      <c r="L52" s="17">
        <f t="shared" si="2"/>
        <v>0</v>
      </c>
      <c r="M52" s="18">
        <f t="shared" si="3"/>
        <v>0</v>
      </c>
      <c r="N52" s="18">
        <f t="shared" si="4"/>
        <v>0</v>
      </c>
      <c r="O52" s="18">
        <f t="shared" si="5"/>
        <v>0</v>
      </c>
    </row>
    <row r="53" spans="1:15" ht="21" customHeight="1">
      <c r="A53" s="11">
        <v>50</v>
      </c>
      <c r="B53" s="12">
        <v>46002</v>
      </c>
      <c r="C53" s="29" t="s">
        <v>1139</v>
      </c>
      <c r="D53" s="26">
        <v>24</v>
      </c>
      <c r="E53" s="26"/>
      <c r="F53" s="11">
        <f t="shared" si="0"/>
        <v>24</v>
      </c>
      <c r="G53" s="26"/>
      <c r="H53" s="27">
        <v>32500</v>
      </c>
      <c r="I53" s="15">
        <f t="shared" si="1"/>
        <v>0</v>
      </c>
      <c r="J53" s="26"/>
      <c r="K53" s="27">
        <v>38000</v>
      </c>
      <c r="L53" s="17">
        <f t="shared" si="2"/>
        <v>0</v>
      </c>
      <c r="M53" s="18">
        <f t="shared" si="3"/>
        <v>0</v>
      </c>
      <c r="N53" s="18">
        <f t="shared" si="4"/>
        <v>0</v>
      </c>
      <c r="O53" s="18">
        <f t="shared" si="5"/>
        <v>0</v>
      </c>
    </row>
    <row r="54" spans="1:15" ht="21" customHeight="1">
      <c r="A54" s="11">
        <v>51</v>
      </c>
      <c r="B54" s="12">
        <v>46002</v>
      </c>
      <c r="C54" s="29" t="s">
        <v>1140</v>
      </c>
      <c r="D54" s="20">
        <v>23</v>
      </c>
      <c r="E54" s="26"/>
      <c r="F54" s="11">
        <f t="shared" si="0"/>
        <v>23</v>
      </c>
      <c r="G54" s="26"/>
      <c r="H54" s="27">
        <v>45500</v>
      </c>
      <c r="I54" s="15">
        <f t="shared" si="1"/>
        <v>0</v>
      </c>
      <c r="J54" s="26"/>
      <c r="K54" s="27">
        <v>52000</v>
      </c>
      <c r="L54" s="17">
        <f t="shared" si="2"/>
        <v>0</v>
      </c>
      <c r="M54" s="18">
        <f t="shared" si="3"/>
        <v>0</v>
      </c>
      <c r="N54" s="18">
        <f t="shared" si="4"/>
        <v>0</v>
      </c>
      <c r="O54" s="18">
        <f t="shared" si="5"/>
        <v>0</v>
      </c>
    </row>
    <row r="55" spans="1:15" ht="21" customHeight="1">
      <c r="A55" s="11">
        <v>52</v>
      </c>
      <c r="B55" s="12">
        <v>46002</v>
      </c>
      <c r="C55" s="29" t="s">
        <v>1141</v>
      </c>
      <c r="D55" s="20">
        <v>17</v>
      </c>
      <c r="E55" s="26">
        <v>14</v>
      </c>
      <c r="F55" s="11">
        <f t="shared" si="0"/>
        <v>3</v>
      </c>
      <c r="G55" s="26"/>
      <c r="H55" s="27">
        <v>35500</v>
      </c>
      <c r="I55" s="15">
        <f t="shared" si="1"/>
        <v>497000</v>
      </c>
      <c r="J55" s="26">
        <v>14</v>
      </c>
      <c r="K55" s="27">
        <v>42000</v>
      </c>
      <c r="L55" s="17">
        <f t="shared" si="2"/>
        <v>588000</v>
      </c>
      <c r="M55" s="18">
        <f t="shared" si="3"/>
        <v>91000</v>
      </c>
      <c r="N55" s="18">
        <f t="shared" si="4"/>
        <v>63700</v>
      </c>
      <c r="O55" s="18">
        <f t="shared" si="5"/>
        <v>27300</v>
      </c>
    </row>
    <row r="56" spans="1:15" ht="21" customHeight="1">
      <c r="A56" s="11">
        <v>53</v>
      </c>
      <c r="B56" s="12">
        <v>46002</v>
      </c>
      <c r="C56" s="29" t="s">
        <v>1142</v>
      </c>
      <c r="D56" s="20">
        <v>24</v>
      </c>
      <c r="E56" s="26"/>
      <c r="F56" s="11">
        <f t="shared" si="0"/>
        <v>24</v>
      </c>
      <c r="G56" s="26"/>
      <c r="H56" s="27">
        <v>41500</v>
      </c>
      <c r="I56" s="15">
        <f t="shared" si="1"/>
        <v>0</v>
      </c>
      <c r="J56" s="26"/>
      <c r="K56" s="27">
        <v>48000</v>
      </c>
      <c r="L56" s="17">
        <f t="shared" si="2"/>
        <v>0</v>
      </c>
      <c r="M56" s="18">
        <f t="shared" si="3"/>
        <v>0</v>
      </c>
      <c r="N56" s="18">
        <f t="shared" si="4"/>
        <v>0</v>
      </c>
      <c r="O56" s="18">
        <f t="shared" si="5"/>
        <v>0</v>
      </c>
    </row>
    <row r="57" spans="1:15" ht="21" customHeight="1">
      <c r="A57" s="11">
        <v>54</v>
      </c>
      <c r="B57" s="12">
        <v>46002</v>
      </c>
      <c r="C57" s="29" t="s">
        <v>1143</v>
      </c>
      <c r="D57" s="20">
        <v>22</v>
      </c>
      <c r="E57" s="26"/>
      <c r="F57" s="11">
        <f t="shared" si="0"/>
        <v>22</v>
      </c>
      <c r="G57" s="26"/>
      <c r="H57" s="27">
        <v>35500</v>
      </c>
      <c r="I57" s="15">
        <f t="shared" si="1"/>
        <v>0</v>
      </c>
      <c r="J57" s="26"/>
      <c r="K57" s="27">
        <v>41000</v>
      </c>
      <c r="L57" s="17">
        <f t="shared" si="2"/>
        <v>0</v>
      </c>
      <c r="M57" s="18">
        <f t="shared" si="3"/>
        <v>0</v>
      </c>
      <c r="N57" s="18">
        <f t="shared" si="4"/>
        <v>0</v>
      </c>
      <c r="O57" s="18">
        <f t="shared" si="5"/>
        <v>0</v>
      </c>
    </row>
    <row r="58" spans="1:15" ht="21" customHeight="1">
      <c r="A58" s="11">
        <v>55</v>
      </c>
      <c r="B58" s="12">
        <v>46002</v>
      </c>
      <c r="C58" s="13" t="s">
        <v>1144</v>
      </c>
      <c r="D58" s="20">
        <v>22</v>
      </c>
      <c r="E58" s="20">
        <v>1</v>
      </c>
      <c r="F58" s="11">
        <f t="shared" si="0"/>
        <v>21</v>
      </c>
      <c r="G58" s="20"/>
      <c r="H58" s="22">
        <v>43000</v>
      </c>
      <c r="I58" s="15">
        <f t="shared" si="1"/>
        <v>43000</v>
      </c>
      <c r="J58" s="20">
        <v>1</v>
      </c>
      <c r="K58" s="22">
        <v>49000</v>
      </c>
      <c r="L58" s="17">
        <f t="shared" si="2"/>
        <v>49000</v>
      </c>
      <c r="M58" s="18">
        <f t="shared" si="3"/>
        <v>6000</v>
      </c>
      <c r="N58" s="18">
        <f t="shared" si="4"/>
        <v>4200</v>
      </c>
      <c r="O58" s="18">
        <f t="shared" si="5"/>
        <v>1800</v>
      </c>
    </row>
    <row r="59" spans="1:15" ht="21" customHeight="1">
      <c r="A59" s="11">
        <v>56</v>
      </c>
      <c r="B59" s="12">
        <v>46002</v>
      </c>
      <c r="C59" s="29" t="s">
        <v>1145</v>
      </c>
      <c r="D59" s="20">
        <v>24</v>
      </c>
      <c r="E59" s="26"/>
      <c r="F59" s="11">
        <f t="shared" si="0"/>
        <v>24</v>
      </c>
      <c r="G59" s="26"/>
      <c r="H59" s="30">
        <v>56000</v>
      </c>
      <c r="I59" s="15">
        <f t="shared" si="1"/>
        <v>0</v>
      </c>
      <c r="J59" s="26"/>
      <c r="K59" s="30">
        <v>65000</v>
      </c>
      <c r="L59" s="31">
        <f t="shared" si="2"/>
        <v>0</v>
      </c>
      <c r="M59" s="32">
        <f t="shared" si="3"/>
        <v>0</v>
      </c>
      <c r="N59" s="32">
        <f t="shared" si="4"/>
        <v>0</v>
      </c>
      <c r="O59" s="32">
        <f t="shared" si="5"/>
        <v>0</v>
      </c>
    </row>
    <row r="60" spans="1:15" ht="21" customHeight="1">
      <c r="A60" s="11">
        <v>57</v>
      </c>
      <c r="B60" s="12">
        <v>46002</v>
      </c>
      <c r="C60" s="29" t="s">
        <v>1146</v>
      </c>
      <c r="D60" s="26">
        <v>10</v>
      </c>
      <c r="E60" s="26">
        <v>3</v>
      </c>
      <c r="F60" s="11">
        <f t="shared" si="0"/>
        <v>7</v>
      </c>
      <c r="G60" s="26"/>
      <c r="H60" s="30">
        <v>59000</v>
      </c>
      <c r="I60" s="15">
        <f t="shared" si="1"/>
        <v>177000</v>
      </c>
      <c r="J60" s="26">
        <v>3</v>
      </c>
      <c r="K60" s="30">
        <v>65000</v>
      </c>
      <c r="L60" s="31">
        <f t="shared" si="2"/>
        <v>195000</v>
      </c>
      <c r="M60" s="32">
        <f t="shared" si="3"/>
        <v>18000</v>
      </c>
      <c r="N60" s="32">
        <f t="shared" si="4"/>
        <v>12600</v>
      </c>
      <c r="O60" s="32">
        <f t="shared" si="5"/>
        <v>5400</v>
      </c>
    </row>
    <row r="61" spans="1:15" ht="21" customHeight="1">
      <c r="A61" s="11">
        <v>58</v>
      </c>
      <c r="B61" s="12">
        <v>46002</v>
      </c>
      <c r="C61" s="29" t="s">
        <v>1147</v>
      </c>
      <c r="D61" s="26">
        <v>20</v>
      </c>
      <c r="E61" s="26">
        <v>2</v>
      </c>
      <c r="F61" s="11">
        <f t="shared" si="0"/>
        <v>18</v>
      </c>
      <c r="G61" s="26"/>
      <c r="H61" s="27">
        <v>18000</v>
      </c>
      <c r="I61" s="15">
        <f t="shared" si="1"/>
        <v>36000</v>
      </c>
      <c r="J61" s="26">
        <v>2</v>
      </c>
      <c r="K61" s="27">
        <v>26000</v>
      </c>
      <c r="L61" s="17">
        <f t="shared" si="2"/>
        <v>52000</v>
      </c>
      <c r="M61" s="18">
        <f t="shared" si="3"/>
        <v>16000</v>
      </c>
      <c r="N61" s="18">
        <f t="shared" si="4"/>
        <v>11200</v>
      </c>
      <c r="O61" s="18">
        <f t="shared" si="5"/>
        <v>4800</v>
      </c>
    </row>
    <row r="62" spans="1:15" ht="21" customHeight="1">
      <c r="A62" s="11">
        <v>59</v>
      </c>
      <c r="B62" s="12">
        <v>46002</v>
      </c>
      <c r="C62" s="29" t="s">
        <v>1148</v>
      </c>
      <c r="D62" s="26">
        <v>8</v>
      </c>
      <c r="E62" s="26">
        <v>6</v>
      </c>
      <c r="F62" s="11">
        <f t="shared" si="0"/>
        <v>2</v>
      </c>
      <c r="G62" s="26"/>
      <c r="H62" s="27">
        <v>14000</v>
      </c>
      <c r="I62" s="15">
        <f t="shared" si="1"/>
        <v>84000</v>
      </c>
      <c r="J62" s="26">
        <v>6</v>
      </c>
      <c r="K62" s="27">
        <v>19000</v>
      </c>
      <c r="L62" s="17">
        <f t="shared" si="2"/>
        <v>114000</v>
      </c>
      <c r="M62" s="18">
        <f t="shared" si="3"/>
        <v>30000</v>
      </c>
      <c r="N62" s="18">
        <f t="shared" si="4"/>
        <v>21000</v>
      </c>
      <c r="O62" s="18">
        <f t="shared" si="5"/>
        <v>9000</v>
      </c>
    </row>
    <row r="63" spans="1:15" ht="21" customHeight="1">
      <c r="A63" s="11">
        <v>60</v>
      </c>
      <c r="B63" s="12">
        <v>46002</v>
      </c>
      <c r="C63" s="29" t="s">
        <v>1149</v>
      </c>
      <c r="D63" s="26">
        <v>21</v>
      </c>
      <c r="E63" s="26"/>
      <c r="F63" s="11">
        <f t="shared" si="0"/>
        <v>21</v>
      </c>
      <c r="G63" s="26"/>
      <c r="H63" s="27">
        <v>16500</v>
      </c>
      <c r="I63" s="15">
        <f t="shared" si="1"/>
        <v>0</v>
      </c>
      <c r="J63" s="26"/>
      <c r="K63" s="27">
        <v>21500</v>
      </c>
      <c r="L63" s="17">
        <f t="shared" si="2"/>
        <v>0</v>
      </c>
      <c r="M63" s="18">
        <f t="shared" si="3"/>
        <v>0</v>
      </c>
      <c r="N63" s="18">
        <f t="shared" si="4"/>
        <v>0</v>
      </c>
      <c r="O63" s="18">
        <f t="shared" si="5"/>
        <v>0</v>
      </c>
    </row>
    <row r="64" spans="1:15" ht="21" customHeight="1">
      <c r="A64" s="11">
        <v>61</v>
      </c>
      <c r="B64" s="12">
        <v>46002</v>
      </c>
      <c r="C64" s="29" t="s">
        <v>1150</v>
      </c>
      <c r="D64" s="20">
        <v>23</v>
      </c>
      <c r="E64" s="26">
        <v>1</v>
      </c>
      <c r="F64" s="11">
        <f t="shared" si="0"/>
        <v>22</v>
      </c>
      <c r="G64" s="26"/>
      <c r="H64" s="27">
        <v>40000</v>
      </c>
      <c r="I64" s="15">
        <f t="shared" si="1"/>
        <v>40000</v>
      </c>
      <c r="J64" s="26">
        <v>1</v>
      </c>
      <c r="K64" s="27">
        <v>47000</v>
      </c>
      <c r="L64" s="17">
        <f t="shared" si="2"/>
        <v>47000</v>
      </c>
      <c r="M64" s="18">
        <f t="shared" si="3"/>
        <v>7000</v>
      </c>
      <c r="N64" s="18">
        <f t="shared" si="4"/>
        <v>4900</v>
      </c>
      <c r="O64" s="18">
        <f t="shared" si="5"/>
        <v>2100</v>
      </c>
    </row>
    <row r="65" spans="1:17" ht="21" customHeight="1">
      <c r="A65" s="11">
        <v>62</v>
      </c>
      <c r="B65" s="12">
        <v>46002</v>
      </c>
      <c r="C65" s="29" t="s">
        <v>1151</v>
      </c>
      <c r="D65" s="20">
        <v>3</v>
      </c>
      <c r="E65" s="26"/>
      <c r="F65" s="11">
        <f t="shared" si="0"/>
        <v>3</v>
      </c>
      <c r="G65" s="26"/>
      <c r="H65" s="27">
        <v>180000</v>
      </c>
      <c r="I65" s="15">
        <f t="shared" si="1"/>
        <v>0</v>
      </c>
      <c r="J65" s="26"/>
      <c r="K65" s="27">
        <v>215000</v>
      </c>
      <c r="L65" s="17">
        <f t="shared" si="2"/>
        <v>0</v>
      </c>
      <c r="M65" s="18">
        <f t="shared" si="3"/>
        <v>0</v>
      </c>
      <c r="N65" s="18">
        <f t="shared" si="4"/>
        <v>0</v>
      </c>
      <c r="O65" s="18">
        <f t="shared" si="5"/>
        <v>0</v>
      </c>
    </row>
    <row r="66" spans="1:17" ht="21" customHeight="1">
      <c r="A66" s="11">
        <v>63</v>
      </c>
      <c r="B66" s="12">
        <v>46002</v>
      </c>
      <c r="C66" s="29" t="s">
        <v>1152</v>
      </c>
      <c r="D66" s="20">
        <v>3</v>
      </c>
      <c r="E66" s="26"/>
      <c r="F66" s="11">
        <f t="shared" si="0"/>
        <v>3</v>
      </c>
      <c r="G66" s="26"/>
      <c r="H66" s="27">
        <v>255000</v>
      </c>
      <c r="I66" s="15">
        <f t="shared" si="1"/>
        <v>0</v>
      </c>
      <c r="J66" s="26"/>
      <c r="K66" s="27">
        <v>285000</v>
      </c>
      <c r="L66" s="17">
        <f t="shared" si="2"/>
        <v>0</v>
      </c>
      <c r="M66" s="18">
        <f t="shared" si="3"/>
        <v>0</v>
      </c>
      <c r="N66" s="18">
        <f t="shared" si="4"/>
        <v>0</v>
      </c>
      <c r="O66" s="18">
        <f t="shared" si="5"/>
        <v>0</v>
      </c>
    </row>
    <row r="67" spans="1:17" ht="21" customHeight="1">
      <c r="A67" s="11">
        <v>64</v>
      </c>
      <c r="B67" s="12">
        <v>46002</v>
      </c>
      <c r="C67" s="29" t="s">
        <v>1153</v>
      </c>
      <c r="D67" s="20">
        <v>58</v>
      </c>
      <c r="E67" s="26"/>
      <c r="F67" s="11">
        <f t="shared" si="0"/>
        <v>58</v>
      </c>
      <c r="G67" s="26"/>
      <c r="H67" s="27">
        <v>33000</v>
      </c>
      <c r="I67" s="15">
        <f t="shared" si="1"/>
        <v>0</v>
      </c>
      <c r="J67" s="26"/>
      <c r="K67" s="27">
        <v>45000</v>
      </c>
      <c r="L67" s="17">
        <f t="shared" si="2"/>
        <v>0</v>
      </c>
      <c r="M67" s="18">
        <f t="shared" si="3"/>
        <v>0</v>
      </c>
      <c r="N67" s="18">
        <f t="shared" si="4"/>
        <v>0</v>
      </c>
      <c r="O67" s="18">
        <f t="shared" si="5"/>
        <v>0</v>
      </c>
    </row>
    <row r="68" spans="1:17" ht="21" customHeight="1">
      <c r="A68" s="11">
        <v>65</v>
      </c>
      <c r="B68" s="12">
        <v>46002</v>
      </c>
      <c r="C68" s="29" t="s">
        <v>1154</v>
      </c>
      <c r="D68" s="20">
        <v>30</v>
      </c>
      <c r="E68" s="26"/>
      <c r="F68" s="11">
        <f t="shared" si="0"/>
        <v>30</v>
      </c>
      <c r="G68" s="26"/>
      <c r="H68" s="27">
        <v>38000</v>
      </c>
      <c r="I68" s="15">
        <f t="shared" si="1"/>
        <v>0</v>
      </c>
      <c r="J68" s="26"/>
      <c r="K68" s="27">
        <v>48000</v>
      </c>
      <c r="L68" s="17">
        <f t="shared" si="2"/>
        <v>0</v>
      </c>
      <c r="M68" s="18">
        <f t="shared" si="3"/>
        <v>0</v>
      </c>
      <c r="N68" s="18">
        <f t="shared" si="4"/>
        <v>0</v>
      </c>
      <c r="O68" s="18">
        <f t="shared" si="5"/>
        <v>0</v>
      </c>
    </row>
    <row r="69" spans="1:17" ht="21" customHeight="1">
      <c r="A69" s="11">
        <v>66</v>
      </c>
      <c r="B69" s="879" t="s">
        <v>1155</v>
      </c>
      <c r="C69" s="33" t="s">
        <v>1156</v>
      </c>
      <c r="D69" s="20">
        <v>24</v>
      </c>
      <c r="E69" s="20">
        <v>6</v>
      </c>
      <c r="F69" s="11">
        <f>SUM(D69-E69)</f>
        <v>18</v>
      </c>
      <c r="G69" s="20"/>
      <c r="H69" s="34">
        <v>27800</v>
      </c>
      <c r="I69" s="35">
        <f>SUM(E69*H69)</f>
        <v>166800</v>
      </c>
      <c r="J69" s="20">
        <v>6</v>
      </c>
      <c r="K69" s="36">
        <v>38000</v>
      </c>
      <c r="L69" s="17">
        <f>SUM(J69*K69)</f>
        <v>228000</v>
      </c>
      <c r="M69" s="18">
        <f>SUM(L69-I69)</f>
        <v>61200</v>
      </c>
      <c r="N69" s="18">
        <f>SUM(M69*70%)</f>
        <v>42840</v>
      </c>
      <c r="O69" s="18">
        <f>SUM(M69*30%)</f>
        <v>18360</v>
      </c>
      <c r="Q69" s="37"/>
    </row>
    <row r="70" spans="1:17" ht="21" customHeight="1">
      <c r="A70" s="11">
        <v>67</v>
      </c>
      <c r="B70" s="879" t="s">
        <v>1155</v>
      </c>
      <c r="C70" s="33" t="s">
        <v>1157</v>
      </c>
      <c r="D70" s="20">
        <v>26</v>
      </c>
      <c r="E70" s="20">
        <v>8</v>
      </c>
      <c r="F70" s="11">
        <f>SUM(D70-E70)</f>
        <v>18</v>
      </c>
      <c r="G70" s="20"/>
      <c r="H70" s="34">
        <v>30500</v>
      </c>
      <c r="I70" s="35">
        <f>SUM(E70*H70)</f>
        <v>244000</v>
      </c>
      <c r="J70" s="20">
        <v>8</v>
      </c>
      <c r="K70" s="36">
        <v>40000</v>
      </c>
      <c r="L70" s="17">
        <f>SUM(J70*K70)</f>
        <v>320000</v>
      </c>
      <c r="M70" s="18">
        <f>SUM(L70-I70)</f>
        <v>76000</v>
      </c>
      <c r="N70" s="18">
        <f>SUM(M70*70%)</f>
        <v>53200</v>
      </c>
      <c r="O70" s="18">
        <f>SUM(M70*30%)</f>
        <v>22800</v>
      </c>
      <c r="Q70" s="37"/>
    </row>
    <row r="71" spans="1:17" ht="21" customHeight="1">
      <c r="A71" s="11">
        <v>68</v>
      </c>
      <c r="B71" s="879" t="s">
        <v>1158</v>
      </c>
      <c r="C71" s="33" t="s">
        <v>1159</v>
      </c>
      <c r="D71" s="20">
        <v>10</v>
      </c>
      <c r="E71" s="20"/>
      <c r="F71" s="20">
        <f t="shared" ref="F71:F84" si="6">SUM(D71-E71)</f>
        <v>10</v>
      </c>
      <c r="G71" s="20"/>
      <c r="H71" s="38">
        <v>10000</v>
      </c>
      <c r="I71" s="38">
        <f t="shared" ref="I71:I84" si="7">SUM(E71*H71)</f>
        <v>0</v>
      </c>
      <c r="J71" s="20"/>
      <c r="K71" s="36">
        <v>20000</v>
      </c>
      <c r="L71" s="17">
        <f t="shared" ref="L71:L84" si="8">SUM(J71*K71)</f>
        <v>0</v>
      </c>
      <c r="M71" s="18">
        <f t="shared" ref="M71:M84" si="9">SUM(L71-I71)</f>
        <v>0</v>
      </c>
      <c r="N71" s="18">
        <f t="shared" ref="N71:N84" si="10">SUM(M71*70%)</f>
        <v>0</v>
      </c>
      <c r="O71" s="18">
        <f t="shared" ref="O71:O84" si="11">SUM(M71*30%)</f>
        <v>0</v>
      </c>
      <c r="Q71" s="37"/>
    </row>
    <row r="72" spans="1:17" ht="21" customHeight="1">
      <c r="A72" s="11">
        <v>69</v>
      </c>
      <c r="B72" s="879" t="str">
        <f t="shared" ref="B72:B81" si="12">B71</f>
        <v>2/4/2026</v>
      </c>
      <c r="C72" s="33" t="s">
        <v>1160</v>
      </c>
      <c r="D72" s="20">
        <v>14</v>
      </c>
      <c r="E72" s="20">
        <v>1</v>
      </c>
      <c r="F72" s="20">
        <f t="shared" si="6"/>
        <v>13</v>
      </c>
      <c r="G72" s="20"/>
      <c r="H72" s="38">
        <v>40000</v>
      </c>
      <c r="I72" s="38">
        <f t="shared" si="7"/>
        <v>40000</v>
      </c>
      <c r="J72" s="20">
        <v>1</v>
      </c>
      <c r="K72" s="36">
        <v>50000</v>
      </c>
      <c r="L72" s="17">
        <f t="shared" si="8"/>
        <v>50000</v>
      </c>
      <c r="M72" s="18">
        <f t="shared" si="9"/>
        <v>10000</v>
      </c>
      <c r="N72" s="18">
        <f t="shared" si="10"/>
        <v>7000</v>
      </c>
      <c r="O72" s="18">
        <f t="shared" si="11"/>
        <v>3000</v>
      </c>
      <c r="Q72" s="37"/>
    </row>
    <row r="73" spans="1:17" ht="21" customHeight="1">
      <c r="A73" s="11">
        <v>70</v>
      </c>
      <c r="B73" s="879" t="str">
        <f t="shared" si="12"/>
        <v>2/4/2026</v>
      </c>
      <c r="C73" s="33" t="s">
        <v>1161</v>
      </c>
      <c r="D73" s="20">
        <v>2</v>
      </c>
      <c r="E73" s="20"/>
      <c r="F73" s="20">
        <f t="shared" si="6"/>
        <v>2</v>
      </c>
      <c r="G73" s="20"/>
      <c r="H73" s="38">
        <v>100000</v>
      </c>
      <c r="I73" s="38">
        <f t="shared" si="7"/>
        <v>0</v>
      </c>
      <c r="J73" s="20"/>
      <c r="K73" s="36">
        <v>115000</v>
      </c>
      <c r="L73" s="17">
        <f t="shared" si="8"/>
        <v>0</v>
      </c>
      <c r="M73" s="18">
        <f t="shared" si="9"/>
        <v>0</v>
      </c>
      <c r="N73" s="18">
        <f t="shared" si="10"/>
        <v>0</v>
      </c>
      <c r="O73" s="18">
        <f t="shared" si="11"/>
        <v>0</v>
      </c>
      <c r="Q73" s="37"/>
    </row>
    <row r="74" spans="1:17" ht="21" customHeight="1">
      <c r="A74" s="11">
        <v>71</v>
      </c>
      <c r="B74" s="879" t="str">
        <f t="shared" si="12"/>
        <v>2/4/2026</v>
      </c>
      <c r="C74" s="33" t="s">
        <v>1162</v>
      </c>
      <c r="D74" s="20">
        <v>2</v>
      </c>
      <c r="E74" s="20"/>
      <c r="F74" s="20">
        <f t="shared" si="6"/>
        <v>2</v>
      </c>
      <c r="G74" s="20"/>
      <c r="H74" s="38">
        <v>100000</v>
      </c>
      <c r="I74" s="38">
        <f t="shared" si="7"/>
        <v>0</v>
      </c>
      <c r="J74" s="20"/>
      <c r="K74" s="36">
        <v>115000</v>
      </c>
      <c r="L74" s="17">
        <f t="shared" si="8"/>
        <v>0</v>
      </c>
      <c r="M74" s="18">
        <f t="shared" si="9"/>
        <v>0</v>
      </c>
      <c r="N74" s="18">
        <f t="shared" si="10"/>
        <v>0</v>
      </c>
      <c r="O74" s="18">
        <f t="shared" si="11"/>
        <v>0</v>
      </c>
      <c r="Q74" s="37"/>
    </row>
    <row r="75" spans="1:17" ht="21" customHeight="1">
      <c r="A75" s="11">
        <v>72</v>
      </c>
      <c r="B75" s="879" t="str">
        <f t="shared" si="12"/>
        <v>2/4/2026</v>
      </c>
      <c r="C75" s="33" t="s">
        <v>1163</v>
      </c>
      <c r="D75" s="20">
        <v>50</v>
      </c>
      <c r="E75" s="20"/>
      <c r="F75" s="20">
        <f t="shared" si="6"/>
        <v>50</v>
      </c>
      <c r="G75" s="20"/>
      <c r="H75" s="38">
        <v>6000</v>
      </c>
      <c r="I75" s="38">
        <f t="shared" si="7"/>
        <v>0</v>
      </c>
      <c r="J75" s="20"/>
      <c r="K75" s="36">
        <v>12000</v>
      </c>
      <c r="L75" s="17">
        <f t="shared" si="8"/>
        <v>0</v>
      </c>
      <c r="M75" s="18">
        <f t="shared" si="9"/>
        <v>0</v>
      </c>
      <c r="N75" s="18">
        <f t="shared" si="10"/>
        <v>0</v>
      </c>
      <c r="O75" s="18">
        <f t="shared" si="11"/>
        <v>0</v>
      </c>
      <c r="Q75" s="37"/>
    </row>
    <row r="76" spans="1:17" ht="21" customHeight="1">
      <c r="A76" s="11">
        <v>73</v>
      </c>
      <c r="B76" s="879" t="str">
        <f t="shared" si="12"/>
        <v>2/4/2026</v>
      </c>
      <c r="C76" s="33" t="s">
        <v>1164</v>
      </c>
      <c r="D76" s="20">
        <v>2</v>
      </c>
      <c r="E76" s="20"/>
      <c r="F76" s="20">
        <f t="shared" si="6"/>
        <v>2</v>
      </c>
      <c r="G76" s="20"/>
      <c r="H76" s="38">
        <v>43000</v>
      </c>
      <c r="I76" s="38">
        <f t="shared" si="7"/>
        <v>0</v>
      </c>
      <c r="J76" s="20"/>
      <c r="K76" s="36">
        <v>50000</v>
      </c>
      <c r="L76" s="17">
        <f t="shared" si="8"/>
        <v>0</v>
      </c>
      <c r="M76" s="18">
        <f t="shared" si="9"/>
        <v>0</v>
      </c>
      <c r="N76" s="18">
        <f t="shared" si="10"/>
        <v>0</v>
      </c>
      <c r="O76" s="18">
        <f t="shared" si="11"/>
        <v>0</v>
      </c>
      <c r="Q76" s="37"/>
    </row>
    <row r="77" spans="1:17" ht="21" customHeight="1">
      <c r="A77" s="11">
        <v>74</v>
      </c>
      <c r="B77" s="879" t="str">
        <f t="shared" si="12"/>
        <v>2/4/2026</v>
      </c>
      <c r="C77" s="33" t="s">
        <v>1165</v>
      </c>
      <c r="D77" s="20">
        <v>2</v>
      </c>
      <c r="E77" s="20"/>
      <c r="F77" s="20">
        <f t="shared" si="6"/>
        <v>2</v>
      </c>
      <c r="G77" s="20"/>
      <c r="H77" s="38">
        <v>43000</v>
      </c>
      <c r="I77" s="38">
        <f t="shared" si="7"/>
        <v>0</v>
      </c>
      <c r="J77" s="20"/>
      <c r="K77" s="36">
        <v>49000</v>
      </c>
      <c r="L77" s="17">
        <f t="shared" si="8"/>
        <v>0</v>
      </c>
      <c r="M77" s="18">
        <f t="shared" si="9"/>
        <v>0</v>
      </c>
      <c r="N77" s="18">
        <f t="shared" si="10"/>
        <v>0</v>
      </c>
      <c r="O77" s="18">
        <f t="shared" si="11"/>
        <v>0</v>
      </c>
      <c r="Q77" s="37"/>
    </row>
    <row r="78" spans="1:17" ht="21" customHeight="1">
      <c r="A78" s="11">
        <v>75</v>
      </c>
      <c r="B78" s="879" t="str">
        <f t="shared" si="12"/>
        <v>2/4/2026</v>
      </c>
      <c r="C78" s="33" t="s">
        <v>1166</v>
      </c>
      <c r="D78" s="20">
        <v>15</v>
      </c>
      <c r="E78" s="20"/>
      <c r="F78" s="20">
        <f t="shared" si="6"/>
        <v>15</v>
      </c>
      <c r="G78" s="20" t="s">
        <v>1167</v>
      </c>
      <c r="H78" s="38">
        <v>20000</v>
      </c>
      <c r="I78" s="38">
        <f t="shared" si="7"/>
        <v>0</v>
      </c>
      <c r="J78" s="20"/>
      <c r="K78" s="36">
        <v>30000</v>
      </c>
      <c r="L78" s="17">
        <f t="shared" si="8"/>
        <v>0</v>
      </c>
      <c r="M78" s="18">
        <f t="shared" si="9"/>
        <v>0</v>
      </c>
      <c r="N78" s="18">
        <f t="shared" si="10"/>
        <v>0</v>
      </c>
      <c r="O78" s="18">
        <f t="shared" si="11"/>
        <v>0</v>
      </c>
      <c r="Q78" s="37"/>
    </row>
    <row r="79" spans="1:17" ht="21" customHeight="1">
      <c r="A79" s="11">
        <v>76</v>
      </c>
      <c r="B79" s="879" t="str">
        <f t="shared" si="12"/>
        <v>2/4/2026</v>
      </c>
      <c r="C79" s="33" t="s">
        <v>1168</v>
      </c>
      <c r="D79" s="20">
        <v>15</v>
      </c>
      <c r="E79" s="20"/>
      <c r="F79" s="20">
        <f t="shared" si="6"/>
        <v>15</v>
      </c>
      <c r="G79" s="20" t="s">
        <v>1167</v>
      </c>
      <c r="H79" s="38">
        <v>35000</v>
      </c>
      <c r="I79" s="38">
        <f t="shared" si="7"/>
        <v>0</v>
      </c>
      <c r="J79" s="20"/>
      <c r="K79" s="36">
        <v>50000</v>
      </c>
      <c r="L79" s="17">
        <f t="shared" si="8"/>
        <v>0</v>
      </c>
      <c r="M79" s="18">
        <f t="shared" si="9"/>
        <v>0</v>
      </c>
      <c r="N79" s="18">
        <f t="shared" si="10"/>
        <v>0</v>
      </c>
      <c r="O79" s="18">
        <f t="shared" si="11"/>
        <v>0</v>
      </c>
      <c r="Q79" s="37"/>
    </row>
    <row r="80" spans="1:17" ht="21" customHeight="1">
      <c r="A80" s="11">
        <v>77</v>
      </c>
      <c r="B80" s="879" t="str">
        <f t="shared" si="12"/>
        <v>2/4/2026</v>
      </c>
      <c r="C80" s="33" t="s">
        <v>1169</v>
      </c>
      <c r="D80" s="20">
        <v>5</v>
      </c>
      <c r="E80" s="20"/>
      <c r="F80" s="20">
        <f t="shared" si="6"/>
        <v>5</v>
      </c>
      <c r="G80" s="20" t="s">
        <v>1167</v>
      </c>
      <c r="H80" s="38">
        <v>30000</v>
      </c>
      <c r="I80" s="38">
        <f t="shared" si="7"/>
        <v>0</v>
      </c>
      <c r="J80" s="20"/>
      <c r="K80" s="36">
        <v>50000</v>
      </c>
      <c r="L80" s="17">
        <f t="shared" si="8"/>
        <v>0</v>
      </c>
      <c r="M80" s="18">
        <f t="shared" si="9"/>
        <v>0</v>
      </c>
      <c r="N80" s="18">
        <f t="shared" si="10"/>
        <v>0</v>
      </c>
      <c r="O80" s="18">
        <f t="shared" si="11"/>
        <v>0</v>
      </c>
      <c r="Q80" s="37"/>
    </row>
    <row r="81" spans="1:17" ht="21" customHeight="1">
      <c r="A81" s="11">
        <v>78</v>
      </c>
      <c r="B81" s="879" t="str">
        <f t="shared" si="12"/>
        <v>2/4/2026</v>
      </c>
      <c r="C81" s="33" t="s">
        <v>1170</v>
      </c>
      <c r="D81" s="20">
        <v>5</v>
      </c>
      <c r="E81" s="20"/>
      <c r="F81" s="20">
        <f t="shared" si="6"/>
        <v>5</v>
      </c>
      <c r="G81" s="20" t="s">
        <v>1167</v>
      </c>
      <c r="H81" s="38">
        <v>30000</v>
      </c>
      <c r="I81" s="38">
        <f t="shared" si="7"/>
        <v>0</v>
      </c>
      <c r="J81" s="20"/>
      <c r="K81" s="36">
        <v>50000</v>
      </c>
      <c r="L81" s="17">
        <f t="shared" si="8"/>
        <v>0</v>
      </c>
      <c r="M81" s="18">
        <f t="shared" si="9"/>
        <v>0</v>
      </c>
      <c r="N81" s="18">
        <f t="shared" si="10"/>
        <v>0</v>
      </c>
      <c r="O81" s="18">
        <f t="shared" si="11"/>
        <v>0</v>
      </c>
      <c r="Q81" s="37"/>
    </row>
    <row r="82" spans="1:17" ht="21" customHeight="1">
      <c r="A82" s="11">
        <v>79</v>
      </c>
      <c r="B82" s="879" t="str">
        <f t="shared" ref="B82:B95" si="13">B81</f>
        <v>2/4/2026</v>
      </c>
      <c r="C82" s="33" t="s">
        <v>1171</v>
      </c>
      <c r="D82" s="20">
        <v>5</v>
      </c>
      <c r="E82" s="20"/>
      <c r="F82" s="20">
        <f t="shared" si="6"/>
        <v>5</v>
      </c>
      <c r="G82" s="20" t="s">
        <v>1167</v>
      </c>
      <c r="H82" s="38">
        <v>35000</v>
      </c>
      <c r="I82" s="38">
        <f t="shared" si="7"/>
        <v>0</v>
      </c>
      <c r="J82" s="20"/>
      <c r="K82" s="36">
        <v>50000</v>
      </c>
      <c r="L82" s="17">
        <f t="shared" si="8"/>
        <v>0</v>
      </c>
      <c r="M82" s="18">
        <f t="shared" si="9"/>
        <v>0</v>
      </c>
      <c r="N82" s="18">
        <f t="shared" si="10"/>
        <v>0</v>
      </c>
      <c r="O82" s="18">
        <f t="shared" si="11"/>
        <v>0</v>
      </c>
      <c r="Q82" s="37"/>
    </row>
    <row r="83" spans="1:17" ht="21" customHeight="1">
      <c r="A83" s="11">
        <v>80</v>
      </c>
      <c r="B83" s="879" t="str">
        <f t="shared" si="13"/>
        <v>2/4/2026</v>
      </c>
      <c r="C83" s="33" t="s">
        <v>1172</v>
      </c>
      <c r="D83" s="20">
        <v>10</v>
      </c>
      <c r="E83" s="20"/>
      <c r="F83" s="20">
        <f t="shared" si="6"/>
        <v>10</v>
      </c>
      <c r="G83" s="20" t="s">
        <v>1167</v>
      </c>
      <c r="H83" s="38">
        <v>20000</v>
      </c>
      <c r="I83" s="38">
        <f t="shared" si="7"/>
        <v>0</v>
      </c>
      <c r="J83" s="20"/>
      <c r="K83" s="36">
        <v>40000</v>
      </c>
      <c r="L83" s="17">
        <f t="shared" si="8"/>
        <v>0</v>
      </c>
      <c r="M83" s="18">
        <f t="shared" si="9"/>
        <v>0</v>
      </c>
      <c r="N83" s="18">
        <f t="shared" si="10"/>
        <v>0</v>
      </c>
      <c r="O83" s="18">
        <f t="shared" si="11"/>
        <v>0</v>
      </c>
      <c r="Q83" s="37"/>
    </row>
    <row r="84" spans="1:17" ht="21" customHeight="1">
      <c r="A84" s="11">
        <v>81</v>
      </c>
      <c r="B84" s="879" t="str">
        <f t="shared" si="13"/>
        <v>2/4/2026</v>
      </c>
      <c r="C84" s="33" t="s">
        <v>1173</v>
      </c>
      <c r="D84" s="20">
        <v>3</v>
      </c>
      <c r="E84" s="20"/>
      <c r="F84" s="20">
        <f t="shared" si="6"/>
        <v>3</v>
      </c>
      <c r="G84" s="20" t="s">
        <v>1167</v>
      </c>
      <c r="H84" s="38">
        <v>90000</v>
      </c>
      <c r="I84" s="38">
        <f t="shared" si="7"/>
        <v>0</v>
      </c>
      <c r="J84" s="20"/>
      <c r="K84" s="36">
        <v>95000</v>
      </c>
      <c r="L84" s="17">
        <f t="shared" si="8"/>
        <v>0</v>
      </c>
      <c r="M84" s="18">
        <f t="shared" si="9"/>
        <v>0</v>
      </c>
      <c r="N84" s="18">
        <f t="shared" si="10"/>
        <v>0</v>
      </c>
      <c r="O84" s="18">
        <f t="shared" si="11"/>
        <v>0</v>
      </c>
      <c r="Q84" s="37"/>
    </row>
    <row r="85" spans="1:17" ht="21" customHeight="1">
      <c r="A85" s="11">
        <v>82</v>
      </c>
      <c r="B85" s="879" t="str">
        <f t="shared" si="13"/>
        <v>2/4/2026</v>
      </c>
      <c r="C85" s="33" t="s">
        <v>1174</v>
      </c>
      <c r="D85" s="20">
        <v>10</v>
      </c>
      <c r="E85" s="20"/>
      <c r="F85" s="20">
        <f t="shared" ref="F85:F95" si="14">SUM(D85-E85)</f>
        <v>10</v>
      </c>
      <c r="G85" s="20" t="s">
        <v>1167</v>
      </c>
      <c r="H85" s="38">
        <v>15000</v>
      </c>
      <c r="I85" s="38"/>
      <c r="J85" s="20"/>
      <c r="K85" s="36">
        <v>20000</v>
      </c>
      <c r="L85" s="17"/>
      <c r="M85" s="18"/>
      <c r="N85" s="18"/>
      <c r="O85" s="18"/>
      <c r="Q85" s="37"/>
    </row>
    <row r="86" spans="1:17" ht="21" customHeight="1">
      <c r="A86" s="11">
        <v>83</v>
      </c>
      <c r="B86" s="879" t="str">
        <f t="shared" si="13"/>
        <v>2/4/2026</v>
      </c>
      <c r="C86" s="33" t="s">
        <v>1175</v>
      </c>
      <c r="D86" s="20">
        <v>10</v>
      </c>
      <c r="E86" s="20"/>
      <c r="F86" s="20">
        <f t="shared" si="14"/>
        <v>10</v>
      </c>
      <c r="G86" s="20"/>
      <c r="H86" s="38">
        <v>16500</v>
      </c>
      <c r="I86" s="38">
        <f t="shared" ref="I86:I95" si="15">SUM(E86*H86)</f>
        <v>0</v>
      </c>
      <c r="J86" s="20"/>
      <c r="K86" s="36">
        <v>20000</v>
      </c>
      <c r="L86" s="17">
        <f t="shared" ref="L86:L95" si="16">SUM(J86*K86)</f>
        <v>0</v>
      </c>
      <c r="M86" s="18">
        <f t="shared" ref="M86:M95" si="17">SUM(L86-I86)</f>
        <v>0</v>
      </c>
      <c r="N86" s="18">
        <f t="shared" ref="N86:N95" si="18">SUM(M86*70%)</f>
        <v>0</v>
      </c>
      <c r="O86" s="18">
        <f t="shared" ref="O86:O95" si="19">SUM(M86*30%)</f>
        <v>0</v>
      </c>
      <c r="Q86" s="37"/>
    </row>
    <row r="87" spans="1:17" ht="21" customHeight="1">
      <c r="A87" s="11">
        <v>84</v>
      </c>
      <c r="B87" s="879" t="str">
        <f t="shared" si="13"/>
        <v>2/4/2026</v>
      </c>
      <c r="C87" s="33" t="s">
        <v>1176</v>
      </c>
      <c r="D87" s="20">
        <v>10</v>
      </c>
      <c r="E87" s="20"/>
      <c r="F87" s="20">
        <f t="shared" si="14"/>
        <v>10</v>
      </c>
      <c r="G87" s="20"/>
      <c r="H87" s="38">
        <v>16500</v>
      </c>
      <c r="I87" s="38">
        <f t="shared" si="15"/>
        <v>0</v>
      </c>
      <c r="J87" s="20"/>
      <c r="K87" s="36">
        <v>20000</v>
      </c>
      <c r="L87" s="17">
        <f t="shared" si="16"/>
        <v>0</v>
      </c>
      <c r="M87" s="18">
        <f t="shared" si="17"/>
        <v>0</v>
      </c>
      <c r="N87" s="18">
        <f t="shared" si="18"/>
        <v>0</v>
      </c>
      <c r="O87" s="18">
        <f t="shared" si="19"/>
        <v>0</v>
      </c>
      <c r="Q87" s="37"/>
    </row>
    <row r="88" spans="1:17" ht="21" customHeight="1">
      <c r="A88" s="11">
        <v>85</v>
      </c>
      <c r="B88" s="879" t="str">
        <f t="shared" si="13"/>
        <v>2/4/2026</v>
      </c>
      <c r="C88" s="33" t="s">
        <v>1177</v>
      </c>
      <c r="D88" s="20">
        <v>10</v>
      </c>
      <c r="E88" s="20">
        <v>1</v>
      </c>
      <c r="F88" s="20">
        <f t="shared" si="14"/>
        <v>9</v>
      </c>
      <c r="G88" s="20"/>
      <c r="H88" s="38">
        <v>16500</v>
      </c>
      <c r="I88" s="38">
        <f t="shared" si="15"/>
        <v>16500</v>
      </c>
      <c r="J88" s="20">
        <v>1</v>
      </c>
      <c r="K88" s="36">
        <v>20000</v>
      </c>
      <c r="L88" s="17">
        <f t="shared" si="16"/>
        <v>20000</v>
      </c>
      <c r="M88" s="18">
        <f t="shared" si="17"/>
        <v>3500</v>
      </c>
      <c r="N88" s="18">
        <f t="shared" si="18"/>
        <v>2450</v>
      </c>
      <c r="O88" s="18">
        <f t="shared" si="19"/>
        <v>1050</v>
      </c>
      <c r="Q88" s="37"/>
    </row>
    <row r="89" spans="1:17" ht="21" customHeight="1">
      <c r="A89" s="11">
        <v>86</v>
      </c>
      <c r="B89" s="879" t="str">
        <f t="shared" si="13"/>
        <v>2/4/2026</v>
      </c>
      <c r="C89" s="33" t="s">
        <v>1178</v>
      </c>
      <c r="D89" s="20">
        <v>15</v>
      </c>
      <c r="E89" s="20"/>
      <c r="F89" s="20">
        <f t="shared" si="14"/>
        <v>15</v>
      </c>
      <c r="G89" s="20"/>
      <c r="H89" s="38">
        <v>10000</v>
      </c>
      <c r="I89" s="38">
        <f t="shared" si="15"/>
        <v>0</v>
      </c>
      <c r="J89" s="20"/>
      <c r="K89" s="36">
        <v>20000</v>
      </c>
      <c r="L89" s="17">
        <f t="shared" si="16"/>
        <v>0</v>
      </c>
      <c r="M89" s="18">
        <f t="shared" si="17"/>
        <v>0</v>
      </c>
      <c r="N89" s="18">
        <f t="shared" si="18"/>
        <v>0</v>
      </c>
      <c r="O89" s="18">
        <f t="shared" si="19"/>
        <v>0</v>
      </c>
      <c r="Q89" s="37"/>
    </row>
    <row r="90" spans="1:17" ht="21" customHeight="1">
      <c r="A90" s="11">
        <v>87</v>
      </c>
      <c r="B90" s="879" t="str">
        <f t="shared" si="13"/>
        <v>2/4/2026</v>
      </c>
      <c r="C90" s="33" t="s">
        <v>1179</v>
      </c>
      <c r="D90" s="20">
        <v>15</v>
      </c>
      <c r="E90" s="20">
        <v>1</v>
      </c>
      <c r="F90" s="20">
        <f t="shared" si="14"/>
        <v>14</v>
      </c>
      <c r="G90" s="20"/>
      <c r="H90" s="38">
        <v>5000</v>
      </c>
      <c r="I90" s="38">
        <f t="shared" si="15"/>
        <v>5000</v>
      </c>
      <c r="J90" s="20">
        <v>1</v>
      </c>
      <c r="K90" s="36">
        <v>10000</v>
      </c>
      <c r="L90" s="17">
        <f t="shared" si="16"/>
        <v>10000</v>
      </c>
      <c r="M90" s="18">
        <f t="shared" si="17"/>
        <v>5000</v>
      </c>
      <c r="N90" s="18">
        <f t="shared" si="18"/>
        <v>3500</v>
      </c>
      <c r="O90" s="18">
        <f t="shared" si="19"/>
        <v>1500</v>
      </c>
      <c r="Q90" s="37"/>
    </row>
    <row r="91" spans="1:17" ht="21" customHeight="1">
      <c r="A91" s="11">
        <v>88</v>
      </c>
      <c r="B91" s="879" t="str">
        <f t="shared" si="13"/>
        <v>2/4/2026</v>
      </c>
      <c r="C91" s="33" t="s">
        <v>1180</v>
      </c>
      <c r="D91" s="20">
        <v>14</v>
      </c>
      <c r="E91" s="20">
        <v>1</v>
      </c>
      <c r="F91" s="20">
        <f t="shared" si="14"/>
        <v>13</v>
      </c>
      <c r="G91" s="20"/>
      <c r="H91" s="38">
        <v>5000</v>
      </c>
      <c r="I91" s="38">
        <f t="shared" si="15"/>
        <v>5000</v>
      </c>
      <c r="J91" s="20">
        <v>1</v>
      </c>
      <c r="K91" s="36">
        <v>10000</v>
      </c>
      <c r="L91" s="17">
        <f t="shared" si="16"/>
        <v>10000</v>
      </c>
      <c r="M91" s="18">
        <f t="shared" si="17"/>
        <v>5000</v>
      </c>
      <c r="N91" s="18">
        <f t="shared" si="18"/>
        <v>3500</v>
      </c>
      <c r="O91" s="18">
        <f t="shared" si="19"/>
        <v>1500</v>
      </c>
      <c r="Q91" s="37"/>
    </row>
    <row r="92" spans="1:17" ht="21" customHeight="1">
      <c r="A92" s="11">
        <v>89</v>
      </c>
      <c r="B92" s="879" t="str">
        <f t="shared" si="13"/>
        <v>2/4/2026</v>
      </c>
      <c r="C92" s="33" t="s">
        <v>1181</v>
      </c>
      <c r="D92" s="20">
        <v>3</v>
      </c>
      <c r="E92" s="20"/>
      <c r="F92" s="20">
        <f t="shared" si="14"/>
        <v>3</v>
      </c>
      <c r="G92" s="20"/>
      <c r="H92" s="38">
        <v>29000</v>
      </c>
      <c r="I92" s="38">
        <f t="shared" si="15"/>
        <v>0</v>
      </c>
      <c r="J92" s="20"/>
      <c r="K92" s="36">
        <v>40000</v>
      </c>
      <c r="L92" s="17">
        <f t="shared" si="16"/>
        <v>0</v>
      </c>
      <c r="M92" s="18">
        <f t="shared" si="17"/>
        <v>0</v>
      </c>
      <c r="N92" s="18">
        <f t="shared" si="18"/>
        <v>0</v>
      </c>
      <c r="O92" s="18">
        <f t="shared" si="19"/>
        <v>0</v>
      </c>
      <c r="Q92" s="37"/>
    </row>
    <row r="93" spans="1:17" ht="21" customHeight="1">
      <c r="A93" s="11">
        <v>90</v>
      </c>
      <c r="B93" s="879" t="str">
        <f t="shared" si="13"/>
        <v>2/4/2026</v>
      </c>
      <c r="C93" s="33" t="s">
        <v>1182</v>
      </c>
      <c r="D93" s="20">
        <v>5</v>
      </c>
      <c r="E93" s="33"/>
      <c r="F93" s="20">
        <f t="shared" si="14"/>
        <v>5</v>
      </c>
      <c r="G93" s="33"/>
      <c r="H93" s="39">
        <v>32000</v>
      </c>
      <c r="I93" s="38">
        <f t="shared" si="15"/>
        <v>0</v>
      </c>
      <c r="J93" s="33"/>
      <c r="K93" s="40">
        <v>40000</v>
      </c>
      <c r="L93" s="17">
        <f t="shared" si="16"/>
        <v>0</v>
      </c>
      <c r="M93" s="18">
        <f t="shared" si="17"/>
        <v>0</v>
      </c>
      <c r="N93" s="18">
        <f t="shared" si="18"/>
        <v>0</v>
      </c>
      <c r="O93" s="18">
        <f t="shared" si="19"/>
        <v>0</v>
      </c>
      <c r="Q93" s="37"/>
    </row>
    <row r="94" spans="1:17" ht="21" customHeight="1">
      <c r="A94" s="11">
        <v>91</v>
      </c>
      <c r="B94" s="879" t="str">
        <f t="shared" si="13"/>
        <v>2/4/2026</v>
      </c>
      <c r="C94" s="33" t="s">
        <v>1183</v>
      </c>
      <c r="D94" s="20">
        <v>3</v>
      </c>
      <c r="E94" s="33"/>
      <c r="F94" s="20">
        <f t="shared" si="14"/>
        <v>3</v>
      </c>
      <c r="G94" s="33"/>
      <c r="H94" s="39">
        <v>29000</v>
      </c>
      <c r="I94" s="38">
        <f t="shared" si="15"/>
        <v>0</v>
      </c>
      <c r="J94" s="33"/>
      <c r="K94" s="40">
        <v>38000</v>
      </c>
      <c r="L94" s="17">
        <f t="shared" si="16"/>
        <v>0</v>
      </c>
      <c r="M94" s="18">
        <f t="shared" si="17"/>
        <v>0</v>
      </c>
      <c r="N94" s="18">
        <f t="shared" si="18"/>
        <v>0</v>
      </c>
      <c r="O94" s="18">
        <f t="shared" si="19"/>
        <v>0</v>
      </c>
      <c r="Q94" s="37"/>
    </row>
    <row r="95" spans="1:17" ht="21" customHeight="1">
      <c r="A95" s="11">
        <v>92</v>
      </c>
      <c r="B95" s="879" t="str">
        <f t="shared" si="13"/>
        <v>2/4/2026</v>
      </c>
      <c r="C95" s="33" t="s">
        <v>1184</v>
      </c>
      <c r="D95" s="20">
        <v>5</v>
      </c>
      <c r="E95" s="33"/>
      <c r="F95" s="20">
        <f t="shared" si="14"/>
        <v>5</v>
      </c>
      <c r="G95" s="33"/>
      <c r="H95" s="39">
        <v>35000</v>
      </c>
      <c r="I95" s="38">
        <f t="shared" si="15"/>
        <v>0</v>
      </c>
      <c r="J95" s="33"/>
      <c r="K95" s="40">
        <v>50000</v>
      </c>
      <c r="L95" s="17">
        <f t="shared" si="16"/>
        <v>0</v>
      </c>
      <c r="M95" s="18">
        <f t="shared" si="17"/>
        <v>0</v>
      </c>
      <c r="N95" s="18">
        <f t="shared" si="18"/>
        <v>0</v>
      </c>
      <c r="O95" s="18">
        <f t="shared" si="19"/>
        <v>0</v>
      </c>
      <c r="Q95" s="37"/>
    </row>
    <row r="96" spans="1:17" ht="21" customHeight="1">
      <c r="A96" s="20"/>
      <c r="B96" s="41"/>
      <c r="C96" s="41"/>
      <c r="D96" s="41"/>
      <c r="E96" s="41"/>
      <c r="F96" s="41"/>
      <c r="G96" s="41"/>
      <c r="H96" s="41"/>
      <c r="I96" s="42"/>
      <c r="J96" s="41"/>
      <c r="K96" s="43"/>
      <c r="L96" s="42"/>
      <c r="M96" s="42"/>
      <c r="N96" s="42"/>
      <c r="O96" s="42"/>
      <c r="Q96" s="37"/>
    </row>
    <row r="97" spans="1:17" ht="21" customHeight="1">
      <c r="A97" s="1097" t="s">
        <v>111</v>
      </c>
      <c r="B97" s="1097"/>
      <c r="C97" s="1097"/>
      <c r="D97" s="1097"/>
      <c r="E97" s="1097"/>
      <c r="F97" s="1097"/>
      <c r="G97" s="1097"/>
      <c r="H97" s="1097"/>
      <c r="I97" s="44">
        <f>SUM(I4:I95)</f>
        <v>3041800</v>
      </c>
      <c r="J97" s="45">
        <f>SUM(J14:J70)</f>
        <v>80</v>
      </c>
      <c r="K97" s="46"/>
      <c r="L97" s="44">
        <f>SUM(L4:L95)</f>
        <v>3595000</v>
      </c>
      <c r="M97" s="44">
        <f>SUM(M4:M96)</f>
        <v>553200</v>
      </c>
      <c r="N97" s="44">
        <f>SUM(N4:N96)</f>
        <v>387240</v>
      </c>
      <c r="O97" s="44">
        <f>SUM(O4:O96)</f>
        <v>165960</v>
      </c>
      <c r="Q97" s="37"/>
    </row>
    <row r="101" spans="1:17">
      <c r="B101" s="6" t="s">
        <v>1185</v>
      </c>
      <c r="C101" s="47">
        <v>60000000</v>
      </c>
    </row>
    <row r="102" spans="1:17">
      <c r="C102" s="48">
        <f>C101-I97</f>
        <v>56958200</v>
      </c>
    </row>
  </sheetData>
  <mergeCells count="15">
    <mergeCell ref="M1:M3"/>
    <mergeCell ref="N1:N3"/>
    <mergeCell ref="O1:O3"/>
    <mergeCell ref="D1:I1"/>
    <mergeCell ref="J1:L1"/>
    <mergeCell ref="H2:I2"/>
    <mergeCell ref="J2:L2"/>
    <mergeCell ref="A97:H97"/>
    <mergeCell ref="A1:A3"/>
    <mergeCell ref="B1:B3"/>
    <mergeCell ref="C1:C3"/>
    <mergeCell ref="D2:D3"/>
    <mergeCell ref="E2:E3"/>
    <mergeCell ref="F2:F3"/>
    <mergeCell ref="G2:G3"/>
  </mergeCells>
  <pageMargins left="0.74305555555555602" right="0.70866141732283505" top="0.63888888888888895" bottom="0.74803149606299202" header="0.31496062992126" footer="0.31496062992126"/>
  <pageSetup paperSize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4"/>
  <sheetViews>
    <sheetView topLeftCell="B15" workbookViewId="0">
      <selection activeCell="C10" sqref="C10"/>
    </sheetView>
  </sheetViews>
  <sheetFormatPr defaultColWidth="8.7109375" defaultRowHeight="15"/>
  <cols>
    <col min="1" max="1" width="6.5703125" customWidth="1"/>
    <col min="2" max="2" width="37.5703125" customWidth="1"/>
    <col min="3" max="3" width="30.42578125" customWidth="1"/>
    <col min="4" max="4" width="14"/>
    <col min="5" max="5" width="15.140625"/>
    <col min="7" max="7" width="12.5703125" customWidth="1"/>
    <col min="8" max="8" width="11.85546875" customWidth="1"/>
    <col min="9" max="15" width="11.5703125" customWidth="1"/>
    <col min="16" max="16" width="12.85546875" customWidth="1"/>
    <col min="17" max="17" width="14" customWidth="1"/>
    <col min="18" max="18" width="14.28515625"/>
    <col min="19" max="19" width="11.5703125"/>
  </cols>
  <sheetData>
    <row r="2" spans="1:18">
      <c r="A2" s="886" t="s">
        <v>0</v>
      </c>
      <c r="B2" s="886"/>
      <c r="C2" s="886"/>
    </row>
    <row r="3" spans="1:18">
      <c r="A3" s="886" t="s">
        <v>178</v>
      </c>
      <c r="B3" s="886"/>
      <c r="C3" s="886"/>
    </row>
    <row r="4" spans="1:18">
      <c r="A4" s="886" t="s">
        <v>179</v>
      </c>
      <c r="B4" s="886"/>
      <c r="C4" s="886"/>
    </row>
    <row r="5" spans="1:18">
      <c r="A5" s="901" t="s">
        <v>121</v>
      </c>
      <c r="B5" s="901"/>
      <c r="C5" t="s">
        <v>122</v>
      </c>
    </row>
    <row r="6" spans="1:18">
      <c r="A6" s="901" t="s">
        <v>123</v>
      </c>
      <c r="B6" s="901"/>
      <c r="C6" t="s">
        <v>124</v>
      </c>
    </row>
    <row r="7" spans="1:18">
      <c r="A7" s="901" t="s">
        <v>125</v>
      </c>
      <c r="B7" s="901"/>
      <c r="C7" t="s">
        <v>126</v>
      </c>
    </row>
    <row r="8" spans="1:18">
      <c r="A8" s="657">
        <v>4</v>
      </c>
      <c r="B8" s="658" t="s">
        <v>127</v>
      </c>
      <c r="C8" s="658" t="s">
        <v>128</v>
      </c>
    </row>
    <row r="9" spans="1:18">
      <c r="A9" s="138" t="s">
        <v>129</v>
      </c>
      <c r="B9" s="138" t="s">
        <v>130</v>
      </c>
      <c r="C9" s="65"/>
      <c r="G9" s="659" t="s">
        <v>180</v>
      </c>
      <c r="H9" t="s">
        <v>181</v>
      </c>
      <c r="I9" t="s">
        <v>182</v>
      </c>
      <c r="J9" t="s">
        <v>183</v>
      </c>
      <c r="K9" t="s">
        <v>184</v>
      </c>
      <c r="L9" t="s">
        <v>185</v>
      </c>
      <c r="M9" t="s">
        <v>186</v>
      </c>
      <c r="N9" t="s">
        <v>187</v>
      </c>
      <c r="O9" t="s">
        <v>188</v>
      </c>
      <c r="P9" t="s">
        <v>189</v>
      </c>
      <c r="Q9" t="s">
        <v>190</v>
      </c>
      <c r="R9" t="s">
        <v>191</v>
      </c>
    </row>
    <row r="10" spans="1:18">
      <c r="A10" s="65" t="s">
        <v>131</v>
      </c>
      <c r="B10" s="65" t="s">
        <v>192</v>
      </c>
      <c r="C10" s="660">
        <f>F10+G10+H10+I10+J10+K10+L10+M10+N10+O10+P10+Q10+R10</f>
        <v>31019461</v>
      </c>
      <c r="G10" s="54">
        <f>SUM('[45]RUGI LABA '!$C$9)</f>
        <v>8815913</v>
      </c>
      <c r="H10" s="661">
        <f>SUM('[46]RUGI LABA '!$C$9)</f>
        <v>7794055</v>
      </c>
      <c r="I10" s="54">
        <f>SUM('[47]RUGI LABA '!$C$9)</f>
        <v>7005396</v>
      </c>
      <c r="J10" s="54">
        <f>SUM('RUGI LABA '!C9)</f>
        <v>7404097</v>
      </c>
      <c r="K10" s="54"/>
      <c r="L10" s="54"/>
      <c r="M10" s="54"/>
      <c r="N10" s="54"/>
      <c r="O10" s="54"/>
      <c r="P10" s="662"/>
      <c r="Q10" s="662"/>
      <c r="R10" s="663"/>
    </row>
    <row r="11" spans="1:18">
      <c r="A11" s="65" t="s">
        <v>133</v>
      </c>
      <c r="B11" s="65" t="s">
        <v>193</v>
      </c>
      <c r="C11" s="664">
        <f>F11+G11+H11+I11+J11+K11+L11+M11+N11+O11+P11+Q11+R11</f>
        <v>3200000</v>
      </c>
      <c r="G11" s="661">
        <f>SUM('[45]RUGI LABA '!$C$10)</f>
        <v>800000</v>
      </c>
      <c r="H11" s="54">
        <f>SUM('[46]RUGI LABA '!$C$10)</f>
        <v>800000</v>
      </c>
      <c r="I11" s="54">
        <f>SUM('[47]RUGI LABA '!$C$10)</f>
        <v>800000</v>
      </c>
      <c r="J11" s="54">
        <f>SUM('RUGI LABA '!C10)</f>
        <v>800000</v>
      </c>
      <c r="K11" s="54"/>
      <c r="L11" s="54"/>
      <c r="M11" s="54"/>
      <c r="N11" s="54"/>
      <c r="O11" s="54"/>
      <c r="P11" s="662"/>
      <c r="Q11" s="662"/>
      <c r="R11" s="54"/>
    </row>
    <row r="12" spans="1:18">
      <c r="A12" s="65" t="s">
        <v>135</v>
      </c>
      <c r="B12" s="65" t="s">
        <v>136</v>
      </c>
      <c r="C12" s="664">
        <f>SUM(G12:R12)</f>
        <v>225000</v>
      </c>
      <c r="G12" s="54">
        <f>SUM('[45]RUGI LABA '!$C$11)</f>
        <v>195000</v>
      </c>
      <c r="H12" s="54">
        <f>SUM('[46]RUGI LABA '!$C$11)</f>
        <v>30000</v>
      </c>
      <c r="I12" s="54"/>
      <c r="J12" s="54"/>
      <c r="K12" s="54"/>
      <c r="L12" s="54"/>
      <c r="M12" s="54"/>
      <c r="N12" s="54"/>
      <c r="O12" s="54"/>
      <c r="P12" s="662"/>
      <c r="Q12" s="662"/>
      <c r="R12" s="662"/>
    </row>
    <row r="13" spans="1:18">
      <c r="A13" s="65" t="s">
        <v>137</v>
      </c>
      <c r="B13" s="65" t="s">
        <v>194</v>
      </c>
      <c r="C13" s="664">
        <f>SUM(G13+H13+I13+J13+K13+L13+M13+N13+O13+P13+Q13+R13)</f>
        <v>14698616</v>
      </c>
      <c r="G13" s="54">
        <f>SUM('[45]RUGI LABA '!$C$12)</f>
        <v>3403256</v>
      </c>
      <c r="H13" s="54">
        <f>SUM('[46]RUGI LABA '!$C$12)</f>
        <v>4175520</v>
      </c>
      <c r="I13" s="54">
        <f>SUM('[47]RUGI LABA '!$C$12)</f>
        <v>2957700</v>
      </c>
      <c r="J13" s="54">
        <f>SUM('RUGI LABA '!C12)</f>
        <v>4162140</v>
      </c>
      <c r="K13" s="54"/>
      <c r="L13" s="54"/>
      <c r="M13" s="54"/>
      <c r="N13" s="54"/>
      <c r="O13" s="54"/>
      <c r="P13" s="665"/>
      <c r="Q13" s="665"/>
      <c r="R13" s="665"/>
    </row>
    <row r="14" spans="1:18">
      <c r="A14" s="65" t="s">
        <v>139</v>
      </c>
      <c r="B14" s="65" t="s">
        <v>195</v>
      </c>
      <c r="C14" s="666">
        <f>F14+G14+H14+I14+J14+K14+L14+M14+N14+O14+P14+Q14+R14</f>
        <v>18401482</v>
      </c>
      <c r="E14" s="662"/>
      <c r="G14" s="54">
        <f>SUM('[45]RUGI LABA '!$C$13)</f>
        <v>3631205</v>
      </c>
      <c r="H14" s="54">
        <f>SUM('[46]RUGI LABA '!$C$13)</f>
        <v>3306497</v>
      </c>
      <c r="I14" s="54">
        <f>SUM('[47]RUGI LABA '!$C$13)</f>
        <v>4016780</v>
      </c>
      <c r="J14" s="54">
        <f>SUM('RUGI LABA '!C13)</f>
        <v>7447000</v>
      </c>
      <c r="K14" s="54"/>
      <c r="L14" s="54"/>
      <c r="M14" s="54"/>
      <c r="N14" s="54"/>
      <c r="O14" s="54"/>
      <c r="P14" s="662"/>
      <c r="Q14" s="662"/>
      <c r="R14" s="662"/>
    </row>
    <row r="15" spans="1:18">
      <c r="A15" s="65" t="s">
        <v>141</v>
      </c>
      <c r="B15" s="65" t="s">
        <v>142</v>
      </c>
      <c r="C15" s="666">
        <f>G15+H15+I15+J15+K15+L15+M15+N15+O15+P15+Q15+R15</f>
        <v>5175000</v>
      </c>
      <c r="G15" s="54"/>
      <c r="H15" s="54"/>
      <c r="I15" s="54">
        <f>SUM('[47]RUGI LABA '!$C$14)</f>
        <v>2675000</v>
      </c>
      <c r="J15" s="54">
        <f>SUM('RUGI LABA '!C14)</f>
        <v>2500000</v>
      </c>
      <c r="K15" s="54"/>
      <c r="L15" s="54"/>
      <c r="M15" s="54"/>
      <c r="N15" s="54"/>
      <c r="O15" s="54"/>
      <c r="P15" s="54"/>
      <c r="Q15" s="662"/>
      <c r="R15" s="662"/>
    </row>
    <row r="16" spans="1:18">
      <c r="A16" s="667" t="s">
        <v>143</v>
      </c>
      <c r="B16" s="667" t="s">
        <v>144</v>
      </c>
      <c r="C16" s="668">
        <f>SUM(M16+N16+O16+P16+Q16+R16)</f>
        <v>0</v>
      </c>
      <c r="G16" s="54">
        <f>SUM('RUGI LABA '!C15)</f>
        <v>0</v>
      </c>
      <c r="H16" s="54"/>
      <c r="I16" s="54"/>
      <c r="J16" s="54"/>
      <c r="K16" s="54"/>
      <c r="L16" s="54"/>
      <c r="M16" s="54"/>
      <c r="N16" s="54"/>
      <c r="O16" s="54"/>
      <c r="P16" s="662"/>
      <c r="Q16" s="662"/>
      <c r="R16" s="662"/>
    </row>
    <row r="17" spans="1:19">
      <c r="A17" s="667" t="s">
        <v>145</v>
      </c>
      <c r="B17" s="667" t="s">
        <v>146</v>
      </c>
      <c r="C17" s="668">
        <f>SUM(G17:R17)</f>
        <v>1223992</v>
      </c>
      <c r="G17" s="54">
        <f>SUM('[45]RUGI LABA '!$C$16)</f>
        <v>232302</v>
      </c>
      <c r="H17" s="54">
        <f>SUM('[46]RUGI LABA '!$C$16)</f>
        <v>226450</v>
      </c>
      <c r="I17" s="54">
        <f>SUM('[47]RUGI LABA '!$C$16)</f>
        <v>378000</v>
      </c>
      <c r="J17" s="54">
        <f>SUM('RUGI LABA '!C16)</f>
        <v>387240</v>
      </c>
      <c r="K17" s="54"/>
      <c r="L17" s="54"/>
      <c r="M17" s="54"/>
      <c r="N17" s="54"/>
      <c r="O17" s="54"/>
      <c r="P17" s="662"/>
      <c r="Q17" s="662"/>
    </row>
    <row r="18" spans="1:19">
      <c r="A18" s="138" t="s">
        <v>147</v>
      </c>
      <c r="B18" s="138" t="s">
        <v>148</v>
      </c>
      <c r="C18" s="668"/>
      <c r="G18" s="54"/>
      <c r="H18" s="54"/>
      <c r="I18" s="54"/>
      <c r="J18" s="54"/>
      <c r="K18" s="54"/>
      <c r="L18" s="54"/>
      <c r="M18" s="54"/>
      <c r="N18" s="54"/>
      <c r="O18" s="54"/>
    </row>
    <row r="19" spans="1:19">
      <c r="A19" s="65" t="s">
        <v>149</v>
      </c>
      <c r="B19" s="65" t="s">
        <v>150</v>
      </c>
      <c r="C19" s="664"/>
      <c r="G19" s="54"/>
      <c r="H19" s="54"/>
      <c r="I19" s="54"/>
      <c r="J19" s="54"/>
      <c r="K19" s="54"/>
      <c r="L19" s="54"/>
      <c r="M19" s="54"/>
      <c r="N19" s="54"/>
      <c r="O19" s="54"/>
    </row>
    <row r="20" spans="1:19">
      <c r="A20" s="65" t="s">
        <v>151</v>
      </c>
      <c r="B20" s="138" t="s">
        <v>152</v>
      </c>
      <c r="C20" s="668">
        <f>F20+G20+H20+I20+J20</f>
        <v>0</v>
      </c>
      <c r="G20" s="661"/>
      <c r="H20" s="54"/>
      <c r="I20" s="54"/>
      <c r="J20" s="54"/>
      <c r="K20" s="54"/>
      <c r="L20" s="54"/>
      <c r="M20" s="54"/>
      <c r="N20" s="54"/>
      <c r="O20" s="54"/>
    </row>
    <row r="21" spans="1:19">
      <c r="A21" s="65"/>
      <c r="B21" s="65"/>
      <c r="C21" s="668"/>
      <c r="G21" s="669"/>
      <c r="H21" s="54"/>
      <c r="I21" s="54"/>
      <c r="J21" s="54"/>
      <c r="K21" s="54"/>
      <c r="L21" s="54"/>
      <c r="M21" s="54"/>
      <c r="N21" s="54"/>
      <c r="O21" s="54"/>
    </row>
    <row r="22" spans="1:19">
      <c r="A22" s="902" t="s">
        <v>153</v>
      </c>
      <c r="B22" s="902"/>
      <c r="C22" s="670">
        <f>SUM(C10:C20)</f>
        <v>73943551</v>
      </c>
      <c r="G22" s="54"/>
      <c r="H22" s="54"/>
      <c r="I22" s="661"/>
      <c r="J22" s="54"/>
      <c r="K22" s="54"/>
      <c r="L22" s="54"/>
      <c r="M22" s="54"/>
      <c r="N22" s="54"/>
      <c r="O22" s="54"/>
    </row>
    <row r="23" spans="1:19">
      <c r="A23" s="671">
        <v>5</v>
      </c>
      <c r="B23" s="138" t="s">
        <v>154</v>
      </c>
      <c r="C23" s="65"/>
      <c r="G23" s="672"/>
      <c r="H23" s="54"/>
      <c r="I23" s="54"/>
      <c r="J23" s="54"/>
      <c r="K23" s="54"/>
      <c r="L23" s="54"/>
      <c r="M23" s="54"/>
      <c r="N23" s="54"/>
      <c r="O23" s="54"/>
    </row>
    <row r="24" spans="1:19">
      <c r="A24" s="65" t="s">
        <v>155</v>
      </c>
      <c r="B24" s="65" t="s">
        <v>156</v>
      </c>
      <c r="C24" s="664">
        <f>SUM(G24+H24+I24+J24+K24+L24+M24+N24+O24+P24+Q24+R24)</f>
        <v>31400000</v>
      </c>
      <c r="E24" s="662"/>
      <c r="G24" s="53">
        <f>SUM('[45]RUGI LABA '!$C$23)</f>
        <v>7850000</v>
      </c>
      <c r="H24" s="673">
        <v>7850000</v>
      </c>
      <c r="I24" s="54">
        <v>7850000</v>
      </c>
      <c r="J24" s="54">
        <v>7850000</v>
      </c>
      <c r="K24" s="54"/>
      <c r="L24" s="54"/>
      <c r="M24" s="54"/>
      <c r="N24" s="54"/>
      <c r="O24" s="54"/>
      <c r="P24" s="54"/>
      <c r="Q24" s="54"/>
      <c r="R24" s="54"/>
    </row>
    <row r="25" spans="1:19">
      <c r="A25" s="65" t="s">
        <v>159</v>
      </c>
      <c r="B25" s="65" t="s">
        <v>196</v>
      </c>
      <c r="C25" s="664">
        <f>F25+G25+H25+I25+J25+K25+L25+M25+N25+O25+P25+Q25+R25</f>
        <v>6400000</v>
      </c>
      <c r="G25" s="53">
        <f>SUM('[45]RUGI LABA '!$C$24)</f>
        <v>1600000</v>
      </c>
      <c r="H25" s="673">
        <v>1600000</v>
      </c>
      <c r="I25" s="54">
        <v>1600000</v>
      </c>
      <c r="J25" s="54">
        <v>1600000</v>
      </c>
      <c r="K25" s="54"/>
      <c r="L25" s="54"/>
      <c r="M25" s="54"/>
      <c r="N25" s="54"/>
      <c r="O25" s="54"/>
      <c r="P25" s="54"/>
      <c r="Q25" s="54"/>
      <c r="R25" s="54"/>
    </row>
    <row r="26" spans="1:19">
      <c r="A26" s="65" t="s">
        <v>161</v>
      </c>
      <c r="B26" s="65" t="s">
        <v>197</v>
      </c>
      <c r="C26" s="664">
        <f>F26+G26+H26+I26+J26+K26+L26+M26+N26+O26+P26+Q26+R26</f>
        <v>4400000</v>
      </c>
      <c r="D26" s="662"/>
      <c r="G26" s="53">
        <f>SUM('[45]RUGI LABA '!$C$25)</f>
        <v>1100000</v>
      </c>
      <c r="H26" s="673">
        <v>1100000</v>
      </c>
      <c r="I26" s="54">
        <v>1100000</v>
      </c>
      <c r="J26" s="54">
        <v>1100000</v>
      </c>
      <c r="K26" s="54"/>
      <c r="L26" s="54"/>
      <c r="M26" s="54"/>
      <c r="N26" s="54"/>
      <c r="O26" s="54"/>
      <c r="P26" s="54"/>
      <c r="Q26" s="54"/>
      <c r="R26" s="54"/>
    </row>
    <row r="27" spans="1:19">
      <c r="A27" s="65" t="s">
        <v>163</v>
      </c>
      <c r="B27" s="65" t="s">
        <v>162</v>
      </c>
      <c r="C27" s="664">
        <f>SUM(G27+H27+I27+J27+K27+L27+M27+N27+O27+P27+Q27+R27)</f>
        <v>5460000</v>
      </c>
      <c r="G27" s="53">
        <f>SUM('[45]RUGI LABA '!$C$26)</f>
        <v>1345000</v>
      </c>
      <c r="H27" s="673">
        <f>SUM('[46]RUGI LABA '!$C$26)</f>
        <v>650000</v>
      </c>
      <c r="I27" s="54">
        <f>SUM('[47]RUGI LABA '!$C$26)</f>
        <v>1575000</v>
      </c>
      <c r="J27" s="54">
        <f>SUM('RUGI LABA '!C26)</f>
        <v>1890000</v>
      </c>
      <c r="K27" s="54"/>
      <c r="L27" s="54"/>
      <c r="M27" s="54"/>
      <c r="N27" s="54"/>
      <c r="O27" s="54"/>
      <c r="P27" s="662"/>
      <c r="Q27" s="662"/>
      <c r="R27" s="54"/>
    </row>
    <row r="28" spans="1:19">
      <c r="A28" s="65" t="s">
        <v>165</v>
      </c>
      <c r="B28" s="65" t="s">
        <v>198</v>
      </c>
      <c r="C28" s="664">
        <f>G28+H28+I28+J28</f>
        <v>2500000</v>
      </c>
      <c r="E28" s="662">
        <f>SUM(C24:C32)</f>
        <v>69640116.666666687</v>
      </c>
      <c r="G28" s="53"/>
      <c r="H28" s="673"/>
      <c r="I28" s="54"/>
      <c r="J28" s="54">
        <f>SUM('RUGI LABA '!C27)</f>
        <v>2500000</v>
      </c>
      <c r="K28" s="54"/>
      <c r="L28" s="54"/>
      <c r="M28" s="54"/>
      <c r="N28" s="54"/>
      <c r="O28" s="54"/>
    </row>
    <row r="29" spans="1:19">
      <c r="A29" s="65" t="s">
        <v>199</v>
      </c>
      <c r="B29" s="65" t="s">
        <v>166</v>
      </c>
      <c r="C29" s="664">
        <f>SUM(G29+H29+I29+J29+K29+L29+M29+N29+O29+P29+Q29+R29)</f>
        <v>18980116.666666679</v>
      </c>
      <c r="G29" s="53">
        <f>SUM('[45]RUGI LABA '!$C$28)</f>
        <v>4745029.1666666698</v>
      </c>
      <c r="H29" s="674">
        <f>SUM('RUGI LABA '!C28)</f>
        <v>4745029.1666666698</v>
      </c>
      <c r="I29" s="85">
        <f>SUM('RUGI LABA '!C28)</f>
        <v>4745029.1666666698</v>
      </c>
      <c r="J29" s="662">
        <f>SUM('RUGI LABA '!C28)</f>
        <v>4745029.1666666698</v>
      </c>
      <c r="K29" s="54"/>
      <c r="L29" s="662"/>
      <c r="M29" s="54"/>
      <c r="N29" s="662"/>
      <c r="O29" s="662"/>
      <c r="P29" s="662"/>
      <c r="Q29" s="662"/>
      <c r="R29" s="662"/>
      <c r="S29" s="85">
        <f>SUM(G29:P29)</f>
        <v>18980116.666666679</v>
      </c>
    </row>
    <row r="30" spans="1:19">
      <c r="A30" s="671" t="s">
        <v>167</v>
      </c>
      <c r="B30" s="138" t="s">
        <v>168</v>
      </c>
      <c r="C30" s="664"/>
      <c r="G30" s="675"/>
      <c r="H30" s="676"/>
      <c r="I30" s="662"/>
    </row>
    <row r="31" spans="1:19">
      <c r="A31" s="65" t="s">
        <v>169</v>
      </c>
      <c r="B31" s="65" t="s">
        <v>200</v>
      </c>
      <c r="C31" s="664">
        <f>SUM(G31+H31+I31+M31)</f>
        <v>0</v>
      </c>
      <c r="G31" s="677"/>
      <c r="H31" s="494"/>
      <c r="I31" s="662"/>
      <c r="M31" s="662"/>
      <c r="N31" s="662"/>
      <c r="O31" s="54"/>
    </row>
    <row r="32" spans="1:19">
      <c r="A32" s="65" t="s">
        <v>171</v>
      </c>
      <c r="B32" s="65" t="s">
        <v>172</v>
      </c>
      <c r="C32" s="678">
        <f>SUM(J32)</f>
        <v>500000</v>
      </c>
      <c r="G32" s="662"/>
      <c r="J32" s="54">
        <v>500000</v>
      </c>
      <c r="P32" s="662"/>
    </row>
    <row r="33" spans="1:5">
      <c r="A33" s="671">
        <v>7</v>
      </c>
      <c r="B33" s="138" t="s">
        <v>201</v>
      </c>
      <c r="C33" s="664"/>
      <c r="D33" s="662">
        <f>C24+C25+C26</f>
        <v>42200000</v>
      </c>
      <c r="E33" s="662">
        <f>C22-D33</f>
        <v>31743551</v>
      </c>
    </row>
    <row r="34" spans="1:5">
      <c r="A34" s="65" t="s">
        <v>174</v>
      </c>
      <c r="B34" s="138" t="s">
        <v>175</v>
      </c>
      <c r="C34" s="664"/>
      <c r="D34">
        <v>63</v>
      </c>
    </row>
    <row r="35" spans="1:5">
      <c r="A35" s="902" t="s">
        <v>176</v>
      </c>
      <c r="B35" s="902"/>
      <c r="C35" s="670">
        <f>C22-C24-C25-C26-C27-C28-C29-C31-C32</f>
        <v>4303434.3333333209</v>
      </c>
    </row>
    <row r="36" spans="1:5">
      <c r="A36" s="903"/>
      <c r="B36" s="903"/>
      <c r="C36" s="679" t="s">
        <v>112</v>
      </c>
    </row>
    <row r="37" spans="1:5">
      <c r="A37" s="903" t="s">
        <v>113</v>
      </c>
      <c r="B37" s="903"/>
      <c r="C37" s="903"/>
    </row>
    <row r="38" spans="1:5">
      <c r="A38" s="903" t="s">
        <v>114</v>
      </c>
      <c r="B38" s="903"/>
      <c r="C38" s="903"/>
    </row>
    <row r="40" spans="1:5">
      <c r="A40" s="903" t="s">
        <v>115</v>
      </c>
      <c r="B40" s="903"/>
      <c r="C40" s="676" t="s">
        <v>116</v>
      </c>
    </row>
    <row r="41" spans="1:5">
      <c r="B41" s="676"/>
    </row>
    <row r="42" spans="1:5">
      <c r="B42" s="676"/>
    </row>
    <row r="43" spans="1:5">
      <c r="B43" s="81"/>
    </row>
    <row r="44" spans="1:5">
      <c r="A44" s="900" t="s">
        <v>117</v>
      </c>
      <c r="B44" s="900"/>
      <c r="C44" s="81" t="s">
        <v>177</v>
      </c>
    </row>
  </sheetData>
  <mergeCells count="13">
    <mergeCell ref="A38:C38"/>
    <mergeCell ref="A40:B40"/>
    <mergeCell ref="A44:B44"/>
    <mergeCell ref="A7:B7"/>
    <mergeCell ref="A22:B22"/>
    <mergeCell ref="A35:B35"/>
    <mergeCell ref="A36:B36"/>
    <mergeCell ref="A37:C37"/>
    <mergeCell ref="A2:C2"/>
    <mergeCell ref="A3:C3"/>
    <mergeCell ref="A4:C4"/>
    <mergeCell ref="A5:B5"/>
    <mergeCell ref="A6:B6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99"/>
  <sheetViews>
    <sheetView showWhiteSpace="0" topLeftCell="J213" zoomScale="70" zoomScaleNormal="70" zoomScalePageLayoutView="60" workbookViewId="0">
      <selection activeCell="J45" sqref="J45"/>
    </sheetView>
  </sheetViews>
  <sheetFormatPr defaultColWidth="9" defaultRowHeight="15"/>
  <cols>
    <col min="1" max="1" width="9" style="588" customWidth="1"/>
    <col min="2" max="2" width="45" style="590" customWidth="1"/>
    <col min="3" max="3" width="15.5703125" style="588" customWidth="1"/>
    <col min="4" max="4" width="13" style="588" customWidth="1"/>
    <col min="5" max="5" width="11.85546875" style="588" customWidth="1"/>
    <col min="6" max="6" width="13.28515625" style="588" customWidth="1"/>
    <col min="7" max="9" width="13.5703125" style="588" customWidth="1"/>
    <col min="10" max="12" width="15.140625" style="588" customWidth="1"/>
    <col min="13" max="13" width="15.140625" style="589" customWidth="1"/>
    <col min="14" max="14" width="15.5703125" style="588" customWidth="1"/>
    <col min="15" max="19" width="13" style="588" customWidth="1"/>
    <col min="20" max="20" width="12" style="588" customWidth="1"/>
    <col min="21" max="21" width="14.7109375" style="588" customWidth="1"/>
    <col min="22" max="22" width="14.7109375" style="589" customWidth="1"/>
    <col min="23" max="23" width="13.42578125" style="589" customWidth="1"/>
    <col min="24" max="24" width="25.140625" style="588" customWidth="1"/>
    <col min="25" max="25" width="18.140625" style="588" customWidth="1"/>
    <col min="26" max="26" width="12.5703125" style="588" customWidth="1"/>
    <col min="27" max="27" width="11.140625" style="588" customWidth="1"/>
    <col min="28" max="28" width="14.5703125" style="588" customWidth="1"/>
    <col min="29" max="29" width="11.140625" style="588" customWidth="1"/>
    <col min="30" max="30" width="11" style="588" customWidth="1"/>
    <col min="31" max="16384" width="9" style="588"/>
  </cols>
  <sheetData>
    <row r="1" spans="1:26">
      <c r="A1" s="904" t="s">
        <v>0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5"/>
      <c r="V1" s="904"/>
      <c r="W1" s="904"/>
      <c r="X1" s="591"/>
      <c r="Y1" s="591"/>
    </row>
    <row r="2" spans="1:26">
      <c r="A2" s="906" t="s">
        <v>202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7"/>
      <c r="V2" s="906"/>
      <c r="W2" s="906"/>
      <c r="X2" s="589"/>
      <c r="Y2" s="589"/>
    </row>
    <row r="3" spans="1:26">
      <c r="A3" s="588" t="s">
        <v>203</v>
      </c>
      <c r="B3" s="590" t="s">
        <v>122</v>
      </c>
    </row>
    <row r="4" spans="1:26">
      <c r="A4" s="588" t="s">
        <v>204</v>
      </c>
      <c r="B4" s="590" t="s">
        <v>124</v>
      </c>
    </row>
    <row r="5" spans="1:26">
      <c r="A5" s="588" t="s">
        <v>205</v>
      </c>
      <c r="B5" s="590" t="s">
        <v>126</v>
      </c>
    </row>
    <row r="6" spans="1:26" ht="21.95" customHeight="1">
      <c r="A6" s="919" t="s">
        <v>206</v>
      </c>
      <c r="B6" s="919" t="s">
        <v>207</v>
      </c>
      <c r="C6" s="908" t="s">
        <v>208</v>
      </c>
      <c r="D6" s="909"/>
      <c r="E6" s="909"/>
      <c r="F6" s="909"/>
      <c r="G6" s="909"/>
      <c r="H6" s="909"/>
      <c r="I6" s="909"/>
      <c r="J6" s="909"/>
      <c r="K6" s="909"/>
      <c r="L6" s="909"/>
      <c r="M6" s="910"/>
      <c r="N6" s="911" t="s">
        <v>209</v>
      </c>
      <c r="O6" s="912"/>
      <c r="P6" s="912"/>
      <c r="Q6" s="912"/>
      <c r="R6" s="912"/>
      <c r="S6" s="912"/>
      <c r="T6" s="912"/>
      <c r="U6" s="913"/>
      <c r="V6" s="914"/>
      <c r="W6" s="932" t="s">
        <v>210</v>
      </c>
    </row>
    <row r="7" spans="1:26" ht="46.5" customHeight="1">
      <c r="A7" s="919"/>
      <c r="B7" s="919"/>
      <c r="C7" s="593" t="s">
        <v>211</v>
      </c>
      <c r="D7" s="593" t="s">
        <v>212</v>
      </c>
      <c r="E7" s="594" t="s">
        <v>213</v>
      </c>
      <c r="F7" s="594" t="s">
        <v>214</v>
      </c>
      <c r="G7" s="593" t="s">
        <v>215</v>
      </c>
      <c r="H7" s="593" t="s">
        <v>216</v>
      </c>
      <c r="I7" s="593" t="s">
        <v>217</v>
      </c>
      <c r="J7" s="593" t="s">
        <v>218</v>
      </c>
      <c r="K7" s="593" t="s">
        <v>219</v>
      </c>
      <c r="L7" s="593" t="s">
        <v>220</v>
      </c>
      <c r="M7" s="593" t="s">
        <v>111</v>
      </c>
      <c r="N7" s="595" t="s">
        <v>211</v>
      </c>
      <c r="O7" s="595" t="s">
        <v>212</v>
      </c>
      <c r="P7" s="596" t="s">
        <v>213</v>
      </c>
      <c r="Q7" s="595" t="s">
        <v>217</v>
      </c>
      <c r="R7" s="595" t="s">
        <v>215</v>
      </c>
      <c r="S7" s="595" t="s">
        <v>221</v>
      </c>
      <c r="T7" s="595" t="s">
        <v>222</v>
      </c>
      <c r="U7" s="595" t="s">
        <v>154</v>
      </c>
      <c r="V7" s="595" t="s">
        <v>111</v>
      </c>
      <c r="W7" s="932"/>
    </row>
    <row r="8" spans="1:26">
      <c r="A8" s="843" t="s">
        <v>223</v>
      </c>
      <c r="B8" s="598" t="s">
        <v>224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599"/>
      <c r="V8" s="600"/>
      <c r="W8" s="601">
        <f>SUM([47]KASHAR!$W$223)</f>
        <v>74924907.166666999</v>
      </c>
      <c r="X8" s="588" t="s">
        <v>225</v>
      </c>
      <c r="Y8" s="602"/>
    </row>
    <row r="9" spans="1:26">
      <c r="A9" s="597"/>
      <c r="B9" s="603" t="s">
        <v>226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115">
        <f>SUM(C9:L9)</f>
        <v>0</v>
      </c>
      <c r="N9" s="84"/>
      <c r="O9" s="84"/>
      <c r="P9" s="84"/>
      <c r="Q9" s="84"/>
      <c r="R9" s="84">
        <v>219000</v>
      </c>
      <c r="S9" s="115"/>
      <c r="T9" s="115"/>
      <c r="U9" s="84"/>
      <c r="V9" s="115"/>
      <c r="W9" s="604">
        <f>SUM(M9-V9)</f>
        <v>0</v>
      </c>
      <c r="Y9" s="602"/>
    </row>
    <row r="10" spans="1:26">
      <c r="A10" s="597"/>
      <c r="B10" s="603" t="s">
        <v>227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15">
        <f>SUM(C10:L10)</f>
        <v>0</v>
      </c>
      <c r="N10" s="84"/>
      <c r="O10" s="84"/>
      <c r="P10" s="84"/>
      <c r="Q10" s="84"/>
      <c r="R10" s="84">
        <v>40000</v>
      </c>
      <c r="S10" s="115"/>
      <c r="T10" s="115"/>
      <c r="U10" s="84"/>
      <c r="V10" s="115"/>
      <c r="W10" s="604">
        <f>SUM(M10-V10)</f>
        <v>0</v>
      </c>
      <c r="Y10" s="602"/>
    </row>
    <row r="11" spans="1:26" customFormat="1">
      <c r="A11" s="597"/>
      <c r="B11" s="603" t="s">
        <v>228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115"/>
      <c r="N11" s="84"/>
      <c r="O11" s="84"/>
      <c r="P11" s="84"/>
      <c r="Q11" s="84"/>
      <c r="R11" s="84">
        <v>150000</v>
      </c>
      <c r="S11" s="115"/>
      <c r="T11" s="115"/>
      <c r="U11" s="84"/>
      <c r="V11" s="115"/>
      <c r="W11" s="604"/>
      <c r="Y11" s="602"/>
      <c r="Z11" s="588"/>
    </row>
    <row r="12" spans="1:26" customFormat="1">
      <c r="A12" s="597"/>
      <c r="B12" s="603" t="s">
        <v>229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115"/>
      <c r="N12" s="84"/>
      <c r="O12" s="84"/>
      <c r="P12" s="84"/>
      <c r="Q12" s="84">
        <f>SUM('[48]Mantanaice bor air'!$G$23)</f>
        <v>11172000</v>
      </c>
      <c r="R12" s="84"/>
      <c r="S12" s="115"/>
      <c r="T12" s="115"/>
      <c r="U12" s="84"/>
      <c r="V12" s="115"/>
      <c r="W12" s="604">
        <f t="shared" ref="W12:W21" si="0">SUM(M12-V12)</f>
        <v>0</v>
      </c>
      <c r="Y12" s="602"/>
      <c r="Z12" s="588"/>
    </row>
    <row r="13" spans="1:26" customFormat="1">
      <c r="A13" s="597"/>
      <c r="B13" s="603" t="s">
        <v>230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115"/>
      <c r="N13" s="84"/>
      <c r="O13" s="84"/>
      <c r="P13" s="84"/>
      <c r="Q13" s="84">
        <v>22060200</v>
      </c>
      <c r="R13" s="84"/>
      <c r="S13" s="115"/>
      <c r="T13" s="115"/>
      <c r="U13" s="84"/>
      <c r="V13" s="115"/>
      <c r="W13" s="604">
        <f t="shared" si="0"/>
        <v>0</v>
      </c>
      <c r="Y13" s="602"/>
      <c r="Z13" s="588"/>
    </row>
    <row r="14" spans="1:26" customFormat="1">
      <c r="A14" s="597"/>
      <c r="B14" s="603" t="s">
        <v>231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115"/>
      <c r="N14" s="84"/>
      <c r="O14" s="84"/>
      <c r="P14" s="84"/>
      <c r="Q14" s="84">
        <f>SUM('[48]titik 3'!$G$18)</f>
        <v>9505000</v>
      </c>
      <c r="R14" s="84"/>
      <c r="S14" s="115"/>
      <c r="T14" s="115"/>
      <c r="U14" s="84"/>
      <c r="V14" s="115"/>
      <c r="W14" s="604">
        <f t="shared" si="0"/>
        <v>0</v>
      </c>
      <c r="Y14" s="602"/>
      <c r="Z14" s="588"/>
    </row>
    <row r="15" spans="1:26" customFormat="1">
      <c r="A15" s="597"/>
      <c r="B15" s="603" t="s">
        <v>232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115"/>
      <c r="N15" s="84"/>
      <c r="O15" s="84"/>
      <c r="P15" s="84"/>
      <c r="Q15" s="84" t="e">
        <f>SUM('[49]titik 4'!$G$17)</f>
        <v>#REF!</v>
      </c>
      <c r="R15" s="84"/>
      <c r="S15" s="115"/>
      <c r="T15" s="115"/>
      <c r="U15" s="84"/>
      <c r="V15" s="115"/>
      <c r="W15" s="604">
        <f t="shared" si="0"/>
        <v>0</v>
      </c>
      <c r="Y15" s="602"/>
      <c r="Z15" s="588"/>
    </row>
    <row r="16" spans="1:26" customFormat="1">
      <c r="A16" s="597"/>
      <c r="B16" s="603" t="s">
        <v>233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115"/>
      <c r="N16" s="84"/>
      <c r="O16" s="84"/>
      <c r="P16" s="84"/>
      <c r="Q16" s="84" t="e">
        <f>SUM('[49]titik 5'!$G$22)</f>
        <v>#REF!</v>
      </c>
      <c r="R16" s="84"/>
      <c r="S16" s="115"/>
      <c r="T16" s="115"/>
      <c r="U16" s="84"/>
      <c r="V16" s="115"/>
      <c r="W16" s="604">
        <f t="shared" si="0"/>
        <v>0</v>
      </c>
      <c r="Y16" s="602"/>
      <c r="Z16" s="588"/>
    </row>
    <row r="17" spans="1:28" customFormat="1">
      <c r="A17" s="597"/>
      <c r="B17" s="603" t="s">
        <v>234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15"/>
      <c r="N17" s="84"/>
      <c r="O17" s="84"/>
      <c r="P17" s="84"/>
      <c r="Q17" s="84" t="e">
        <f>SUM('[49]titik 6'!$G$22)</f>
        <v>#REF!</v>
      </c>
      <c r="R17" s="84"/>
      <c r="S17" s="115"/>
      <c r="T17" s="115"/>
      <c r="U17" s="84"/>
      <c r="V17" s="115"/>
      <c r="W17" s="604">
        <f t="shared" si="0"/>
        <v>0</v>
      </c>
      <c r="Y17" s="602"/>
      <c r="Z17" s="588"/>
    </row>
    <row r="18" spans="1:28" customFormat="1">
      <c r="A18" s="597"/>
      <c r="B18" s="603" t="s">
        <v>235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115"/>
      <c r="N18" s="84"/>
      <c r="O18" s="84"/>
      <c r="P18" s="84"/>
      <c r="Q18" s="84" t="e">
        <f>SUM('[49]titik 7'!$G$14)</f>
        <v>#REF!</v>
      </c>
      <c r="R18" s="84"/>
      <c r="S18" s="115"/>
      <c r="T18" s="115"/>
      <c r="U18" s="84"/>
      <c r="V18" s="115"/>
      <c r="W18" s="604">
        <f t="shared" si="0"/>
        <v>0</v>
      </c>
      <c r="Y18" s="602"/>
      <c r="Z18" s="588"/>
    </row>
    <row r="19" spans="1:28" customFormat="1">
      <c r="A19" s="597"/>
      <c r="B19" s="603" t="s">
        <v>236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115"/>
      <c r="N19" s="84"/>
      <c r="O19" s="84"/>
      <c r="P19" s="84"/>
      <c r="Q19" s="84">
        <f>SUM('[48]titik 8'!$G$14)</f>
        <v>5375000</v>
      </c>
      <c r="R19" s="84"/>
      <c r="S19" s="115"/>
      <c r="T19" s="115"/>
      <c r="U19" s="84"/>
      <c r="V19" s="115"/>
      <c r="W19" s="604">
        <f t="shared" si="0"/>
        <v>0</v>
      </c>
      <c r="Y19" s="602"/>
      <c r="Z19" s="588"/>
    </row>
    <row r="20" spans="1:28" customFormat="1">
      <c r="A20" s="597"/>
      <c r="B20" s="603" t="s">
        <v>237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115"/>
      <c r="N20" s="84"/>
      <c r="O20" s="84"/>
      <c r="P20" s="84"/>
      <c r="Q20" s="84">
        <v>74299000</v>
      </c>
      <c r="R20" s="84"/>
      <c r="S20" s="115"/>
      <c r="T20" s="115"/>
      <c r="U20" s="84"/>
      <c r="V20" s="115"/>
      <c r="W20" s="604">
        <f t="shared" si="0"/>
        <v>0</v>
      </c>
      <c r="X20" t="s">
        <v>238</v>
      </c>
      <c r="Y20" s="602">
        <f>Q20</f>
        <v>74299000</v>
      </c>
      <c r="Z20" s="588"/>
    </row>
    <row r="21" spans="1:28" customFormat="1">
      <c r="A21" s="597"/>
      <c r="B21" s="603" t="s">
        <v>239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115"/>
      <c r="N21" s="84"/>
      <c r="O21" s="84"/>
      <c r="P21" s="84"/>
      <c r="Q21" s="84">
        <f>SUM('[48]PENG. GALUNG JAMPU TAHAP KE 2'!$G$41)</f>
        <v>9833500</v>
      </c>
      <c r="R21" s="84"/>
      <c r="S21" s="115"/>
      <c r="T21" s="115"/>
      <c r="U21" s="84"/>
      <c r="V21" s="115"/>
      <c r="W21" s="604">
        <f t="shared" si="0"/>
        <v>0</v>
      </c>
      <c r="Y21" s="602"/>
      <c r="Z21" s="588"/>
    </row>
    <row r="22" spans="1:28" customFormat="1">
      <c r="A22" s="597"/>
      <c r="B22" s="603" t="s">
        <v>240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115"/>
      <c r="N22" s="84"/>
      <c r="O22" s="84"/>
      <c r="P22" s="84"/>
      <c r="Q22" s="84">
        <f>SUM('[48]PENG. LOMPO E TAHAP KE (2)'!$G$41)</f>
        <v>450000</v>
      </c>
      <c r="R22" s="84"/>
      <c r="S22" s="115"/>
      <c r="T22" s="115"/>
      <c r="U22" s="84"/>
      <c r="V22" s="115"/>
      <c r="W22" s="604"/>
      <c r="Y22" s="602"/>
      <c r="Z22" s="588"/>
    </row>
    <row r="23" spans="1:28" customFormat="1">
      <c r="A23" s="597"/>
      <c r="B23" s="603" t="s">
        <v>241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115"/>
      <c r="N23" s="84"/>
      <c r="O23" s="84"/>
      <c r="P23" s="84"/>
      <c r="Q23" s="84">
        <v>63764000</v>
      </c>
      <c r="R23" s="84"/>
      <c r="S23" s="115"/>
      <c r="T23" s="115"/>
      <c r="U23" s="84"/>
      <c r="V23" s="115"/>
      <c r="W23" s="604">
        <f>SUM(M23-V23)</f>
        <v>0</v>
      </c>
      <c r="Y23" s="602"/>
      <c r="Z23" s="588"/>
    </row>
    <row r="24" spans="1:28" customFormat="1">
      <c r="A24" s="597"/>
      <c r="B24" s="603" t="s">
        <v>242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115"/>
      <c r="N24" s="84"/>
      <c r="O24" s="84"/>
      <c r="P24" s="84"/>
      <c r="Q24" s="84"/>
      <c r="R24" s="84">
        <f>SUM([50]Sheet1!$J$49)</f>
        <v>1125000</v>
      </c>
      <c r="S24" s="115"/>
      <c r="T24" s="115"/>
      <c r="U24" s="84"/>
      <c r="V24" s="115"/>
      <c r="W24" s="604">
        <f>SUM(M24-V24)</f>
        <v>0</v>
      </c>
      <c r="Y24" s="602"/>
      <c r="Z24" s="588"/>
    </row>
    <row r="25" spans="1:28" customFormat="1">
      <c r="A25" s="597"/>
      <c r="B25" s="605" t="s">
        <v>243</v>
      </c>
      <c r="C25" s="542"/>
      <c r="D25" s="542"/>
      <c r="E25" s="542"/>
      <c r="F25" s="500"/>
      <c r="G25" s="542"/>
      <c r="H25" s="542"/>
      <c r="I25" s="542"/>
      <c r="J25" s="500"/>
      <c r="K25" s="500"/>
      <c r="L25" s="500"/>
      <c r="M25" s="115">
        <f>SUM(C25:L25)</f>
        <v>0</v>
      </c>
      <c r="N25" s="500"/>
      <c r="O25" s="500"/>
      <c r="P25" s="500"/>
      <c r="Q25" s="500"/>
      <c r="R25" s="542"/>
      <c r="S25" s="500">
        <v>156000</v>
      </c>
      <c r="T25" s="500"/>
      <c r="U25" s="542"/>
      <c r="V25" s="606"/>
      <c r="W25" s="604">
        <f>SUM(M25-V25)</f>
        <v>0</v>
      </c>
      <c r="Y25" s="54"/>
      <c r="Z25" s="607"/>
    </row>
    <row r="26" spans="1:28" customFormat="1">
      <c r="A26" s="597"/>
      <c r="B26" s="605" t="s">
        <v>244</v>
      </c>
      <c r="C26" s="542"/>
      <c r="D26" s="542"/>
      <c r="E26" s="542"/>
      <c r="F26" s="500"/>
      <c r="G26" s="542"/>
      <c r="H26" s="542"/>
      <c r="I26" s="542"/>
      <c r="J26" s="500"/>
      <c r="K26" s="500"/>
      <c r="L26" s="500"/>
      <c r="M26" s="115">
        <f>SUM(C26:L26)</f>
        <v>0</v>
      </c>
      <c r="N26" s="500"/>
      <c r="O26" s="500"/>
      <c r="P26" s="500"/>
      <c r="Q26" s="500"/>
      <c r="R26" s="542"/>
      <c r="S26" s="500">
        <v>150000</v>
      </c>
      <c r="T26" s="500"/>
      <c r="U26" s="542"/>
      <c r="V26" s="606"/>
      <c r="W26" s="604">
        <f>SUM(M26-V26)</f>
        <v>0</v>
      </c>
      <c r="Y26" s="54"/>
      <c r="Z26" s="607"/>
    </row>
    <row r="27" spans="1:28">
      <c r="A27" s="597"/>
      <c r="B27" s="608" t="s">
        <v>245</v>
      </c>
      <c r="C27" s="609"/>
      <c r="D27" s="609"/>
      <c r="E27" s="609"/>
      <c r="F27" s="610"/>
      <c r="G27" s="609"/>
      <c r="H27" s="609"/>
      <c r="I27" s="609"/>
      <c r="J27" s="610"/>
      <c r="K27" s="610"/>
      <c r="L27" s="610"/>
      <c r="M27" s="611">
        <f>SUM(C27:L27)</f>
        <v>0</v>
      </c>
      <c r="N27" s="610"/>
      <c r="O27" s="610"/>
      <c r="P27" s="610"/>
      <c r="Q27" s="610"/>
      <c r="R27" s="609"/>
      <c r="S27" s="610">
        <v>2500000</v>
      </c>
      <c r="T27" s="610"/>
      <c r="U27" s="609"/>
      <c r="V27" s="612"/>
      <c r="W27" s="613">
        <f>SUM(M27-V27)</f>
        <v>0</v>
      </c>
      <c r="X27" s="614"/>
      <c r="Y27" s="602"/>
      <c r="AB27" s="602"/>
    </row>
    <row r="28" spans="1:28">
      <c r="A28" s="597"/>
      <c r="B28" s="608" t="s">
        <v>246</v>
      </c>
      <c r="C28" s="609"/>
      <c r="D28" s="609"/>
      <c r="E28" s="609"/>
      <c r="F28" s="610"/>
      <c r="G28" s="609"/>
      <c r="H28" s="609"/>
      <c r="I28" s="609"/>
      <c r="J28" s="610"/>
      <c r="K28" s="610"/>
      <c r="L28" s="610"/>
      <c r="M28" s="611"/>
      <c r="N28" s="610"/>
      <c r="O28" s="610"/>
      <c r="P28" s="610"/>
      <c r="Q28" s="610"/>
      <c r="R28" s="609"/>
      <c r="S28" s="610">
        <v>156000</v>
      </c>
      <c r="T28" s="610"/>
      <c r="U28" s="609"/>
      <c r="V28" s="612"/>
      <c r="W28" s="613"/>
      <c r="X28" s="614"/>
      <c r="Y28" s="602"/>
      <c r="AB28" s="602"/>
    </row>
    <row r="29" spans="1:28">
      <c r="A29" s="597"/>
      <c r="B29" s="608" t="s">
        <v>247</v>
      </c>
      <c r="C29" s="609"/>
      <c r="D29" s="609"/>
      <c r="E29" s="609"/>
      <c r="F29" s="610"/>
      <c r="G29" s="609"/>
      <c r="H29" s="609"/>
      <c r="I29" s="609"/>
      <c r="J29" s="610"/>
      <c r="K29" s="610"/>
      <c r="L29" s="610"/>
      <c r="M29" s="611">
        <f>SUM(C29:L29)</f>
        <v>0</v>
      </c>
      <c r="N29" s="610"/>
      <c r="O29" s="610"/>
      <c r="P29" s="610"/>
      <c r="Q29" s="610"/>
      <c r="R29" s="609"/>
      <c r="S29" s="610">
        <v>282645</v>
      </c>
      <c r="T29" s="610"/>
      <c r="U29" s="609"/>
      <c r="V29" s="612"/>
      <c r="W29" s="613">
        <f>SUM(M29-V29)</f>
        <v>0</v>
      </c>
      <c r="X29" s="615"/>
      <c r="Y29" s="602"/>
      <c r="Z29" s="602"/>
    </row>
    <row r="30" spans="1:28">
      <c r="A30" s="597"/>
      <c r="B30" s="608" t="s">
        <v>248</v>
      </c>
      <c r="C30" s="609"/>
      <c r="D30" s="609"/>
      <c r="E30" s="609"/>
      <c r="F30" s="610"/>
      <c r="G30" s="609"/>
      <c r="H30" s="609"/>
      <c r="I30" s="609"/>
      <c r="J30" s="610"/>
      <c r="K30" s="610"/>
      <c r="L30" s="610"/>
      <c r="M30" s="611">
        <f>SUM(C30:L30)</f>
        <v>0</v>
      </c>
      <c r="N30" s="610"/>
      <c r="O30" s="610"/>
      <c r="P30" s="610"/>
      <c r="Q30" s="610"/>
      <c r="R30" s="609"/>
      <c r="S30" s="610">
        <v>1010000</v>
      </c>
      <c r="T30" s="610"/>
      <c r="U30" s="609"/>
      <c r="V30" s="612"/>
      <c r="W30" s="613">
        <f>SUM(M30-V30)</f>
        <v>0</v>
      </c>
      <c r="X30" s="615"/>
      <c r="Y30" s="602"/>
    </row>
    <row r="31" spans="1:28" ht="15.75">
      <c r="A31" s="597"/>
      <c r="B31" s="608" t="s">
        <v>249</v>
      </c>
      <c r="C31" s="609"/>
      <c r="D31" s="609"/>
      <c r="E31" s="609"/>
      <c r="F31" s="610"/>
      <c r="G31" s="609"/>
      <c r="H31" s="609"/>
      <c r="I31" s="609"/>
      <c r="J31" s="610"/>
      <c r="K31" s="610"/>
      <c r="L31" s="610"/>
      <c r="M31" s="611">
        <f>SUM(C31:L31)</f>
        <v>0</v>
      </c>
      <c r="N31" s="610"/>
      <c r="O31" s="610"/>
      <c r="P31" s="610"/>
      <c r="Q31" s="610"/>
      <c r="R31" s="609"/>
      <c r="S31" s="610">
        <v>2530000</v>
      </c>
      <c r="T31" s="610"/>
      <c r="U31" s="609"/>
      <c r="V31" s="612"/>
      <c r="W31" s="613">
        <f>SUM(M31-V31)</f>
        <v>0</v>
      </c>
      <c r="X31" s="614"/>
      <c r="Y31" s="616"/>
    </row>
    <row r="32" spans="1:28" ht="15.75">
      <c r="A32" s="597"/>
      <c r="B32" s="608" t="s">
        <v>250</v>
      </c>
      <c r="C32" s="609"/>
      <c r="D32" s="609"/>
      <c r="E32" s="609"/>
      <c r="F32" s="610"/>
      <c r="G32" s="609"/>
      <c r="H32" s="609"/>
      <c r="I32" s="609"/>
      <c r="J32" s="610"/>
      <c r="K32" s="610"/>
      <c r="L32" s="610"/>
      <c r="M32" s="611">
        <f>SUM(C32:L32)</f>
        <v>0</v>
      </c>
      <c r="N32" s="610"/>
      <c r="O32" s="610"/>
      <c r="P32" s="610"/>
      <c r="Q32" s="610"/>
      <c r="R32" s="609"/>
      <c r="S32" s="610">
        <v>600000</v>
      </c>
      <c r="T32" s="610"/>
      <c r="U32" s="609"/>
      <c r="V32" s="612"/>
      <c r="W32" s="613">
        <f>SUM(M32-V32)</f>
        <v>0</v>
      </c>
      <c r="X32" s="54"/>
      <c r="Y32" s="616"/>
    </row>
    <row r="33" spans="1:28">
      <c r="A33" s="597"/>
      <c r="B33" s="608" t="s">
        <v>251</v>
      </c>
      <c r="C33" s="609"/>
      <c r="D33" s="609"/>
      <c r="E33" s="609"/>
      <c r="F33" s="610"/>
      <c r="G33" s="609"/>
      <c r="H33" s="609"/>
      <c r="I33" s="609"/>
      <c r="J33" s="609"/>
      <c r="K33" s="609"/>
      <c r="L33" s="610"/>
      <c r="M33" s="611"/>
      <c r="N33" s="610"/>
      <c r="O33" s="610"/>
      <c r="P33" s="610"/>
      <c r="Q33" s="610"/>
      <c r="R33" s="609"/>
      <c r="S33" s="610">
        <v>2000000</v>
      </c>
      <c r="T33" s="610"/>
      <c r="U33" s="609"/>
      <c r="V33" s="612"/>
      <c r="W33" s="613">
        <f>SUM(M33-V33)</f>
        <v>0</v>
      </c>
      <c r="Y33" s="602"/>
      <c r="Z33" s="54"/>
      <c r="AA33" s="602"/>
      <c r="AB33" s="602"/>
    </row>
    <row r="34" spans="1:28">
      <c r="A34" s="597"/>
      <c r="B34" s="608" t="s">
        <v>252</v>
      </c>
      <c r="C34" s="609"/>
      <c r="D34" s="609"/>
      <c r="E34" s="609"/>
      <c r="F34" s="610"/>
      <c r="G34" s="609"/>
      <c r="H34" s="609"/>
      <c r="I34" s="609"/>
      <c r="J34" s="609"/>
      <c r="K34" s="609"/>
      <c r="L34" s="610"/>
      <c r="M34" s="611"/>
      <c r="N34" s="610"/>
      <c r="O34" s="610"/>
      <c r="P34" s="610"/>
      <c r="Q34" s="610"/>
      <c r="R34" s="609"/>
      <c r="S34" s="610">
        <v>1000000</v>
      </c>
      <c r="T34" s="610"/>
      <c r="U34" s="609"/>
      <c r="V34" s="612"/>
      <c r="W34" s="613"/>
      <c r="Y34" s="602"/>
      <c r="Z34" s="54"/>
      <c r="AA34" s="602"/>
      <c r="AB34" s="602"/>
    </row>
    <row r="35" spans="1:28">
      <c r="A35" s="597"/>
      <c r="B35" s="608" t="s">
        <v>253</v>
      </c>
      <c r="C35" s="609"/>
      <c r="D35" s="609"/>
      <c r="E35" s="609"/>
      <c r="F35" s="610"/>
      <c r="G35" s="609"/>
      <c r="H35" s="609"/>
      <c r="I35" s="609"/>
      <c r="J35" s="609"/>
      <c r="K35" s="609"/>
      <c r="L35" s="610"/>
      <c r="M35" s="611"/>
      <c r="N35" s="610"/>
      <c r="O35" s="610"/>
      <c r="P35" s="610"/>
      <c r="Q35" s="610"/>
      <c r="R35" s="609"/>
      <c r="S35" s="610">
        <v>1100000</v>
      </c>
      <c r="T35" s="610"/>
      <c r="U35" s="609"/>
      <c r="V35" s="612"/>
      <c r="W35" s="613"/>
      <c r="Y35" s="602"/>
      <c r="Z35" s="54"/>
      <c r="AA35" s="602"/>
      <c r="AB35" s="602"/>
    </row>
    <row r="36" spans="1:28">
      <c r="A36" s="597"/>
      <c r="B36" s="608" t="s">
        <v>254</v>
      </c>
      <c r="C36" s="609"/>
      <c r="D36" s="609"/>
      <c r="E36" s="609"/>
      <c r="F36" s="610"/>
      <c r="G36" s="609"/>
      <c r="H36" s="609"/>
      <c r="I36" s="609"/>
      <c r="J36" s="609"/>
      <c r="K36" s="609"/>
      <c r="L36" s="610"/>
      <c r="M36" s="611"/>
      <c r="N36" s="610"/>
      <c r="O36" s="610"/>
      <c r="P36" s="610"/>
      <c r="Q36" s="610"/>
      <c r="R36" s="609"/>
      <c r="S36" s="610">
        <v>500000</v>
      </c>
      <c r="T36" s="610"/>
      <c r="U36" s="609"/>
      <c r="V36" s="612"/>
      <c r="W36" s="613"/>
      <c r="Y36" s="602"/>
      <c r="Z36" s="54"/>
      <c r="AA36" s="602"/>
      <c r="AB36" s="602"/>
    </row>
    <row r="37" spans="1:28">
      <c r="A37" s="597"/>
      <c r="B37" s="608" t="s">
        <v>255</v>
      </c>
      <c r="C37" s="609"/>
      <c r="D37" s="609"/>
      <c r="E37" s="609"/>
      <c r="F37" s="610"/>
      <c r="G37" s="609"/>
      <c r="H37" s="609"/>
      <c r="I37" s="609"/>
      <c r="J37" s="609"/>
      <c r="K37" s="609"/>
      <c r="L37" s="610"/>
      <c r="M37" s="611"/>
      <c r="N37" s="610"/>
      <c r="O37" s="610"/>
      <c r="P37" s="610"/>
      <c r="Q37" s="610"/>
      <c r="R37" s="609"/>
      <c r="S37" s="610">
        <v>4765675</v>
      </c>
      <c r="T37" s="610"/>
      <c r="U37" s="609"/>
      <c r="V37" s="612"/>
      <c r="W37" s="613"/>
      <c r="Y37" s="602"/>
      <c r="Z37" s="54"/>
      <c r="AA37" s="602"/>
      <c r="AB37" s="602"/>
    </row>
    <row r="38" spans="1:28">
      <c r="A38" s="617"/>
      <c r="B38" s="608" t="s">
        <v>256</v>
      </c>
      <c r="C38" s="609"/>
      <c r="D38" s="609"/>
      <c r="E38" s="609"/>
      <c r="F38" s="610"/>
      <c r="G38" s="609"/>
      <c r="H38" s="609"/>
      <c r="I38" s="609"/>
      <c r="J38" s="609"/>
      <c r="K38" s="609"/>
      <c r="L38" s="610"/>
      <c r="M38" s="611"/>
      <c r="N38" s="610"/>
      <c r="O38" s="610"/>
      <c r="P38" s="610"/>
      <c r="Q38" s="610"/>
      <c r="R38" s="609"/>
      <c r="S38" s="610">
        <v>1000000</v>
      </c>
      <c r="T38" s="610"/>
      <c r="U38" s="609"/>
      <c r="V38" s="612"/>
      <c r="W38" s="613"/>
      <c r="Y38" s="602"/>
      <c r="Z38" s="54"/>
      <c r="AA38" s="602"/>
      <c r="AB38" s="602"/>
    </row>
    <row r="39" spans="1:28">
      <c r="A39" s="617"/>
      <c r="B39" s="608" t="s">
        <v>257</v>
      </c>
      <c r="C39" s="609"/>
      <c r="D39" s="609"/>
      <c r="E39" s="609"/>
      <c r="F39" s="610"/>
      <c r="G39" s="609"/>
      <c r="H39" s="609"/>
      <c r="I39" s="609"/>
      <c r="J39" s="609"/>
      <c r="K39" s="609"/>
      <c r="L39" s="610"/>
      <c r="M39" s="611"/>
      <c r="N39" s="610"/>
      <c r="O39" s="610"/>
      <c r="P39" s="610"/>
      <c r="Q39" s="610"/>
      <c r="R39" s="609"/>
      <c r="S39" s="610">
        <v>1000000</v>
      </c>
      <c r="T39" s="610"/>
      <c r="U39" s="609"/>
      <c r="V39" s="612"/>
      <c r="W39" s="613"/>
      <c r="Y39" s="602"/>
      <c r="Z39" s="54"/>
      <c r="AA39" s="602"/>
      <c r="AB39" s="602"/>
    </row>
    <row r="40" spans="1:28">
      <c r="A40" s="617"/>
      <c r="B40" s="608" t="s">
        <v>258</v>
      </c>
      <c r="C40" s="609"/>
      <c r="D40" s="609"/>
      <c r="E40" s="609"/>
      <c r="F40" s="610"/>
      <c r="G40" s="609"/>
      <c r="H40" s="609"/>
      <c r="I40" s="609"/>
      <c r="J40" s="609"/>
      <c r="K40" s="609"/>
      <c r="L40" s="610"/>
      <c r="M40" s="611"/>
      <c r="N40" s="610"/>
      <c r="O40" s="610"/>
      <c r="P40" s="610"/>
      <c r="Q40" s="610"/>
      <c r="R40" s="609"/>
      <c r="S40" s="610">
        <v>2145000</v>
      </c>
      <c r="T40" s="610"/>
      <c r="U40" s="609"/>
      <c r="V40" s="612"/>
      <c r="W40" s="613"/>
      <c r="Y40" s="602"/>
      <c r="Z40" s="54"/>
      <c r="AA40" s="602"/>
      <c r="AB40" s="602"/>
    </row>
    <row r="41" spans="1:28">
      <c r="A41" s="617"/>
      <c r="B41" s="608" t="s">
        <v>259</v>
      </c>
      <c r="C41" s="609"/>
      <c r="D41" s="609"/>
      <c r="E41" s="609"/>
      <c r="F41" s="610"/>
      <c r="G41" s="609"/>
      <c r="H41" s="609"/>
      <c r="I41" s="609"/>
      <c r="J41" s="609"/>
      <c r="K41" s="609"/>
      <c r="L41" s="610"/>
      <c r="M41" s="611"/>
      <c r="N41" s="610"/>
      <c r="O41" s="610"/>
      <c r="P41" s="610"/>
      <c r="Q41" s="610"/>
      <c r="R41" s="609"/>
      <c r="S41" s="610">
        <v>288000</v>
      </c>
      <c r="T41" s="610"/>
      <c r="U41" s="609"/>
      <c r="V41" s="612"/>
      <c r="W41" s="613"/>
      <c r="Y41" s="602"/>
      <c r="Z41" s="54"/>
      <c r="AA41" s="602"/>
      <c r="AB41" s="602"/>
    </row>
    <row r="42" spans="1:28">
      <c r="A42" s="617"/>
      <c r="B42" s="608" t="s">
        <v>260</v>
      </c>
      <c r="C42" s="609"/>
      <c r="D42" s="609"/>
      <c r="E42" s="609"/>
      <c r="F42" s="610"/>
      <c r="G42" s="609"/>
      <c r="H42" s="609"/>
      <c r="I42" s="609"/>
      <c r="J42" s="609"/>
      <c r="K42" s="609"/>
      <c r="L42" s="610"/>
      <c r="M42" s="611"/>
      <c r="N42" s="610"/>
      <c r="O42" s="610"/>
      <c r="P42" s="610"/>
      <c r="Q42" s="610"/>
      <c r="R42" s="609"/>
      <c r="S42" s="610">
        <v>300000</v>
      </c>
      <c r="T42" s="610"/>
      <c r="U42" s="609"/>
      <c r="V42" s="612"/>
      <c r="W42" s="613"/>
      <c r="Y42" s="602"/>
      <c r="Z42" s="54"/>
      <c r="AA42" s="602"/>
      <c r="AB42" s="602"/>
    </row>
    <row r="43" spans="1:28">
      <c r="A43" s="617"/>
      <c r="B43" s="608" t="s">
        <v>261</v>
      </c>
      <c r="C43" s="609"/>
      <c r="D43" s="609"/>
      <c r="E43" s="609"/>
      <c r="F43" s="610"/>
      <c r="G43" s="609"/>
      <c r="H43" s="609"/>
      <c r="I43" s="609"/>
      <c r="J43" s="609"/>
      <c r="K43" s="609"/>
      <c r="L43" s="610"/>
      <c r="M43" s="611"/>
      <c r="N43" s="610"/>
      <c r="O43" s="610"/>
      <c r="P43" s="610"/>
      <c r="Q43" s="610"/>
      <c r="R43" s="609"/>
      <c r="S43" s="610">
        <v>1500000</v>
      </c>
      <c r="T43" s="610"/>
      <c r="U43" s="609"/>
      <c r="V43" s="612"/>
      <c r="W43" s="613"/>
      <c r="Y43" s="602"/>
      <c r="Z43" s="54"/>
      <c r="AA43" s="602"/>
      <c r="AB43" s="602"/>
    </row>
    <row r="44" spans="1:28">
      <c r="A44" s="618"/>
      <c r="B44" s="619" t="s">
        <v>262</v>
      </c>
      <c r="C44" s="609"/>
      <c r="D44" s="609"/>
      <c r="E44" s="609"/>
      <c r="F44" s="610"/>
      <c r="G44" s="609"/>
      <c r="H44" s="609"/>
      <c r="I44" s="609"/>
      <c r="J44" s="610"/>
      <c r="K44" s="610"/>
      <c r="L44" s="610"/>
      <c r="M44" s="611"/>
      <c r="N44" s="610"/>
      <c r="O44" s="610"/>
      <c r="P44" s="610"/>
      <c r="Q44" s="610"/>
      <c r="R44" s="609"/>
      <c r="S44" s="610">
        <v>700000</v>
      </c>
      <c r="T44" s="610"/>
      <c r="U44" s="609"/>
      <c r="V44" s="612"/>
      <c r="W44" s="620"/>
      <c r="Y44" s="621"/>
      <c r="Z44" s="621"/>
      <c r="AA44" s="602"/>
    </row>
    <row r="45" spans="1:28">
      <c r="A45" s="618"/>
      <c r="B45" s="619" t="s">
        <v>263</v>
      </c>
      <c r="C45" s="609"/>
      <c r="D45" s="609"/>
      <c r="E45" s="609"/>
      <c r="F45" s="610"/>
      <c r="G45" s="609"/>
      <c r="H45" s="609"/>
      <c r="I45" s="609"/>
      <c r="J45" s="610"/>
      <c r="K45" s="610"/>
      <c r="L45" s="610"/>
      <c r="M45" s="611"/>
      <c r="N45" s="610"/>
      <c r="O45" s="610"/>
      <c r="P45" s="610"/>
      <c r="Q45" s="610"/>
      <c r="R45" s="609"/>
      <c r="S45" s="610">
        <v>1100000</v>
      </c>
      <c r="T45" s="610"/>
      <c r="U45" s="609"/>
      <c r="V45" s="612"/>
      <c r="W45" s="620"/>
      <c r="Y45" s="621"/>
      <c r="Z45" s="621"/>
      <c r="AA45" s="602"/>
    </row>
    <row r="46" spans="1:28">
      <c r="A46" s="618"/>
      <c r="B46" s="619" t="s">
        <v>264</v>
      </c>
      <c r="C46" s="609"/>
      <c r="D46" s="609"/>
      <c r="E46" s="609"/>
      <c r="F46" s="610"/>
      <c r="G46" s="609"/>
      <c r="H46" s="609"/>
      <c r="I46" s="609"/>
      <c r="J46" s="610"/>
      <c r="K46" s="610"/>
      <c r="L46" s="610"/>
      <c r="M46" s="611"/>
      <c r="N46" s="610"/>
      <c r="O46" s="610"/>
      <c r="P46" s="610"/>
      <c r="Q46" s="610"/>
      <c r="R46" s="609"/>
      <c r="S46" s="610">
        <v>297000</v>
      </c>
      <c r="T46" s="610"/>
      <c r="U46" s="609"/>
      <c r="V46" s="612"/>
      <c r="W46" s="620"/>
      <c r="Y46" s="621"/>
      <c r="Z46" s="621"/>
      <c r="AA46" s="602"/>
    </row>
    <row r="47" spans="1:28">
      <c r="A47" s="618"/>
      <c r="B47" s="619" t="s">
        <v>265</v>
      </c>
      <c r="C47" s="609"/>
      <c r="D47" s="609"/>
      <c r="E47" s="609"/>
      <c r="F47" s="610"/>
      <c r="G47" s="609"/>
      <c r="H47" s="609"/>
      <c r="I47" s="609"/>
      <c r="J47" s="610"/>
      <c r="K47" s="610"/>
      <c r="L47" s="610"/>
      <c r="M47" s="611"/>
      <c r="N47" s="610"/>
      <c r="O47" s="610"/>
      <c r="P47" s="610"/>
      <c r="Q47" s="610"/>
      <c r="R47" s="609"/>
      <c r="S47" s="610">
        <v>50000</v>
      </c>
      <c r="T47" s="610"/>
      <c r="U47" s="609"/>
      <c r="V47" s="612"/>
      <c r="W47" s="620"/>
      <c r="Y47" s="621"/>
      <c r="Z47" s="621"/>
      <c r="AA47" s="602"/>
    </row>
    <row r="48" spans="1:28">
      <c r="A48" s="618"/>
      <c r="B48" s="619" t="s">
        <v>266</v>
      </c>
      <c r="C48" s="609"/>
      <c r="D48" s="609"/>
      <c r="E48" s="609"/>
      <c r="F48" s="610"/>
      <c r="G48" s="609"/>
      <c r="H48" s="609"/>
      <c r="I48" s="609"/>
      <c r="J48" s="610"/>
      <c r="K48" s="610"/>
      <c r="L48" s="610"/>
      <c r="M48" s="611"/>
      <c r="N48" s="610"/>
      <c r="O48" s="610"/>
      <c r="P48" s="610"/>
      <c r="Q48" s="610"/>
      <c r="R48" s="609"/>
      <c r="S48" s="610">
        <v>300000</v>
      </c>
      <c r="T48" s="610"/>
      <c r="U48" s="609"/>
      <c r="V48" s="612"/>
      <c r="W48" s="620"/>
      <c r="Y48" s="621"/>
      <c r="Z48" s="621"/>
      <c r="AA48" s="602"/>
    </row>
    <row r="49" spans="1:27">
      <c r="A49" s="618"/>
      <c r="B49" s="619" t="s">
        <v>267</v>
      </c>
      <c r="C49" s="609"/>
      <c r="D49" s="609"/>
      <c r="E49" s="609"/>
      <c r="F49" s="610"/>
      <c r="G49" s="609"/>
      <c r="H49" s="609"/>
      <c r="I49" s="609"/>
      <c r="J49" s="610"/>
      <c r="K49" s="610"/>
      <c r="L49" s="610"/>
      <c r="M49" s="611"/>
      <c r="N49" s="610"/>
      <c r="O49" s="610"/>
      <c r="P49" s="610"/>
      <c r="Q49" s="610"/>
      <c r="R49" s="609"/>
      <c r="S49" s="610">
        <v>186000</v>
      </c>
      <c r="T49" s="610"/>
      <c r="U49" s="609"/>
      <c r="V49" s="612"/>
      <c r="W49" s="620"/>
      <c r="Y49" s="621"/>
      <c r="Z49" s="621"/>
      <c r="AA49" s="602"/>
    </row>
    <row r="50" spans="1:27">
      <c r="A50" s="618"/>
      <c r="B50" s="619" t="s">
        <v>268</v>
      </c>
      <c r="C50" s="609"/>
      <c r="D50" s="609"/>
      <c r="E50" s="609"/>
      <c r="F50" s="610"/>
      <c r="G50" s="609"/>
      <c r="H50" s="609"/>
      <c r="I50" s="609"/>
      <c r="J50" s="610"/>
      <c r="K50" s="610"/>
      <c r="L50" s="610"/>
      <c r="M50" s="611"/>
      <c r="N50" s="610"/>
      <c r="O50" s="610"/>
      <c r="P50" s="610"/>
      <c r="Q50" s="610"/>
      <c r="R50" s="609"/>
      <c r="S50" s="610">
        <v>499000</v>
      </c>
      <c r="T50" s="610"/>
      <c r="U50" s="609"/>
      <c r="V50" s="612"/>
      <c r="W50" s="620"/>
      <c r="Y50" s="621"/>
      <c r="Z50" s="621"/>
      <c r="AA50" s="602"/>
    </row>
    <row r="51" spans="1:27">
      <c r="A51" s="618"/>
      <c r="B51" s="619" t="s">
        <v>269</v>
      </c>
      <c r="C51" s="609"/>
      <c r="D51" s="609"/>
      <c r="E51" s="609"/>
      <c r="F51" s="610"/>
      <c r="G51" s="609"/>
      <c r="H51" s="609"/>
      <c r="I51" s="609"/>
      <c r="J51" s="610"/>
      <c r="K51" s="610"/>
      <c r="L51" s="610"/>
      <c r="M51" s="611"/>
      <c r="N51" s="610"/>
      <c r="O51" s="610"/>
      <c r="P51" s="610"/>
      <c r="Q51" s="610"/>
      <c r="R51" s="609"/>
      <c r="S51" s="610">
        <v>186000</v>
      </c>
      <c r="T51" s="610"/>
      <c r="U51" s="609"/>
      <c r="V51" s="612"/>
      <c r="W51" s="620"/>
      <c r="Y51" s="621"/>
      <c r="Z51" s="621"/>
      <c r="AA51" s="602"/>
    </row>
    <row r="52" spans="1:27">
      <c r="A52" s="618"/>
      <c r="B52" s="619" t="s">
        <v>270</v>
      </c>
      <c r="C52" s="609"/>
      <c r="D52" s="609"/>
      <c r="E52" s="609"/>
      <c r="F52" s="610"/>
      <c r="G52" s="609"/>
      <c r="H52" s="609"/>
      <c r="I52" s="609"/>
      <c r="J52" s="610"/>
      <c r="K52" s="610"/>
      <c r="L52" s="610"/>
      <c r="M52" s="611"/>
      <c r="N52" s="610"/>
      <c r="O52" s="610"/>
      <c r="P52" s="610"/>
      <c r="Q52" s="610"/>
      <c r="R52" s="609"/>
      <c r="S52" s="610">
        <v>2290039</v>
      </c>
      <c r="T52" s="610"/>
      <c r="U52" s="609"/>
      <c r="V52" s="612"/>
      <c r="W52" s="620"/>
      <c r="Y52" s="621"/>
      <c r="Z52" s="621"/>
      <c r="AA52" s="602"/>
    </row>
    <row r="53" spans="1:27">
      <c r="A53" s="618"/>
      <c r="B53" s="619" t="s">
        <v>271</v>
      </c>
      <c r="C53" s="609"/>
      <c r="D53" s="609"/>
      <c r="E53" s="609"/>
      <c r="F53" s="610"/>
      <c r="G53" s="609"/>
      <c r="H53" s="609"/>
      <c r="I53" s="609"/>
      <c r="J53" s="610"/>
      <c r="K53" s="610"/>
      <c r="L53" s="610"/>
      <c r="M53" s="611"/>
      <c r="N53" s="610"/>
      <c r="O53" s="610"/>
      <c r="P53" s="610"/>
      <c r="Q53" s="610"/>
      <c r="R53" s="609"/>
      <c r="S53" s="610">
        <v>200000</v>
      </c>
      <c r="T53" s="610"/>
      <c r="U53" s="609"/>
      <c r="V53" s="612"/>
      <c r="W53" s="620"/>
      <c r="Y53" s="621"/>
      <c r="Z53" s="621"/>
      <c r="AA53" s="602"/>
    </row>
    <row r="54" spans="1:27">
      <c r="A54" s="920" t="s">
        <v>272</v>
      </c>
      <c r="B54" s="622" t="s">
        <v>273</v>
      </c>
      <c r="C54" s="542"/>
      <c r="D54" s="542">
        <v>500000</v>
      </c>
      <c r="E54" s="542"/>
      <c r="F54" s="500"/>
      <c r="G54" s="542"/>
      <c r="H54" s="542"/>
      <c r="I54" s="542"/>
      <c r="J54" s="500"/>
      <c r="K54" s="500"/>
      <c r="L54" s="500"/>
      <c r="M54" s="623">
        <f t="shared" ref="M54:M62" si="1">SUM(C54:L54)</f>
        <v>500000</v>
      </c>
      <c r="N54" s="500"/>
      <c r="O54" s="500"/>
      <c r="P54" s="500"/>
      <c r="Q54" s="500"/>
      <c r="R54" s="542"/>
      <c r="S54" s="500"/>
      <c r="T54" s="500"/>
      <c r="U54" s="542"/>
      <c r="V54" s="606">
        <f t="shared" ref="V54:V62" si="2">SUM(N54:U54)</f>
        <v>0</v>
      </c>
      <c r="W54" s="624">
        <f t="shared" ref="W54:W62" si="3">SUM(M54-V54)</f>
        <v>500000</v>
      </c>
      <c r="Y54" s="621"/>
      <c r="Z54" s="621"/>
      <c r="AA54" s="602"/>
    </row>
    <row r="55" spans="1:27">
      <c r="A55" s="921"/>
      <c r="B55" s="622" t="s">
        <v>274</v>
      </c>
      <c r="C55" s="542">
        <v>100000</v>
      </c>
      <c r="D55" s="542"/>
      <c r="E55" s="542"/>
      <c r="F55" s="500"/>
      <c r="G55" s="542"/>
      <c r="H55" s="542"/>
      <c r="I55" s="542"/>
      <c r="J55" s="500"/>
      <c r="K55" s="500"/>
      <c r="L55" s="500"/>
      <c r="M55" s="623">
        <f t="shared" si="1"/>
        <v>100000</v>
      </c>
      <c r="N55" s="500"/>
      <c r="O55" s="500"/>
      <c r="P55" s="500"/>
      <c r="Q55" s="500"/>
      <c r="R55" s="542"/>
      <c r="S55" s="500"/>
      <c r="T55" s="500"/>
      <c r="U55" s="542"/>
      <c r="V55" s="606">
        <f t="shared" si="2"/>
        <v>0</v>
      </c>
      <c r="W55" s="624">
        <f t="shared" si="3"/>
        <v>100000</v>
      </c>
      <c r="Y55" s="621"/>
      <c r="Z55" s="621"/>
      <c r="AA55" s="602"/>
    </row>
    <row r="56" spans="1:27">
      <c r="A56" s="921"/>
      <c r="B56" s="622" t="s">
        <v>275</v>
      </c>
      <c r="C56" s="542">
        <v>100000</v>
      </c>
      <c r="D56" s="542"/>
      <c r="E56" s="542"/>
      <c r="F56" s="500"/>
      <c r="G56" s="542"/>
      <c r="H56" s="542"/>
      <c r="I56" s="542"/>
      <c r="J56" s="500"/>
      <c r="K56" s="500"/>
      <c r="L56" s="500"/>
      <c r="M56" s="623">
        <f t="shared" si="1"/>
        <v>100000</v>
      </c>
      <c r="N56" s="500"/>
      <c r="O56" s="500"/>
      <c r="P56" s="500"/>
      <c r="Q56" s="500"/>
      <c r="R56" s="542"/>
      <c r="S56" s="500"/>
      <c r="T56" s="500"/>
      <c r="U56" s="542"/>
      <c r="V56" s="606">
        <f t="shared" si="2"/>
        <v>0</v>
      </c>
      <c r="W56" s="624">
        <f t="shared" si="3"/>
        <v>100000</v>
      </c>
      <c r="Y56" s="621"/>
      <c r="Z56" s="621"/>
      <c r="AA56" s="602"/>
    </row>
    <row r="57" spans="1:27">
      <c r="A57" s="921"/>
      <c r="B57" s="625" t="s">
        <v>276</v>
      </c>
      <c r="C57" s="542"/>
      <c r="D57" s="542">
        <v>1184000</v>
      </c>
      <c r="E57" s="542"/>
      <c r="F57" s="500"/>
      <c r="G57" s="542"/>
      <c r="H57" s="542"/>
      <c r="I57" s="542"/>
      <c r="J57" s="500"/>
      <c r="K57" s="500"/>
      <c r="L57" s="500"/>
      <c r="M57" s="623">
        <f t="shared" si="1"/>
        <v>1184000</v>
      </c>
      <c r="N57" s="500"/>
      <c r="O57" s="500"/>
      <c r="P57" s="500"/>
      <c r="Q57" s="500"/>
      <c r="R57" s="542"/>
      <c r="S57" s="500"/>
      <c r="T57" s="500"/>
      <c r="U57" s="542"/>
      <c r="V57" s="606">
        <f t="shared" si="2"/>
        <v>0</v>
      </c>
      <c r="W57" s="624">
        <f t="shared" si="3"/>
        <v>1184000</v>
      </c>
      <c r="Y57" s="621"/>
      <c r="Z57" s="621"/>
      <c r="AA57" s="602"/>
    </row>
    <row r="58" spans="1:27">
      <c r="A58" s="921"/>
      <c r="B58" s="626" t="s">
        <v>277</v>
      </c>
      <c r="C58" s="500">
        <v>500000</v>
      </c>
      <c r="D58" s="500"/>
      <c r="E58" s="500"/>
      <c r="F58" s="500"/>
      <c r="G58" s="500"/>
      <c r="H58" s="500"/>
      <c r="I58" s="500"/>
      <c r="J58" s="500"/>
      <c r="K58" s="500"/>
      <c r="L58" s="500"/>
      <c r="M58" s="623">
        <f t="shared" si="1"/>
        <v>500000</v>
      </c>
      <c r="N58" s="500"/>
      <c r="O58" s="500"/>
      <c r="P58" s="500"/>
      <c r="Q58" s="500"/>
      <c r="R58" s="500"/>
      <c r="S58" s="500"/>
      <c r="T58" s="500"/>
      <c r="U58" s="542"/>
      <c r="V58" s="606">
        <f t="shared" si="2"/>
        <v>0</v>
      </c>
      <c r="W58" s="624">
        <f t="shared" si="3"/>
        <v>500000</v>
      </c>
      <c r="Y58" s="621"/>
      <c r="Z58" s="621"/>
      <c r="AA58" s="602"/>
    </row>
    <row r="59" spans="1:27">
      <c r="A59" s="921"/>
      <c r="B59" s="626" t="s">
        <v>278</v>
      </c>
      <c r="C59" s="500"/>
      <c r="D59" s="500">
        <v>1184000</v>
      </c>
      <c r="E59" s="500"/>
      <c r="F59" s="500"/>
      <c r="G59" s="500"/>
      <c r="H59" s="500"/>
      <c r="I59" s="500"/>
      <c r="J59" s="500"/>
      <c r="K59" s="500"/>
      <c r="L59" s="500"/>
      <c r="M59" s="623">
        <f t="shared" si="1"/>
        <v>1184000</v>
      </c>
      <c r="N59" s="500"/>
      <c r="O59" s="500"/>
      <c r="P59" s="500"/>
      <c r="Q59" s="500"/>
      <c r="R59" s="500"/>
      <c r="S59" s="500"/>
      <c r="T59" s="500"/>
      <c r="U59" s="542"/>
      <c r="V59" s="606">
        <f t="shared" si="2"/>
        <v>0</v>
      </c>
      <c r="W59" s="624">
        <f t="shared" si="3"/>
        <v>1184000</v>
      </c>
      <c r="Y59" s="621"/>
      <c r="Z59" s="621"/>
      <c r="AA59" s="602"/>
    </row>
    <row r="60" spans="1:27">
      <c r="A60" s="844" t="s">
        <v>279</v>
      </c>
      <c r="B60" s="626" t="s">
        <v>280</v>
      </c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623">
        <f t="shared" si="1"/>
        <v>0</v>
      </c>
      <c r="N60" s="500"/>
      <c r="O60" s="500"/>
      <c r="P60" s="500"/>
      <c r="Q60" s="500"/>
      <c r="R60" s="500"/>
      <c r="S60" s="500"/>
      <c r="T60" s="500"/>
      <c r="U60" s="542">
        <v>1500000</v>
      </c>
      <c r="V60" s="606">
        <f t="shared" si="2"/>
        <v>1500000</v>
      </c>
      <c r="W60" s="624">
        <f t="shared" si="3"/>
        <v>-1500000</v>
      </c>
      <c r="Y60" s="621"/>
      <c r="Z60" s="621"/>
      <c r="AA60" s="602"/>
    </row>
    <row r="61" spans="1:27">
      <c r="A61" s="844" t="s">
        <v>281</v>
      </c>
      <c r="B61" s="626"/>
      <c r="C61" s="500"/>
      <c r="D61" s="500"/>
      <c r="E61" s="500"/>
      <c r="F61" s="500"/>
      <c r="G61" s="500"/>
      <c r="H61" s="500"/>
      <c r="I61" s="500"/>
      <c r="J61" s="500"/>
      <c r="K61" s="500"/>
      <c r="L61" s="500"/>
      <c r="M61" s="623">
        <f t="shared" si="1"/>
        <v>0</v>
      </c>
      <c r="N61" s="500"/>
      <c r="O61" s="500"/>
      <c r="P61" s="500"/>
      <c r="Q61" s="500"/>
      <c r="R61" s="500"/>
      <c r="S61" s="500"/>
      <c r="T61" s="500"/>
      <c r="U61" s="542"/>
      <c r="V61" s="606">
        <f t="shared" si="2"/>
        <v>0</v>
      </c>
      <c r="W61" s="624">
        <f t="shared" si="3"/>
        <v>0</v>
      </c>
      <c r="Y61" s="621"/>
    </row>
    <row r="62" spans="1:27">
      <c r="A62" s="845" t="s">
        <v>282</v>
      </c>
      <c r="B62" s="626" t="s">
        <v>283</v>
      </c>
      <c r="C62" s="500"/>
      <c r="D62" s="500">
        <v>5000000</v>
      </c>
      <c r="E62" s="500"/>
      <c r="F62" s="500"/>
      <c r="G62" s="500"/>
      <c r="H62" s="500"/>
      <c r="I62" s="500"/>
      <c r="J62" s="500"/>
      <c r="K62" s="500"/>
      <c r="L62" s="500"/>
      <c r="M62" s="623">
        <f t="shared" si="1"/>
        <v>5000000</v>
      </c>
      <c r="N62" s="500"/>
      <c r="O62" s="500"/>
      <c r="P62" s="500"/>
      <c r="Q62" s="500"/>
      <c r="R62" s="500"/>
      <c r="S62" s="500"/>
      <c r="T62" s="500"/>
      <c r="U62" s="542"/>
      <c r="V62" s="606">
        <f t="shared" si="2"/>
        <v>0</v>
      </c>
      <c r="W62" s="624">
        <f t="shared" si="3"/>
        <v>5000000</v>
      </c>
      <c r="Y62" s="621"/>
    </row>
    <row r="63" spans="1:27">
      <c r="A63" s="627"/>
      <c r="B63" s="626" t="s">
        <v>284</v>
      </c>
      <c r="C63" s="500"/>
      <c r="D63" s="500"/>
      <c r="E63" s="500"/>
      <c r="F63" s="500"/>
      <c r="G63" s="500"/>
      <c r="H63" s="500"/>
      <c r="I63" s="500"/>
      <c r="J63" s="500"/>
      <c r="K63" s="500">
        <v>1000000</v>
      </c>
      <c r="L63" s="500"/>
      <c r="M63" s="623">
        <f t="shared" ref="M63:M69" si="4">SUM(C63:L63)</f>
        <v>1000000</v>
      </c>
      <c r="N63" s="500"/>
      <c r="O63" s="500"/>
      <c r="P63" s="500"/>
      <c r="Q63" s="500"/>
      <c r="R63" s="628"/>
      <c r="S63" s="500"/>
      <c r="T63" s="500"/>
      <c r="U63" s="500"/>
      <c r="V63" s="606">
        <f t="shared" ref="V63:V85" si="5">SUM(N63:U63)</f>
        <v>0</v>
      </c>
      <c r="W63" s="624">
        <f t="shared" ref="W63:W85" si="6">SUM(M63-V63)</f>
        <v>1000000</v>
      </c>
      <c r="Y63" s="602"/>
    </row>
    <row r="64" spans="1:27">
      <c r="A64" s="922" t="s">
        <v>285</v>
      </c>
      <c r="B64" s="629" t="s">
        <v>286</v>
      </c>
      <c r="C64" s="630">
        <v>200000</v>
      </c>
      <c r="D64" s="628"/>
      <c r="E64" s="500"/>
      <c r="F64" s="500"/>
      <c r="G64" s="631"/>
      <c r="H64" s="631"/>
      <c r="I64" s="631"/>
      <c r="J64" s="500"/>
      <c r="K64" s="500"/>
      <c r="L64" s="500"/>
      <c r="M64" s="623">
        <f t="shared" si="4"/>
        <v>200000</v>
      </c>
      <c r="N64" s="500"/>
      <c r="O64" s="500"/>
      <c r="P64" s="500"/>
      <c r="Q64" s="500"/>
      <c r="R64" s="500"/>
      <c r="S64" s="500"/>
      <c r="T64" s="500"/>
      <c r="U64" s="542"/>
      <c r="V64" s="606">
        <f t="shared" si="5"/>
        <v>0</v>
      </c>
      <c r="W64" s="624">
        <f t="shared" si="6"/>
        <v>200000</v>
      </c>
      <c r="Y64" s="602"/>
    </row>
    <row r="65" spans="1:25">
      <c r="A65" s="923"/>
      <c r="B65" s="632" t="s">
        <v>287</v>
      </c>
      <c r="C65" s="500"/>
      <c r="D65" s="500">
        <v>634000</v>
      </c>
      <c r="E65" s="500"/>
      <c r="F65" s="500"/>
      <c r="G65" s="500"/>
      <c r="H65" s="500"/>
      <c r="I65" s="500"/>
      <c r="J65" s="500"/>
      <c r="K65" s="500"/>
      <c r="L65" s="500"/>
      <c r="M65" s="623">
        <f t="shared" si="4"/>
        <v>634000</v>
      </c>
      <c r="N65" s="500"/>
      <c r="O65" s="500"/>
      <c r="P65" s="500"/>
      <c r="Q65" s="500"/>
      <c r="R65" s="500"/>
      <c r="S65" s="500"/>
      <c r="T65" s="500"/>
      <c r="U65" s="542"/>
      <c r="V65" s="606">
        <f t="shared" si="5"/>
        <v>0</v>
      </c>
      <c r="W65" s="624">
        <f t="shared" si="6"/>
        <v>634000</v>
      </c>
    </row>
    <row r="66" spans="1:25">
      <c r="A66" s="923"/>
      <c r="B66" s="626" t="s">
        <v>288</v>
      </c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623">
        <f t="shared" si="4"/>
        <v>0</v>
      </c>
      <c r="N66" s="500"/>
      <c r="O66" s="500"/>
      <c r="P66" s="500"/>
      <c r="Q66" s="500"/>
      <c r="R66" s="500"/>
      <c r="S66" s="500"/>
      <c r="T66" s="500"/>
      <c r="U66" s="542">
        <v>2000000</v>
      </c>
      <c r="V66" s="606">
        <f t="shared" si="5"/>
        <v>2000000</v>
      </c>
      <c r="W66" s="624">
        <f t="shared" si="6"/>
        <v>-2000000</v>
      </c>
      <c r="X66" s="621"/>
      <c r="Y66" s="602"/>
    </row>
    <row r="67" spans="1:25">
      <c r="A67" s="923"/>
      <c r="B67" s="626" t="s">
        <v>289</v>
      </c>
      <c r="C67" s="500"/>
      <c r="D67" s="500"/>
      <c r="E67" s="500"/>
      <c r="F67" s="500"/>
      <c r="G67" s="500"/>
      <c r="H67" s="500"/>
      <c r="I67" s="500"/>
      <c r="J67" s="500"/>
      <c r="K67" s="500">
        <v>1600000</v>
      </c>
      <c r="L67" s="500"/>
      <c r="M67" s="623">
        <f t="shared" si="4"/>
        <v>1600000</v>
      </c>
      <c r="N67" s="500"/>
      <c r="O67" s="500"/>
      <c r="P67" s="500"/>
      <c r="Q67" s="500"/>
      <c r="R67" s="500"/>
      <c r="S67" s="500"/>
      <c r="T67" s="500"/>
      <c r="U67" s="542"/>
      <c r="V67" s="606">
        <f t="shared" si="5"/>
        <v>0</v>
      </c>
      <c r="W67" s="624">
        <f t="shared" si="6"/>
        <v>1600000</v>
      </c>
    </row>
    <row r="68" spans="1:25">
      <c r="A68" s="923"/>
      <c r="B68" s="626" t="s">
        <v>290</v>
      </c>
      <c r="C68" s="500"/>
      <c r="D68" s="500"/>
      <c r="E68" s="500"/>
      <c r="F68" s="500"/>
      <c r="G68" s="500"/>
      <c r="H68" s="500"/>
      <c r="I68" s="500"/>
      <c r="J68" s="500"/>
      <c r="K68" s="500">
        <v>340000</v>
      </c>
      <c r="L68" s="500"/>
      <c r="M68" s="623">
        <f t="shared" si="4"/>
        <v>340000</v>
      </c>
      <c r="N68" s="500"/>
      <c r="O68" s="500"/>
      <c r="P68" s="500"/>
      <c r="Q68" s="500"/>
      <c r="R68" s="500"/>
      <c r="S68" s="500"/>
      <c r="T68" s="500"/>
      <c r="U68" s="542"/>
      <c r="V68" s="606">
        <f t="shared" si="5"/>
        <v>0</v>
      </c>
      <c r="W68" s="624">
        <f t="shared" si="6"/>
        <v>340000</v>
      </c>
    </row>
    <row r="69" spans="1:25">
      <c r="A69" s="923"/>
      <c r="B69" s="626" t="s">
        <v>265</v>
      </c>
      <c r="C69" s="500"/>
      <c r="D69" s="500"/>
      <c r="E69" s="500"/>
      <c r="F69" s="500"/>
      <c r="G69" s="500"/>
      <c r="H69" s="500"/>
      <c r="I69" s="500"/>
      <c r="J69" s="500"/>
      <c r="K69" s="500">
        <v>100000</v>
      </c>
      <c r="L69" s="500"/>
      <c r="M69" s="623">
        <f t="shared" si="4"/>
        <v>100000</v>
      </c>
      <c r="N69" s="500"/>
      <c r="O69" s="500"/>
      <c r="P69" s="500"/>
      <c r="Q69" s="500"/>
      <c r="R69" s="500"/>
      <c r="S69" s="500"/>
      <c r="T69" s="500"/>
      <c r="U69" s="542"/>
      <c r="V69" s="606">
        <f t="shared" si="5"/>
        <v>0</v>
      </c>
      <c r="W69" s="624">
        <f t="shared" si="6"/>
        <v>100000</v>
      </c>
    </row>
    <row r="70" spans="1:25">
      <c r="A70" s="923"/>
      <c r="B70" s="629" t="s">
        <v>291</v>
      </c>
      <c r="C70" s="633"/>
      <c r="D70" s="500"/>
      <c r="E70" s="500"/>
      <c r="F70" s="500"/>
      <c r="G70" s="500"/>
      <c r="H70" s="500"/>
      <c r="I70" s="500"/>
      <c r="J70" s="500"/>
      <c r="K70" s="500">
        <v>330000</v>
      </c>
      <c r="L70" s="500"/>
      <c r="M70" s="606">
        <f>SUM(C70:K70)</f>
        <v>330000</v>
      </c>
      <c r="N70" s="500"/>
      <c r="O70" s="500"/>
      <c r="P70" s="500"/>
      <c r="Q70" s="500"/>
      <c r="R70" s="500"/>
      <c r="S70" s="500"/>
      <c r="T70" s="500"/>
      <c r="U70" s="542"/>
      <c r="V70" s="606">
        <f t="shared" si="5"/>
        <v>0</v>
      </c>
      <c r="W70" s="624">
        <f t="shared" si="6"/>
        <v>330000</v>
      </c>
    </row>
    <row r="71" spans="1:25">
      <c r="A71" s="923"/>
      <c r="B71" s="626" t="s">
        <v>292</v>
      </c>
      <c r="C71" s="500"/>
      <c r="D71" s="500"/>
      <c r="E71" s="500"/>
      <c r="F71" s="500"/>
      <c r="G71" s="500"/>
      <c r="H71" s="500"/>
      <c r="I71" s="500"/>
      <c r="J71" s="500"/>
      <c r="K71" s="500">
        <v>50000</v>
      </c>
      <c r="L71" s="500"/>
      <c r="M71" s="606">
        <f>SUM(C71:K71)</f>
        <v>50000</v>
      </c>
      <c r="N71" s="500"/>
      <c r="O71" s="500"/>
      <c r="P71" s="500"/>
      <c r="Q71" s="500"/>
      <c r="R71" s="500"/>
      <c r="S71" s="500"/>
      <c r="T71" s="500"/>
      <c r="U71" s="542"/>
      <c r="V71" s="606">
        <f t="shared" si="5"/>
        <v>0</v>
      </c>
      <c r="W71" s="624">
        <f t="shared" si="6"/>
        <v>50000</v>
      </c>
      <c r="Y71" s="621"/>
    </row>
    <row r="72" spans="1:25">
      <c r="A72" s="923"/>
      <c r="B72" s="626" t="s">
        <v>293</v>
      </c>
      <c r="C72" s="500"/>
      <c r="D72" s="500"/>
      <c r="E72" s="500"/>
      <c r="F72" s="500"/>
      <c r="G72" s="500"/>
      <c r="H72" s="500"/>
      <c r="I72" s="500"/>
      <c r="J72" s="500"/>
      <c r="K72" s="500">
        <v>100000</v>
      </c>
      <c r="L72" s="500"/>
      <c r="M72" s="606">
        <f>SUM(C72:K72)</f>
        <v>100000</v>
      </c>
      <c r="N72" s="500"/>
      <c r="O72" s="500"/>
      <c r="P72" s="500"/>
      <c r="Q72" s="500"/>
      <c r="R72" s="500"/>
      <c r="S72" s="500"/>
      <c r="T72" s="500"/>
      <c r="U72" s="542"/>
      <c r="V72" s="606">
        <f t="shared" si="5"/>
        <v>0</v>
      </c>
      <c r="W72" s="624">
        <f t="shared" si="6"/>
        <v>100000</v>
      </c>
      <c r="Y72" s="621"/>
    </row>
    <row r="73" spans="1:25">
      <c r="A73" s="844" t="s">
        <v>294</v>
      </c>
      <c r="B73" s="626" t="s">
        <v>295</v>
      </c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606">
        <f>SUM(C73:K73)</f>
        <v>0</v>
      </c>
      <c r="N73" s="500"/>
      <c r="O73" s="500"/>
      <c r="P73" s="500"/>
      <c r="Q73" s="500"/>
      <c r="R73" s="500"/>
      <c r="S73" s="500"/>
      <c r="T73" s="500">
        <v>150000</v>
      </c>
      <c r="U73" s="542"/>
      <c r="V73" s="606">
        <f t="shared" si="5"/>
        <v>150000</v>
      </c>
      <c r="W73" s="624">
        <f t="shared" si="6"/>
        <v>-150000</v>
      </c>
      <c r="Y73" s="621"/>
    </row>
    <row r="74" spans="1:25">
      <c r="A74" s="924" t="s">
        <v>296</v>
      </c>
      <c r="B74" s="626" t="s">
        <v>297</v>
      </c>
      <c r="C74" s="500"/>
      <c r="D74" s="500">
        <v>100000</v>
      </c>
      <c r="E74" s="500"/>
      <c r="F74" s="500"/>
      <c r="G74" s="500"/>
      <c r="H74" s="500"/>
      <c r="I74" s="500"/>
      <c r="J74" s="500"/>
      <c r="K74" s="500"/>
      <c r="L74" s="500"/>
      <c r="M74" s="606">
        <f t="shared" ref="M74:M84" si="7">SUM(C74:K74)</f>
        <v>100000</v>
      </c>
      <c r="N74" s="500"/>
      <c r="O74" s="500"/>
      <c r="P74" s="500"/>
      <c r="Q74" s="500"/>
      <c r="R74" s="500"/>
      <c r="S74" s="500"/>
      <c r="T74" s="500"/>
      <c r="U74" s="542"/>
      <c r="V74" s="606">
        <f t="shared" si="5"/>
        <v>0</v>
      </c>
      <c r="W74" s="624">
        <f t="shared" si="6"/>
        <v>100000</v>
      </c>
      <c r="Y74" s="621"/>
    </row>
    <row r="75" spans="1:25">
      <c r="A75" s="923"/>
      <c r="B75" s="626" t="s">
        <v>298</v>
      </c>
      <c r="C75" s="500">
        <v>500000</v>
      </c>
      <c r="D75" s="500"/>
      <c r="E75" s="500"/>
      <c r="F75" s="500"/>
      <c r="G75" s="500"/>
      <c r="H75" s="500"/>
      <c r="I75" s="500"/>
      <c r="J75" s="500"/>
      <c r="K75" s="500"/>
      <c r="L75" s="500"/>
      <c r="M75" s="606">
        <f t="shared" si="7"/>
        <v>500000</v>
      </c>
      <c r="N75" s="500"/>
      <c r="O75" s="500"/>
      <c r="P75" s="500"/>
      <c r="Q75" s="500"/>
      <c r="R75" s="500"/>
      <c r="S75" s="500"/>
      <c r="T75" s="500"/>
      <c r="U75" s="542"/>
      <c r="V75" s="606">
        <f t="shared" si="5"/>
        <v>0</v>
      </c>
      <c r="W75" s="624">
        <f t="shared" si="6"/>
        <v>500000</v>
      </c>
      <c r="Y75" s="602"/>
    </row>
    <row r="76" spans="1:25">
      <c r="A76" s="923"/>
      <c r="B76" s="626" t="s">
        <v>299</v>
      </c>
      <c r="C76" s="500"/>
      <c r="D76" s="500">
        <v>500000</v>
      </c>
      <c r="E76" s="500"/>
      <c r="F76" s="500"/>
      <c r="G76" s="500"/>
      <c r="H76" s="500"/>
      <c r="I76" s="500"/>
      <c r="J76" s="500"/>
      <c r="K76" s="500"/>
      <c r="L76" s="500"/>
      <c r="M76" s="606">
        <f t="shared" si="7"/>
        <v>500000</v>
      </c>
      <c r="N76" s="500"/>
      <c r="O76" s="500"/>
      <c r="P76" s="500"/>
      <c r="Q76" s="500"/>
      <c r="R76" s="500"/>
      <c r="S76" s="500"/>
      <c r="T76" s="500"/>
      <c r="U76" s="542"/>
      <c r="V76" s="606">
        <f t="shared" si="5"/>
        <v>0</v>
      </c>
      <c r="W76" s="624">
        <f t="shared" si="6"/>
        <v>500000</v>
      </c>
      <c r="X76" s="602"/>
      <c r="Y76" s="602">
        <f>SUM(V75:V80)</f>
        <v>500000</v>
      </c>
    </row>
    <row r="77" spans="1:25">
      <c r="A77" s="924" t="s">
        <v>300</v>
      </c>
      <c r="B77" s="626" t="s">
        <v>301</v>
      </c>
      <c r="C77" s="500">
        <v>325000</v>
      </c>
      <c r="D77" s="500"/>
      <c r="E77" s="500"/>
      <c r="F77" s="500"/>
      <c r="G77" s="500"/>
      <c r="H77" s="500"/>
      <c r="I77" s="500"/>
      <c r="J77" s="500"/>
      <c r="K77" s="500"/>
      <c r="L77" s="500"/>
      <c r="M77" s="606">
        <f t="shared" si="7"/>
        <v>325000</v>
      </c>
      <c r="N77" s="500"/>
      <c r="O77" s="500"/>
      <c r="P77" s="500"/>
      <c r="Q77" s="500"/>
      <c r="R77" s="500"/>
      <c r="S77" s="500"/>
      <c r="T77" s="500"/>
      <c r="U77" s="542"/>
      <c r="V77" s="606">
        <f t="shared" si="5"/>
        <v>0</v>
      </c>
      <c r="W77" s="624">
        <f t="shared" si="6"/>
        <v>325000</v>
      </c>
      <c r="X77" s="602">
        <f>T217+N217</f>
        <v>1890000</v>
      </c>
      <c r="Y77" s="602" t="e">
        <f>SUM(NERACA!#REF!)</f>
        <v>#REF!</v>
      </c>
    </row>
    <row r="78" spans="1:25">
      <c r="A78" s="923"/>
      <c r="B78" s="626" t="s">
        <v>302</v>
      </c>
      <c r="C78" s="500">
        <v>150000</v>
      </c>
      <c r="D78" s="500"/>
      <c r="E78" s="500"/>
      <c r="F78" s="500"/>
      <c r="G78" s="500"/>
      <c r="H78" s="500"/>
      <c r="I78" s="500"/>
      <c r="J78" s="500"/>
      <c r="K78" s="500"/>
      <c r="L78" s="500"/>
      <c r="M78" s="606">
        <f t="shared" si="7"/>
        <v>150000</v>
      </c>
      <c r="N78" s="500"/>
      <c r="O78" s="500"/>
      <c r="P78" s="500"/>
      <c r="Q78" s="500"/>
      <c r="R78" s="500"/>
      <c r="S78" s="500"/>
      <c r="T78" s="500"/>
      <c r="U78" s="542"/>
      <c r="V78" s="606">
        <f t="shared" si="5"/>
        <v>0</v>
      </c>
      <c r="W78" s="624">
        <f t="shared" si="6"/>
        <v>150000</v>
      </c>
      <c r="X78" s="602"/>
      <c r="Y78" s="602" t="e">
        <f>Y76-Y77</f>
        <v>#REF!</v>
      </c>
    </row>
    <row r="79" spans="1:25">
      <c r="A79" s="923"/>
      <c r="B79" s="626" t="s">
        <v>303</v>
      </c>
      <c r="C79" s="500">
        <v>100000</v>
      </c>
      <c r="D79" s="500"/>
      <c r="E79" s="500"/>
      <c r="F79" s="500"/>
      <c r="G79" s="500"/>
      <c r="H79" s="500"/>
      <c r="I79" s="500"/>
      <c r="J79" s="500"/>
      <c r="K79" s="500"/>
      <c r="L79" s="500"/>
      <c r="M79" s="606">
        <f t="shared" si="7"/>
        <v>100000</v>
      </c>
      <c r="N79" s="500"/>
      <c r="O79" s="500"/>
      <c r="P79" s="500"/>
      <c r="Q79" s="500"/>
      <c r="R79" s="500"/>
      <c r="S79" s="500"/>
      <c r="T79" s="500"/>
      <c r="U79" s="542"/>
      <c r="V79" s="606">
        <f t="shared" si="5"/>
        <v>0</v>
      </c>
      <c r="W79" s="624">
        <f t="shared" si="6"/>
        <v>100000</v>
      </c>
      <c r="X79" s="602"/>
    </row>
    <row r="80" spans="1:25">
      <c r="A80" s="923"/>
      <c r="B80" s="626" t="s">
        <v>304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606">
        <f t="shared" si="7"/>
        <v>0</v>
      </c>
      <c r="N80" s="500"/>
      <c r="O80" s="500">
        <v>500000</v>
      </c>
      <c r="P80" s="500"/>
      <c r="Q80" s="500"/>
      <c r="R80" s="500"/>
      <c r="S80" s="500"/>
      <c r="T80" s="500"/>
      <c r="U80" s="542"/>
      <c r="V80" s="606">
        <f t="shared" si="5"/>
        <v>500000</v>
      </c>
      <c r="W80" s="624">
        <f t="shared" si="6"/>
        <v>-500000</v>
      </c>
      <c r="X80" s="602"/>
    </row>
    <row r="81" spans="1:25">
      <c r="A81" s="923"/>
      <c r="B81" s="634" t="s">
        <v>265</v>
      </c>
      <c r="C81" s="610"/>
      <c r="D81" s="610"/>
      <c r="E81" s="610"/>
      <c r="F81" s="610"/>
      <c r="G81" s="610"/>
      <c r="H81" s="610"/>
      <c r="I81" s="610"/>
      <c r="J81" s="610"/>
      <c r="K81" s="610"/>
      <c r="L81" s="610"/>
      <c r="M81" s="612">
        <f t="shared" si="7"/>
        <v>0</v>
      </c>
      <c r="N81" s="610"/>
      <c r="O81" s="610"/>
      <c r="P81" s="610"/>
      <c r="Q81" s="610"/>
      <c r="R81" s="610"/>
      <c r="S81" s="610">
        <v>150000</v>
      </c>
      <c r="T81" s="610"/>
      <c r="U81" s="609"/>
      <c r="V81" s="612">
        <f t="shared" si="5"/>
        <v>150000</v>
      </c>
      <c r="W81" s="620">
        <f t="shared" si="6"/>
        <v>-150000</v>
      </c>
      <c r="X81" s="602"/>
    </row>
    <row r="82" spans="1:25">
      <c r="A82" s="923"/>
      <c r="B82" s="626" t="s">
        <v>305</v>
      </c>
      <c r="C82" s="500"/>
      <c r="D82" s="500">
        <v>33600000</v>
      </c>
      <c r="E82" s="500"/>
      <c r="F82" s="500"/>
      <c r="G82" s="500"/>
      <c r="H82" s="500"/>
      <c r="I82" s="500"/>
      <c r="J82" s="500"/>
      <c r="K82" s="500"/>
      <c r="L82" s="500"/>
      <c r="M82" s="606">
        <f t="shared" si="7"/>
        <v>33600000</v>
      </c>
      <c r="N82" s="500"/>
      <c r="O82" s="500"/>
      <c r="P82" s="500"/>
      <c r="Q82" s="500"/>
      <c r="R82" s="500"/>
      <c r="S82" s="500"/>
      <c r="T82" s="500"/>
      <c r="U82" s="542"/>
      <c r="V82" s="606">
        <f t="shared" si="5"/>
        <v>0</v>
      </c>
      <c r="W82" s="624">
        <f t="shared" si="6"/>
        <v>33600000</v>
      </c>
      <c r="X82" s="602"/>
    </row>
    <row r="83" spans="1:25">
      <c r="A83" s="923"/>
      <c r="B83" s="626" t="s">
        <v>306</v>
      </c>
      <c r="C83" s="500">
        <v>100000</v>
      </c>
      <c r="D83" s="500"/>
      <c r="E83" s="500"/>
      <c r="F83" s="500"/>
      <c r="G83" s="500"/>
      <c r="H83" s="500"/>
      <c r="I83" s="500"/>
      <c r="J83" s="500"/>
      <c r="K83" s="500"/>
      <c r="L83" s="500"/>
      <c r="M83" s="606">
        <f t="shared" si="7"/>
        <v>100000</v>
      </c>
      <c r="N83" s="500"/>
      <c r="O83" s="500"/>
      <c r="P83" s="500"/>
      <c r="Q83" s="500"/>
      <c r="R83" s="500"/>
      <c r="S83" s="500"/>
      <c r="T83" s="500"/>
      <c r="U83" s="542"/>
      <c r="V83" s="606">
        <f t="shared" si="5"/>
        <v>0</v>
      </c>
      <c r="W83" s="624">
        <f t="shared" si="6"/>
        <v>100000</v>
      </c>
      <c r="X83" s="602"/>
    </row>
    <row r="84" spans="1:25">
      <c r="A84" s="925"/>
      <c r="B84" s="626" t="s">
        <v>307</v>
      </c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606">
        <f t="shared" si="7"/>
        <v>0</v>
      </c>
      <c r="N84" s="500"/>
      <c r="O84" s="500"/>
      <c r="P84" s="500"/>
      <c r="Q84" s="500"/>
      <c r="R84" s="500"/>
      <c r="S84" s="500"/>
      <c r="T84" s="500">
        <v>100000</v>
      </c>
      <c r="U84" s="542"/>
      <c r="V84" s="606">
        <f t="shared" si="5"/>
        <v>100000</v>
      </c>
      <c r="W84" s="624">
        <f t="shared" si="6"/>
        <v>-100000</v>
      </c>
      <c r="X84" s="602"/>
    </row>
    <row r="85" spans="1:25">
      <c r="A85" s="926" t="s">
        <v>308</v>
      </c>
      <c r="B85" s="626" t="s">
        <v>309</v>
      </c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606">
        <f>SUM(C85:L85)</f>
        <v>0</v>
      </c>
      <c r="N85" s="500"/>
      <c r="O85" s="500"/>
      <c r="P85" s="500"/>
      <c r="Q85" s="500"/>
      <c r="R85" s="500"/>
      <c r="S85" s="500"/>
      <c r="T85" s="500">
        <v>500000</v>
      </c>
      <c r="U85" s="542"/>
      <c r="V85" s="606">
        <f t="shared" si="5"/>
        <v>500000</v>
      </c>
      <c r="W85" s="624">
        <f t="shared" si="6"/>
        <v>-500000</v>
      </c>
      <c r="X85" s="602"/>
    </row>
    <row r="86" spans="1:25">
      <c r="A86" s="927"/>
      <c r="B86" s="626" t="s">
        <v>229</v>
      </c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606">
        <f>SUM(C86:L86)</f>
        <v>0</v>
      </c>
      <c r="N86" s="500"/>
      <c r="O86" s="500"/>
      <c r="P86" s="500"/>
      <c r="Q86" s="500"/>
      <c r="R86" s="500"/>
      <c r="S86" s="500"/>
      <c r="T86" s="500"/>
      <c r="U86" s="542">
        <v>1500000</v>
      </c>
      <c r="V86" s="606">
        <f t="shared" ref="V86:V97" si="8">SUM(N86:U86)</f>
        <v>1500000</v>
      </c>
      <c r="W86" s="624">
        <f t="shared" ref="W86:W97" si="9">SUM(M86-V86)</f>
        <v>-1500000</v>
      </c>
      <c r="X86" s="602"/>
    </row>
    <row r="87" spans="1:25">
      <c r="A87" s="927"/>
      <c r="B87" s="626" t="s">
        <v>310</v>
      </c>
      <c r="C87" s="500"/>
      <c r="D87" s="500">
        <v>5000000</v>
      </c>
      <c r="E87" s="500"/>
      <c r="F87" s="500"/>
      <c r="G87" s="500"/>
      <c r="H87" s="500"/>
      <c r="I87" s="500"/>
      <c r="J87" s="500"/>
      <c r="K87" s="500"/>
      <c r="L87" s="500"/>
      <c r="M87" s="606">
        <f>SUM(C87:K87)</f>
        <v>5000000</v>
      </c>
      <c r="N87" s="500"/>
      <c r="O87" s="500"/>
      <c r="P87" s="500"/>
      <c r="Q87" s="500"/>
      <c r="R87" s="500"/>
      <c r="S87" s="500"/>
      <c r="T87" s="500"/>
      <c r="U87" s="542"/>
      <c r="V87" s="606">
        <f t="shared" si="8"/>
        <v>0</v>
      </c>
      <c r="W87" s="624">
        <f t="shared" si="9"/>
        <v>5000000</v>
      </c>
      <c r="X87" s="602"/>
    </row>
    <row r="88" spans="1:25">
      <c r="A88" s="927"/>
      <c r="B88" s="634" t="s">
        <v>311</v>
      </c>
      <c r="C88" s="610"/>
      <c r="D88" s="610"/>
      <c r="E88" s="610"/>
      <c r="F88" s="610"/>
      <c r="G88" s="610"/>
      <c r="H88" s="610"/>
      <c r="I88" s="610"/>
      <c r="J88" s="610"/>
      <c r="K88" s="610"/>
      <c r="L88" s="610"/>
      <c r="M88" s="612">
        <f>SUM(C88:K88)</f>
        <v>0</v>
      </c>
      <c r="N88" s="610"/>
      <c r="O88" s="610"/>
      <c r="P88" s="610"/>
      <c r="Q88" s="610"/>
      <c r="R88" s="610"/>
      <c r="S88" s="610">
        <v>5000000</v>
      </c>
      <c r="T88" s="610"/>
      <c r="U88" s="609"/>
      <c r="V88" s="612">
        <f t="shared" si="8"/>
        <v>5000000</v>
      </c>
      <c r="W88" s="620">
        <f t="shared" si="9"/>
        <v>-5000000</v>
      </c>
      <c r="X88" s="602"/>
    </row>
    <row r="89" spans="1:25" s="589" customFormat="1">
      <c r="A89" s="927"/>
      <c r="B89" s="626" t="s">
        <v>312</v>
      </c>
      <c r="C89" s="542"/>
      <c r="D89" s="542"/>
      <c r="E89" s="606"/>
      <c r="F89" s="606"/>
      <c r="G89" s="542"/>
      <c r="H89" s="606"/>
      <c r="I89" s="606"/>
      <c r="J89" s="606"/>
      <c r="K89" s="606"/>
      <c r="L89" s="606"/>
      <c r="M89" s="606">
        <f>SUM(C89:L89)</f>
        <v>0</v>
      </c>
      <c r="N89" s="606"/>
      <c r="O89" s="606"/>
      <c r="P89" s="606"/>
      <c r="Q89" s="606"/>
      <c r="R89" s="606"/>
      <c r="S89" s="542"/>
      <c r="T89" s="542">
        <v>100000</v>
      </c>
      <c r="U89" s="542"/>
      <c r="V89" s="606">
        <f t="shared" si="8"/>
        <v>100000</v>
      </c>
      <c r="W89" s="624">
        <f t="shared" si="9"/>
        <v>-100000</v>
      </c>
      <c r="X89" s="635"/>
      <c r="Y89" s="635"/>
    </row>
    <row r="90" spans="1:25" s="589" customFormat="1">
      <c r="A90" s="927"/>
      <c r="B90" s="626" t="s">
        <v>313</v>
      </c>
      <c r="C90" s="542"/>
      <c r="D90" s="542">
        <v>200000</v>
      </c>
      <c r="E90" s="606"/>
      <c r="F90" s="606"/>
      <c r="G90" s="606"/>
      <c r="H90" s="542"/>
      <c r="I90" s="606"/>
      <c r="J90" s="606"/>
      <c r="K90" s="606"/>
      <c r="L90" s="606"/>
      <c r="M90" s="606">
        <f>SUM(C90:K90)</f>
        <v>200000</v>
      </c>
      <c r="N90" s="606"/>
      <c r="O90" s="606"/>
      <c r="P90" s="606"/>
      <c r="Q90" s="606"/>
      <c r="R90" s="606"/>
      <c r="S90" s="606"/>
      <c r="T90" s="542"/>
      <c r="U90" s="606"/>
      <c r="V90" s="606">
        <f t="shared" si="8"/>
        <v>0</v>
      </c>
      <c r="W90" s="624">
        <f t="shared" si="9"/>
        <v>200000</v>
      </c>
      <c r="X90" s="635"/>
      <c r="Y90" s="635"/>
    </row>
    <row r="91" spans="1:25" s="589" customFormat="1">
      <c r="A91" s="927"/>
      <c r="B91" s="626" t="s">
        <v>314</v>
      </c>
      <c r="C91" s="542"/>
      <c r="D91" s="542">
        <v>140000</v>
      </c>
      <c r="E91" s="606"/>
      <c r="F91" s="606"/>
      <c r="G91" s="542"/>
      <c r="H91" s="606"/>
      <c r="I91" s="606"/>
      <c r="J91" s="606"/>
      <c r="K91" s="606"/>
      <c r="L91" s="606"/>
      <c r="M91" s="606">
        <f>SUM(C91:K91)</f>
        <v>140000</v>
      </c>
      <c r="N91" s="606"/>
      <c r="O91" s="606"/>
      <c r="P91" s="606"/>
      <c r="Q91" s="606"/>
      <c r="R91" s="606"/>
      <c r="S91" s="606"/>
      <c r="T91" s="606"/>
      <c r="U91" s="606"/>
      <c r="V91" s="606">
        <f t="shared" si="8"/>
        <v>0</v>
      </c>
      <c r="W91" s="624">
        <f t="shared" si="9"/>
        <v>140000</v>
      </c>
      <c r="X91" s="635"/>
      <c r="Y91" s="635"/>
    </row>
    <row r="92" spans="1:25" s="589" customFormat="1">
      <c r="A92" s="927"/>
      <c r="B92" s="626" t="s">
        <v>315</v>
      </c>
      <c r="C92" s="542"/>
      <c r="D92" s="542">
        <v>110000</v>
      </c>
      <c r="E92" s="542"/>
      <c r="F92" s="542"/>
      <c r="G92" s="542"/>
      <c r="H92" s="542"/>
      <c r="I92" s="542"/>
      <c r="J92" s="542"/>
      <c r="K92" s="542"/>
      <c r="L92" s="542"/>
      <c r="M92" s="606">
        <f>SUM(C92:L92)</f>
        <v>110000</v>
      </c>
      <c r="N92" s="606"/>
      <c r="O92" s="606"/>
      <c r="P92" s="606"/>
      <c r="Q92" s="606"/>
      <c r="R92" s="606"/>
      <c r="S92" s="606"/>
      <c r="T92" s="606"/>
      <c r="U92" s="606"/>
      <c r="V92" s="606">
        <f t="shared" si="8"/>
        <v>0</v>
      </c>
      <c r="W92" s="624">
        <f t="shared" si="9"/>
        <v>110000</v>
      </c>
      <c r="X92" s="635"/>
      <c r="Y92" s="635"/>
    </row>
    <row r="93" spans="1:25" s="589" customFormat="1">
      <c r="A93" s="927"/>
      <c r="B93" s="626" t="s">
        <v>316</v>
      </c>
      <c r="C93" s="542"/>
      <c r="D93" s="542"/>
      <c r="E93" s="542"/>
      <c r="F93" s="542"/>
      <c r="G93" s="542"/>
      <c r="H93" s="542"/>
      <c r="I93" s="542"/>
      <c r="J93" s="542"/>
      <c r="K93" s="542"/>
      <c r="L93" s="542"/>
      <c r="M93" s="606">
        <f t="shared" ref="M93:M98" si="10">SUM(C93:K93)</f>
        <v>0</v>
      </c>
      <c r="N93" s="606">
        <v>5000000</v>
      </c>
      <c r="O93" s="606"/>
      <c r="P93" s="606"/>
      <c r="Q93" s="606"/>
      <c r="R93" s="606"/>
      <c r="S93" s="606"/>
      <c r="T93" s="606"/>
      <c r="U93" s="542"/>
      <c r="V93" s="606">
        <f t="shared" si="8"/>
        <v>5000000</v>
      </c>
      <c r="W93" s="624">
        <f t="shared" si="9"/>
        <v>-5000000</v>
      </c>
      <c r="X93" s="635"/>
      <c r="Y93" s="635"/>
    </row>
    <row r="94" spans="1:25" s="589" customFormat="1">
      <c r="A94" s="927"/>
      <c r="B94" s="626" t="s">
        <v>317</v>
      </c>
      <c r="C94" s="542">
        <v>1913390.05</v>
      </c>
      <c r="D94" s="542"/>
      <c r="E94" s="542"/>
      <c r="F94" s="542"/>
      <c r="G94" s="542"/>
      <c r="H94" s="542"/>
      <c r="I94" s="542"/>
      <c r="J94" s="542"/>
      <c r="K94" s="542"/>
      <c r="L94" s="542"/>
      <c r="M94" s="606">
        <f t="shared" si="10"/>
        <v>1913390.05</v>
      </c>
      <c r="N94" s="606"/>
      <c r="O94" s="606"/>
      <c r="P94" s="606"/>
      <c r="Q94" s="606"/>
      <c r="R94" s="606"/>
      <c r="S94" s="606"/>
      <c r="T94" s="606"/>
      <c r="U94" s="606"/>
      <c r="V94" s="606">
        <f t="shared" si="8"/>
        <v>0</v>
      </c>
      <c r="W94" s="624">
        <f t="shared" si="9"/>
        <v>1913390.05</v>
      </c>
      <c r="X94" s="635"/>
      <c r="Y94" s="635"/>
    </row>
    <row r="95" spans="1:25" s="589" customFormat="1">
      <c r="A95" s="927"/>
      <c r="B95" s="626" t="s">
        <v>317</v>
      </c>
      <c r="C95" s="542"/>
      <c r="D95" s="542"/>
      <c r="E95" s="542"/>
      <c r="F95" s="542"/>
      <c r="G95" s="542"/>
      <c r="H95" s="542"/>
      <c r="I95" s="542"/>
      <c r="J95" s="542"/>
      <c r="K95" s="542"/>
      <c r="L95" s="542"/>
      <c r="M95" s="606">
        <f t="shared" si="10"/>
        <v>0</v>
      </c>
      <c r="N95" s="606">
        <v>10000000</v>
      </c>
      <c r="O95" s="606"/>
      <c r="P95" s="606"/>
      <c r="Q95" s="606"/>
      <c r="R95" s="606"/>
      <c r="S95" s="606"/>
      <c r="T95" s="606"/>
      <c r="U95" s="606"/>
      <c r="V95" s="606">
        <f t="shared" si="8"/>
        <v>10000000</v>
      </c>
      <c r="W95" s="624">
        <f t="shared" si="9"/>
        <v>-10000000</v>
      </c>
      <c r="X95" s="635"/>
      <c r="Y95" s="635"/>
    </row>
    <row r="96" spans="1:25" s="589" customFormat="1">
      <c r="A96" s="927"/>
      <c r="B96" s="626" t="s">
        <v>229</v>
      </c>
      <c r="C96" s="542"/>
      <c r="D96" s="542"/>
      <c r="E96" s="542"/>
      <c r="F96" s="542"/>
      <c r="G96" s="542"/>
      <c r="H96" s="542"/>
      <c r="I96" s="542"/>
      <c r="J96" s="542"/>
      <c r="K96" s="542"/>
      <c r="L96" s="542"/>
      <c r="M96" s="606">
        <f t="shared" si="10"/>
        <v>0</v>
      </c>
      <c r="N96" s="606"/>
      <c r="O96" s="606"/>
      <c r="P96" s="606"/>
      <c r="Q96" s="606"/>
      <c r="R96" s="606"/>
      <c r="S96" s="606"/>
      <c r="T96" s="606">
        <v>200000</v>
      </c>
      <c r="U96" s="606"/>
      <c r="V96" s="606">
        <f t="shared" si="8"/>
        <v>200000</v>
      </c>
      <c r="W96" s="624">
        <f t="shared" si="9"/>
        <v>-200000</v>
      </c>
      <c r="X96" s="635"/>
      <c r="Y96" s="635"/>
    </row>
    <row r="97" spans="1:25" s="589" customFormat="1">
      <c r="A97" s="846" t="s">
        <v>318</v>
      </c>
      <c r="B97" s="626"/>
      <c r="C97" s="542"/>
      <c r="D97" s="542"/>
      <c r="E97" s="542"/>
      <c r="F97" s="542"/>
      <c r="G97" s="542"/>
      <c r="H97" s="542"/>
      <c r="I97" s="542"/>
      <c r="J97" s="542"/>
      <c r="K97" s="542"/>
      <c r="L97" s="542"/>
      <c r="M97" s="606">
        <f t="shared" si="10"/>
        <v>0</v>
      </c>
      <c r="N97" s="606"/>
      <c r="O97" s="606"/>
      <c r="P97" s="606"/>
      <c r="Q97" s="606"/>
      <c r="R97" s="606"/>
      <c r="S97" s="606"/>
      <c r="T97" s="606"/>
      <c r="U97" s="606"/>
      <c r="V97" s="606">
        <f t="shared" si="8"/>
        <v>0</v>
      </c>
      <c r="W97" s="624">
        <f t="shared" si="9"/>
        <v>0</v>
      </c>
      <c r="X97" s="635"/>
      <c r="Y97" s="635"/>
    </row>
    <row r="98" spans="1:25" s="589" customFormat="1">
      <c r="A98" s="846" t="s">
        <v>319</v>
      </c>
      <c r="B98" s="626"/>
      <c r="C98" s="542"/>
      <c r="D98" s="542"/>
      <c r="E98" s="542"/>
      <c r="F98" s="542"/>
      <c r="G98" s="542"/>
      <c r="H98" s="542"/>
      <c r="I98" s="542"/>
      <c r="J98" s="542"/>
      <c r="K98" s="542"/>
      <c r="L98" s="542"/>
      <c r="M98" s="606">
        <f t="shared" si="10"/>
        <v>0</v>
      </c>
      <c r="N98" s="606"/>
      <c r="O98" s="606"/>
      <c r="P98" s="606"/>
      <c r="Q98" s="606"/>
      <c r="R98" s="606"/>
      <c r="S98" s="606"/>
      <c r="T98" s="606"/>
      <c r="U98" s="606"/>
      <c r="V98" s="606">
        <f t="shared" ref="V98:V116" si="11">SUM(N98:U98)</f>
        <v>0</v>
      </c>
      <c r="W98" s="624">
        <f t="shared" ref="W98:W116" si="12">SUM(M98-V98)</f>
        <v>0</v>
      </c>
      <c r="X98" s="635"/>
      <c r="Y98" s="635"/>
    </row>
    <row r="99" spans="1:25" s="589" customFormat="1">
      <c r="A99" s="846" t="s">
        <v>320</v>
      </c>
      <c r="B99" s="626"/>
      <c r="C99" s="542"/>
      <c r="D99" s="542"/>
      <c r="E99" s="542"/>
      <c r="F99" s="542"/>
      <c r="G99" s="542"/>
      <c r="H99" s="542"/>
      <c r="I99" s="542"/>
      <c r="J99" s="542"/>
      <c r="K99" s="542"/>
      <c r="L99" s="542"/>
      <c r="M99" s="606">
        <f>SUM(C99:L99)</f>
        <v>0</v>
      </c>
      <c r="N99" s="606"/>
      <c r="O99" s="606"/>
      <c r="P99" s="606"/>
      <c r="Q99" s="606"/>
      <c r="R99" s="606"/>
      <c r="S99" s="606"/>
      <c r="T99" s="606"/>
      <c r="U99" s="606"/>
      <c r="V99" s="606">
        <f t="shared" si="11"/>
        <v>0</v>
      </c>
      <c r="W99" s="624">
        <f t="shared" si="12"/>
        <v>0</v>
      </c>
      <c r="X99" s="635"/>
      <c r="Y99" s="635">
        <v>3958000</v>
      </c>
    </row>
    <row r="100" spans="1:25" s="589" customFormat="1">
      <c r="A100" s="846" t="s">
        <v>321</v>
      </c>
      <c r="B100" s="626"/>
      <c r="C100" s="542"/>
      <c r="D100" s="542"/>
      <c r="E100" s="542"/>
      <c r="F100" s="542"/>
      <c r="G100" s="542"/>
      <c r="H100" s="542"/>
      <c r="I100" s="542"/>
      <c r="J100" s="542"/>
      <c r="K100" s="542"/>
      <c r="L100" s="542"/>
      <c r="M100" s="606">
        <f>SUM(C100:L100)</f>
        <v>0</v>
      </c>
      <c r="N100" s="606"/>
      <c r="O100" s="606"/>
      <c r="P100" s="606"/>
      <c r="Q100" s="606"/>
      <c r="R100" s="606"/>
      <c r="S100" s="606"/>
      <c r="T100" s="606"/>
      <c r="U100" s="606"/>
      <c r="V100" s="606">
        <f t="shared" si="11"/>
        <v>0</v>
      </c>
      <c r="W100" s="624">
        <f t="shared" si="12"/>
        <v>0</v>
      </c>
      <c r="X100" s="635"/>
      <c r="Y100" s="635"/>
    </row>
    <row r="101" spans="1:25" s="589" customFormat="1">
      <c r="A101" s="928" t="s">
        <v>322</v>
      </c>
      <c r="B101" s="626" t="s">
        <v>323</v>
      </c>
      <c r="C101" s="542"/>
      <c r="D101" s="542">
        <v>390000</v>
      </c>
      <c r="E101" s="542"/>
      <c r="F101" s="542"/>
      <c r="G101" s="542"/>
      <c r="H101" s="542"/>
      <c r="I101" s="542"/>
      <c r="J101" s="542"/>
      <c r="K101" s="542"/>
      <c r="L101" s="542"/>
      <c r="M101" s="606">
        <f t="shared" ref="M101:M116" si="13">SUM(C101:K101)</f>
        <v>390000</v>
      </c>
      <c r="N101" s="606"/>
      <c r="O101" s="606"/>
      <c r="P101" s="606"/>
      <c r="Q101" s="606"/>
      <c r="R101" s="606"/>
      <c r="S101" s="606"/>
      <c r="T101" s="606"/>
      <c r="U101" s="606"/>
      <c r="V101" s="606">
        <f t="shared" si="11"/>
        <v>0</v>
      </c>
      <c r="W101" s="624">
        <f t="shared" si="12"/>
        <v>390000</v>
      </c>
      <c r="X101" s="635"/>
      <c r="Y101" s="635"/>
    </row>
    <row r="102" spans="1:25" s="589" customFormat="1">
      <c r="A102" s="929"/>
      <c r="B102" s="626" t="s">
        <v>324</v>
      </c>
      <c r="C102" s="542"/>
      <c r="D102" s="542">
        <v>150000</v>
      </c>
      <c r="E102" s="542"/>
      <c r="F102" s="542"/>
      <c r="G102" s="542"/>
      <c r="H102" s="542"/>
      <c r="I102" s="542"/>
      <c r="J102" s="542"/>
      <c r="K102" s="542"/>
      <c r="L102" s="542"/>
      <c r="M102" s="606">
        <f t="shared" si="13"/>
        <v>150000</v>
      </c>
      <c r="N102" s="606"/>
      <c r="O102" s="606"/>
      <c r="P102" s="606"/>
      <c r="Q102" s="606"/>
      <c r="R102" s="606"/>
      <c r="S102" s="606"/>
      <c r="T102" s="606"/>
      <c r="U102" s="606"/>
      <c r="V102" s="606">
        <f t="shared" si="11"/>
        <v>0</v>
      </c>
      <c r="W102" s="624">
        <f t="shared" si="12"/>
        <v>150000</v>
      </c>
      <c r="X102" s="635"/>
      <c r="Y102" s="635"/>
    </row>
    <row r="103" spans="1:25" s="589" customFormat="1">
      <c r="A103" s="929"/>
      <c r="B103" s="626" t="s">
        <v>325</v>
      </c>
      <c r="C103" s="542"/>
      <c r="D103" s="542">
        <v>12600000</v>
      </c>
      <c r="E103" s="542"/>
      <c r="F103" s="542"/>
      <c r="G103" s="542"/>
      <c r="H103" s="542"/>
      <c r="I103" s="542"/>
      <c r="J103" s="542"/>
      <c r="K103" s="542"/>
      <c r="L103" s="542"/>
      <c r="M103" s="606">
        <f t="shared" si="13"/>
        <v>12600000</v>
      </c>
      <c r="N103" s="606"/>
      <c r="O103" s="606"/>
      <c r="P103" s="606"/>
      <c r="Q103" s="606"/>
      <c r="R103" s="606"/>
      <c r="S103" s="542"/>
      <c r="T103" s="606"/>
      <c r="U103" s="606"/>
      <c r="V103" s="606">
        <f t="shared" si="11"/>
        <v>0</v>
      </c>
      <c r="W103" s="624">
        <f t="shared" si="12"/>
        <v>12600000</v>
      </c>
      <c r="X103" s="635"/>
      <c r="Y103" s="635"/>
    </row>
    <row r="104" spans="1:25" s="589" customFormat="1">
      <c r="A104" s="929"/>
      <c r="B104" s="626" t="s">
        <v>326</v>
      </c>
      <c r="C104" s="542"/>
      <c r="D104" s="542">
        <v>225000</v>
      </c>
      <c r="E104" s="542"/>
      <c r="F104" s="542"/>
      <c r="G104" s="542"/>
      <c r="H104" s="542"/>
      <c r="I104" s="542"/>
      <c r="J104" s="542"/>
      <c r="K104" s="542"/>
      <c r="L104" s="542"/>
      <c r="M104" s="606">
        <f t="shared" si="13"/>
        <v>225000</v>
      </c>
      <c r="N104" s="606"/>
      <c r="O104" s="606"/>
      <c r="P104" s="606"/>
      <c r="Q104" s="606"/>
      <c r="R104" s="606"/>
      <c r="S104" s="606"/>
      <c r="T104" s="606"/>
      <c r="U104" s="606"/>
      <c r="V104" s="606">
        <f t="shared" si="11"/>
        <v>0</v>
      </c>
      <c r="W104" s="624">
        <f t="shared" si="12"/>
        <v>225000</v>
      </c>
      <c r="X104" s="635"/>
      <c r="Y104" s="635"/>
    </row>
    <row r="105" spans="1:25" s="589" customFormat="1">
      <c r="A105" s="929"/>
      <c r="B105" s="626" t="s">
        <v>327</v>
      </c>
      <c r="C105" s="542"/>
      <c r="D105" s="542"/>
      <c r="E105" s="542"/>
      <c r="F105" s="542"/>
      <c r="G105" s="542"/>
      <c r="H105" s="542"/>
      <c r="I105" s="542"/>
      <c r="J105" s="542"/>
      <c r="K105" s="542"/>
      <c r="L105" s="542"/>
      <c r="M105" s="606">
        <f t="shared" si="13"/>
        <v>0</v>
      </c>
      <c r="N105" s="606"/>
      <c r="O105" s="606"/>
      <c r="P105" s="606"/>
      <c r="Q105" s="606"/>
      <c r="R105" s="606"/>
      <c r="S105" s="606"/>
      <c r="T105" s="606"/>
      <c r="U105" s="606">
        <v>925000</v>
      </c>
      <c r="V105" s="606">
        <f t="shared" si="11"/>
        <v>925000</v>
      </c>
      <c r="W105" s="624">
        <f t="shared" si="12"/>
        <v>-925000</v>
      </c>
      <c r="X105" s="635"/>
      <c r="Y105" s="635"/>
    </row>
    <row r="106" spans="1:25" s="589" customFormat="1">
      <c r="A106" s="929"/>
      <c r="B106" s="626" t="s">
        <v>328</v>
      </c>
      <c r="C106" s="542"/>
      <c r="D106" s="542"/>
      <c r="E106" s="542"/>
      <c r="F106" s="542"/>
      <c r="G106" s="542"/>
      <c r="H106" s="542"/>
      <c r="I106" s="542"/>
      <c r="J106" s="542"/>
      <c r="K106" s="542"/>
      <c r="L106" s="542"/>
      <c r="M106" s="606">
        <f t="shared" si="13"/>
        <v>0</v>
      </c>
      <c r="N106" s="606"/>
      <c r="O106" s="606"/>
      <c r="P106" s="606"/>
      <c r="Q106" s="606"/>
      <c r="R106" s="606"/>
      <c r="S106" s="606"/>
      <c r="T106" s="606">
        <v>100000</v>
      </c>
      <c r="U106" s="606"/>
      <c r="V106" s="606">
        <f t="shared" si="11"/>
        <v>100000</v>
      </c>
      <c r="W106" s="624">
        <f t="shared" si="12"/>
        <v>-100000</v>
      </c>
      <c r="X106" s="635"/>
      <c r="Y106" s="635"/>
    </row>
    <row r="107" spans="1:25" s="589" customFormat="1">
      <c r="A107" s="929"/>
      <c r="B107" s="626" t="s">
        <v>329</v>
      </c>
      <c r="C107" s="542"/>
      <c r="D107" s="542"/>
      <c r="E107" s="542"/>
      <c r="F107" s="542"/>
      <c r="G107" s="542"/>
      <c r="H107" s="542"/>
      <c r="I107" s="542"/>
      <c r="J107" s="542"/>
      <c r="K107" s="542"/>
      <c r="L107" s="542"/>
      <c r="M107" s="606">
        <f t="shared" si="13"/>
        <v>0</v>
      </c>
      <c r="N107" s="606"/>
      <c r="O107" s="606"/>
      <c r="P107" s="606"/>
      <c r="Q107" s="606"/>
      <c r="R107" s="606"/>
      <c r="S107" s="606"/>
      <c r="T107" s="606"/>
      <c r="U107" s="542">
        <v>350000</v>
      </c>
      <c r="V107" s="606">
        <f t="shared" si="11"/>
        <v>350000</v>
      </c>
      <c r="W107" s="624">
        <f t="shared" si="12"/>
        <v>-350000</v>
      </c>
      <c r="X107" s="635"/>
      <c r="Y107" s="635"/>
    </row>
    <row r="108" spans="1:25" s="589" customFormat="1">
      <c r="A108" s="846" t="s">
        <v>330</v>
      </c>
      <c r="B108" s="626"/>
      <c r="C108" s="542"/>
      <c r="D108" s="542"/>
      <c r="E108" s="542"/>
      <c r="F108" s="542"/>
      <c r="G108" s="542"/>
      <c r="H108" s="542"/>
      <c r="I108" s="542"/>
      <c r="J108" s="542"/>
      <c r="K108" s="542"/>
      <c r="L108" s="542"/>
      <c r="M108" s="606">
        <f t="shared" si="13"/>
        <v>0</v>
      </c>
      <c r="N108" s="606"/>
      <c r="O108" s="606"/>
      <c r="P108" s="606"/>
      <c r="Q108" s="606"/>
      <c r="R108" s="606"/>
      <c r="S108" s="606"/>
      <c r="T108" s="606"/>
      <c r="U108" s="606"/>
      <c r="V108" s="606">
        <f t="shared" si="11"/>
        <v>0</v>
      </c>
      <c r="W108" s="624">
        <f t="shared" si="12"/>
        <v>0</v>
      </c>
      <c r="X108" s="635"/>
      <c r="Y108" s="635"/>
    </row>
    <row r="109" spans="1:25" s="589" customFormat="1">
      <c r="A109" s="846" t="s">
        <v>331</v>
      </c>
      <c r="B109" s="626"/>
      <c r="C109" s="542"/>
      <c r="D109" s="542"/>
      <c r="E109" s="542"/>
      <c r="F109" s="542"/>
      <c r="G109" s="542"/>
      <c r="H109" s="542"/>
      <c r="I109" s="542"/>
      <c r="J109" s="542"/>
      <c r="K109" s="542"/>
      <c r="L109" s="542"/>
      <c r="M109" s="606">
        <f t="shared" si="13"/>
        <v>0</v>
      </c>
      <c r="N109" s="606"/>
      <c r="O109" s="606"/>
      <c r="P109" s="606"/>
      <c r="Q109" s="606"/>
      <c r="R109" s="606"/>
      <c r="S109" s="606"/>
      <c r="T109" s="606"/>
      <c r="U109" s="606"/>
      <c r="V109" s="606">
        <f t="shared" si="11"/>
        <v>0</v>
      </c>
      <c r="W109" s="624">
        <f t="shared" si="12"/>
        <v>0</v>
      </c>
      <c r="X109" s="635"/>
      <c r="Y109" s="635"/>
    </row>
    <row r="110" spans="1:25" s="589" customFormat="1">
      <c r="A110" s="846" t="s">
        <v>332</v>
      </c>
      <c r="B110" s="626"/>
      <c r="C110" s="542"/>
      <c r="D110" s="542"/>
      <c r="E110" s="542"/>
      <c r="F110" s="542"/>
      <c r="G110" s="542"/>
      <c r="H110" s="542"/>
      <c r="I110" s="542"/>
      <c r="J110" s="542"/>
      <c r="K110" s="542"/>
      <c r="L110" s="542"/>
      <c r="M110" s="606">
        <f t="shared" si="13"/>
        <v>0</v>
      </c>
      <c r="N110" s="606"/>
      <c r="O110" s="606"/>
      <c r="P110" s="606"/>
      <c r="Q110" s="606"/>
      <c r="R110" s="606"/>
      <c r="S110" s="606"/>
      <c r="T110" s="606"/>
      <c r="U110" s="606"/>
      <c r="V110" s="606">
        <f t="shared" si="11"/>
        <v>0</v>
      </c>
      <c r="W110" s="624">
        <f t="shared" si="12"/>
        <v>0</v>
      </c>
      <c r="X110" s="635"/>
      <c r="Y110" s="635"/>
    </row>
    <row r="111" spans="1:25" s="589" customFormat="1">
      <c r="A111" s="846" t="s">
        <v>333</v>
      </c>
      <c r="B111" s="626" t="s">
        <v>334</v>
      </c>
      <c r="C111" s="542">
        <v>250000</v>
      </c>
      <c r="D111" s="542"/>
      <c r="E111" s="542"/>
      <c r="F111" s="542"/>
      <c r="G111" s="542"/>
      <c r="H111" s="542"/>
      <c r="I111" s="542"/>
      <c r="J111" s="542"/>
      <c r="K111" s="542"/>
      <c r="L111" s="542"/>
      <c r="M111" s="606">
        <f t="shared" si="13"/>
        <v>250000</v>
      </c>
      <c r="N111" s="606"/>
      <c r="O111" s="606"/>
      <c r="P111" s="606"/>
      <c r="Q111" s="606"/>
      <c r="R111" s="606"/>
      <c r="S111" s="606"/>
      <c r="T111" s="606"/>
      <c r="U111" s="606"/>
      <c r="V111" s="606">
        <f t="shared" si="11"/>
        <v>0</v>
      </c>
      <c r="W111" s="624">
        <f t="shared" si="12"/>
        <v>250000</v>
      </c>
      <c r="X111" s="635"/>
      <c r="Y111" s="635"/>
    </row>
    <row r="112" spans="1:25" s="589" customFormat="1">
      <c r="A112" s="846" t="s">
        <v>335</v>
      </c>
      <c r="B112" s="626"/>
      <c r="C112" s="542"/>
      <c r="D112" s="542"/>
      <c r="E112" s="542"/>
      <c r="F112" s="542"/>
      <c r="G112" s="542"/>
      <c r="H112" s="542"/>
      <c r="I112" s="542"/>
      <c r="J112" s="542"/>
      <c r="K112" s="542"/>
      <c r="L112" s="542"/>
      <c r="M112" s="606">
        <f t="shared" si="13"/>
        <v>0</v>
      </c>
      <c r="N112" s="542"/>
      <c r="O112" s="606"/>
      <c r="P112" s="606"/>
      <c r="Q112" s="606"/>
      <c r="R112" s="606"/>
      <c r="S112" s="606"/>
      <c r="T112" s="606"/>
      <c r="U112" s="606"/>
      <c r="V112" s="606">
        <f t="shared" si="11"/>
        <v>0</v>
      </c>
      <c r="W112" s="624">
        <f t="shared" si="12"/>
        <v>0</v>
      </c>
      <c r="X112" s="635"/>
      <c r="Y112" s="635"/>
    </row>
    <row r="113" spans="1:25" s="589" customFormat="1">
      <c r="A113" s="928" t="s">
        <v>336</v>
      </c>
      <c r="B113" s="626" t="s">
        <v>337</v>
      </c>
      <c r="C113" s="542">
        <v>450000</v>
      </c>
      <c r="D113" s="542"/>
      <c r="E113" s="542"/>
      <c r="F113" s="542"/>
      <c r="G113" s="542"/>
      <c r="H113" s="542"/>
      <c r="I113" s="542"/>
      <c r="J113" s="542"/>
      <c r="K113" s="542"/>
      <c r="L113" s="542"/>
      <c r="M113" s="606">
        <f t="shared" si="13"/>
        <v>450000</v>
      </c>
      <c r="N113" s="606"/>
      <c r="O113" s="606"/>
      <c r="P113" s="606"/>
      <c r="Q113" s="606"/>
      <c r="R113" s="606"/>
      <c r="S113" s="606"/>
      <c r="T113" s="606"/>
      <c r="U113" s="606"/>
      <c r="V113" s="606">
        <f t="shared" si="11"/>
        <v>0</v>
      </c>
      <c r="W113" s="624">
        <f t="shared" si="12"/>
        <v>450000</v>
      </c>
      <c r="X113" s="635"/>
      <c r="Y113" s="635"/>
    </row>
    <row r="114" spans="1:25" s="589" customFormat="1">
      <c r="A114" s="929"/>
      <c r="B114" s="626" t="s">
        <v>338</v>
      </c>
      <c r="C114" s="542">
        <v>500000</v>
      </c>
      <c r="D114" s="542"/>
      <c r="E114" s="542"/>
      <c r="F114" s="542"/>
      <c r="G114" s="542"/>
      <c r="H114" s="542"/>
      <c r="I114" s="542"/>
      <c r="J114" s="542"/>
      <c r="K114" s="542"/>
      <c r="L114" s="542"/>
      <c r="M114" s="606">
        <f t="shared" si="13"/>
        <v>500000</v>
      </c>
      <c r="N114" s="606"/>
      <c r="O114" s="606"/>
      <c r="P114" s="606"/>
      <c r="Q114" s="606"/>
      <c r="R114" s="606"/>
      <c r="S114" s="606"/>
      <c r="T114" s="606"/>
      <c r="U114" s="606"/>
      <c r="V114" s="606">
        <f t="shared" si="11"/>
        <v>0</v>
      </c>
      <c r="W114" s="624">
        <f t="shared" si="12"/>
        <v>500000</v>
      </c>
      <c r="X114" s="635"/>
      <c r="Y114" s="635"/>
    </row>
    <row r="115" spans="1:25" s="589" customFormat="1">
      <c r="A115" s="930" t="s">
        <v>339</v>
      </c>
      <c r="B115" s="626" t="s">
        <v>340</v>
      </c>
      <c r="C115" s="542"/>
      <c r="D115" s="542"/>
      <c r="E115" s="542"/>
      <c r="F115" s="542"/>
      <c r="G115" s="542">
        <v>2500000</v>
      </c>
      <c r="H115" s="542"/>
      <c r="I115" s="542"/>
      <c r="J115" s="542"/>
      <c r="K115" s="542"/>
      <c r="L115" s="542"/>
      <c r="M115" s="606">
        <f t="shared" si="13"/>
        <v>2500000</v>
      </c>
      <c r="N115" s="606"/>
      <c r="O115" s="606"/>
      <c r="P115" s="606"/>
      <c r="Q115" s="606"/>
      <c r="R115" s="606"/>
      <c r="S115" s="606"/>
      <c r="T115" s="606"/>
      <c r="U115" s="606"/>
      <c r="V115" s="606">
        <f t="shared" si="11"/>
        <v>0</v>
      </c>
      <c r="W115" s="624">
        <f t="shared" si="12"/>
        <v>2500000</v>
      </c>
      <c r="X115" s="635">
        <v>1</v>
      </c>
      <c r="Y115" s="635">
        <v>8953190</v>
      </c>
    </row>
    <row r="116" spans="1:25" s="589" customFormat="1">
      <c r="A116" s="927"/>
      <c r="B116" s="626" t="s">
        <v>229</v>
      </c>
      <c r="C116" s="542"/>
      <c r="D116" s="542"/>
      <c r="E116" s="542"/>
      <c r="F116" s="542"/>
      <c r="G116" s="542"/>
      <c r="H116" s="542"/>
      <c r="I116" s="542"/>
      <c r="J116" s="542"/>
      <c r="K116" s="542"/>
      <c r="L116" s="542"/>
      <c r="M116" s="606">
        <f t="shared" si="13"/>
        <v>0</v>
      </c>
      <c r="N116" s="606"/>
      <c r="O116" s="606"/>
      <c r="P116" s="606"/>
      <c r="Q116" s="606"/>
      <c r="R116" s="606"/>
      <c r="S116" s="606"/>
      <c r="T116" s="606"/>
      <c r="U116" s="606">
        <v>2062000</v>
      </c>
      <c r="V116" s="606">
        <f t="shared" si="11"/>
        <v>2062000</v>
      </c>
      <c r="W116" s="624">
        <f t="shared" si="12"/>
        <v>-2062000</v>
      </c>
      <c r="X116" s="635"/>
      <c r="Y116" s="635"/>
    </row>
    <row r="117" spans="1:25" s="589" customFormat="1">
      <c r="A117" s="927"/>
      <c r="B117" s="634" t="s">
        <v>341</v>
      </c>
      <c r="C117" s="609"/>
      <c r="D117" s="609"/>
      <c r="E117" s="609"/>
      <c r="F117" s="609"/>
      <c r="G117" s="609"/>
      <c r="H117" s="609"/>
      <c r="I117" s="609"/>
      <c r="J117" s="609"/>
      <c r="K117" s="609"/>
      <c r="L117" s="609"/>
      <c r="M117" s="612">
        <f t="shared" ref="M117:M125" si="14">SUM(C117:K117)</f>
        <v>0</v>
      </c>
      <c r="N117" s="612"/>
      <c r="O117" s="612"/>
      <c r="P117" s="612"/>
      <c r="Q117" s="612"/>
      <c r="R117" s="612"/>
      <c r="S117" s="612">
        <v>800000</v>
      </c>
      <c r="T117" s="612"/>
      <c r="U117" s="612"/>
      <c r="V117" s="612">
        <f t="shared" ref="V117:V125" si="15">SUM(N117:U117)</f>
        <v>800000</v>
      </c>
      <c r="W117" s="620">
        <f t="shared" ref="W117:W125" si="16">SUM(M117-V117)</f>
        <v>-800000</v>
      </c>
      <c r="X117" s="635"/>
      <c r="Y117" s="635"/>
    </row>
    <row r="118" spans="1:25" s="589" customFormat="1">
      <c r="A118" s="927"/>
      <c r="B118" s="634" t="s">
        <v>342</v>
      </c>
      <c r="C118" s="609"/>
      <c r="D118" s="609"/>
      <c r="E118" s="609"/>
      <c r="F118" s="609"/>
      <c r="G118" s="609"/>
      <c r="H118" s="609"/>
      <c r="I118" s="609"/>
      <c r="J118" s="609"/>
      <c r="K118" s="609"/>
      <c r="L118" s="609"/>
      <c r="M118" s="612">
        <f t="shared" si="14"/>
        <v>0</v>
      </c>
      <c r="N118" s="612"/>
      <c r="O118" s="612"/>
      <c r="P118" s="612"/>
      <c r="Q118" s="612"/>
      <c r="R118" s="612"/>
      <c r="S118" s="612">
        <v>230000</v>
      </c>
      <c r="T118" s="612"/>
      <c r="U118" s="612"/>
      <c r="V118" s="612">
        <f t="shared" si="15"/>
        <v>230000</v>
      </c>
      <c r="W118" s="620">
        <f t="shared" si="16"/>
        <v>-230000</v>
      </c>
      <c r="X118" s="635"/>
      <c r="Y118" s="635"/>
    </row>
    <row r="119" spans="1:25" s="589" customFormat="1">
      <c r="A119" s="927"/>
      <c r="B119" s="626" t="s">
        <v>343</v>
      </c>
      <c r="C119" s="542">
        <v>100000</v>
      </c>
      <c r="D119" s="542"/>
      <c r="E119" s="542"/>
      <c r="F119" s="542"/>
      <c r="G119" s="542"/>
      <c r="H119" s="542"/>
      <c r="I119" s="542"/>
      <c r="J119" s="542"/>
      <c r="K119" s="542"/>
      <c r="L119" s="542"/>
      <c r="M119" s="542">
        <f t="shared" si="14"/>
        <v>100000</v>
      </c>
      <c r="N119" s="542"/>
      <c r="O119" s="542"/>
      <c r="P119" s="542"/>
      <c r="Q119" s="542"/>
      <c r="R119" s="542"/>
      <c r="S119" s="542"/>
      <c r="T119" s="542"/>
      <c r="U119" s="542"/>
      <c r="V119" s="542">
        <f t="shared" si="15"/>
        <v>0</v>
      </c>
      <c r="W119" s="636">
        <f t="shared" si="16"/>
        <v>100000</v>
      </c>
      <c r="X119" s="635"/>
      <c r="Y119" s="635"/>
    </row>
    <row r="120" spans="1:25" s="589" customFormat="1">
      <c r="A120" s="927"/>
      <c r="B120" s="634" t="s">
        <v>344</v>
      </c>
      <c r="C120" s="609"/>
      <c r="D120" s="609"/>
      <c r="E120" s="609"/>
      <c r="F120" s="609"/>
      <c r="G120" s="609"/>
      <c r="H120" s="609"/>
      <c r="I120" s="609"/>
      <c r="J120" s="609"/>
      <c r="K120" s="609"/>
      <c r="L120" s="609"/>
      <c r="M120" s="609">
        <f t="shared" si="14"/>
        <v>0</v>
      </c>
      <c r="N120" s="609"/>
      <c r="O120" s="609"/>
      <c r="P120" s="609"/>
      <c r="Q120" s="609"/>
      <c r="R120" s="609"/>
      <c r="S120" s="609">
        <v>10000000</v>
      </c>
      <c r="T120" s="609"/>
      <c r="U120" s="609"/>
      <c r="V120" s="609"/>
      <c r="W120" s="637">
        <f t="shared" si="16"/>
        <v>0</v>
      </c>
      <c r="X120" s="635"/>
      <c r="Y120" s="635"/>
    </row>
    <row r="121" spans="1:25" s="589" customFormat="1">
      <c r="A121" s="931"/>
      <c r="B121" s="626" t="s">
        <v>345</v>
      </c>
      <c r="C121" s="542"/>
      <c r="D121" s="542"/>
      <c r="E121" s="542"/>
      <c r="F121" s="542"/>
      <c r="G121" s="542"/>
      <c r="H121" s="542"/>
      <c r="I121" s="542"/>
      <c r="J121" s="542"/>
      <c r="K121" s="542">
        <v>200000</v>
      </c>
      <c r="L121" s="542"/>
      <c r="M121" s="542">
        <f t="shared" si="14"/>
        <v>200000</v>
      </c>
      <c r="N121" s="542"/>
      <c r="O121" s="542"/>
      <c r="P121" s="542"/>
      <c r="Q121" s="542"/>
      <c r="R121" s="542"/>
      <c r="S121" s="542"/>
      <c r="T121" s="542"/>
      <c r="U121" s="542"/>
      <c r="V121" s="542">
        <f t="shared" si="15"/>
        <v>0</v>
      </c>
      <c r="W121" s="636">
        <f t="shared" si="16"/>
        <v>200000</v>
      </c>
      <c r="X121" s="635"/>
      <c r="Y121" s="635"/>
    </row>
    <row r="122" spans="1:25" s="589" customFormat="1">
      <c r="A122" s="926" t="s">
        <v>346</v>
      </c>
      <c r="B122" s="626" t="s">
        <v>298</v>
      </c>
      <c r="C122" s="542">
        <v>5787500</v>
      </c>
      <c r="D122" s="542"/>
      <c r="E122" s="542"/>
      <c r="F122" s="542"/>
      <c r="G122" s="542"/>
      <c r="H122" s="542"/>
      <c r="I122" s="542"/>
      <c r="J122" s="542"/>
      <c r="K122" s="542"/>
      <c r="L122" s="542"/>
      <c r="M122" s="542">
        <f t="shared" si="14"/>
        <v>5787500</v>
      </c>
      <c r="N122" s="542"/>
      <c r="O122" s="542"/>
      <c r="P122" s="542"/>
      <c r="Q122" s="542"/>
      <c r="R122" s="542"/>
      <c r="S122" s="542"/>
      <c r="T122" s="542"/>
      <c r="U122" s="542"/>
      <c r="V122" s="542">
        <f t="shared" si="15"/>
        <v>0</v>
      </c>
      <c r="W122" s="636">
        <f t="shared" si="16"/>
        <v>5787500</v>
      </c>
      <c r="X122" s="635"/>
      <c r="Y122" s="635"/>
    </row>
    <row r="123" spans="1:25" s="589" customFormat="1">
      <c r="A123" s="927"/>
      <c r="B123" s="626" t="s">
        <v>347</v>
      </c>
      <c r="C123" s="542"/>
      <c r="D123" s="542"/>
      <c r="E123" s="542"/>
      <c r="F123" s="542"/>
      <c r="G123" s="542"/>
      <c r="H123" s="542"/>
      <c r="I123" s="542"/>
      <c r="J123" s="542"/>
      <c r="K123" s="542"/>
      <c r="L123" s="542"/>
      <c r="M123" s="542">
        <f t="shared" si="14"/>
        <v>0</v>
      </c>
      <c r="N123" s="542">
        <v>15000000</v>
      </c>
      <c r="O123" s="542"/>
      <c r="P123" s="542"/>
      <c r="Q123" s="542"/>
      <c r="R123" s="542"/>
      <c r="S123" s="542"/>
      <c r="T123" s="542"/>
      <c r="U123" s="542"/>
      <c r="V123" s="542">
        <f t="shared" si="15"/>
        <v>15000000</v>
      </c>
      <c r="W123" s="636">
        <f t="shared" si="16"/>
        <v>-15000000</v>
      </c>
      <c r="X123" s="635"/>
      <c r="Y123" s="635"/>
    </row>
    <row r="124" spans="1:25" s="589" customFormat="1">
      <c r="A124" s="927"/>
      <c r="B124" s="626" t="s">
        <v>348</v>
      </c>
      <c r="C124" s="542"/>
      <c r="D124" s="542"/>
      <c r="E124" s="542"/>
      <c r="F124" s="542"/>
      <c r="G124" s="542"/>
      <c r="H124" s="542"/>
      <c r="I124" s="542"/>
      <c r="J124" s="542"/>
      <c r="K124" s="542"/>
      <c r="L124" s="542"/>
      <c r="M124" s="542">
        <f t="shared" si="14"/>
        <v>0</v>
      </c>
      <c r="N124" s="542"/>
      <c r="O124" s="542">
        <v>30000000</v>
      </c>
      <c r="P124" s="542"/>
      <c r="Q124" s="542"/>
      <c r="R124" s="542"/>
      <c r="S124" s="542"/>
      <c r="T124" s="542"/>
      <c r="U124" s="542"/>
      <c r="V124" s="542">
        <f t="shared" si="15"/>
        <v>30000000</v>
      </c>
      <c r="W124" s="636">
        <f t="shared" si="16"/>
        <v>-30000000</v>
      </c>
      <c r="X124" s="635"/>
      <c r="Y124" s="635"/>
    </row>
    <row r="125" spans="1:25" s="589" customFormat="1">
      <c r="A125" s="927"/>
      <c r="B125" s="626" t="s">
        <v>349</v>
      </c>
      <c r="C125" s="542"/>
      <c r="D125" s="542">
        <v>200000</v>
      </c>
      <c r="E125" s="542"/>
      <c r="F125" s="542"/>
      <c r="G125" s="542"/>
      <c r="H125" s="542"/>
      <c r="I125" s="542"/>
      <c r="J125" s="542"/>
      <c r="K125" s="542"/>
      <c r="L125" s="542"/>
      <c r="M125" s="542">
        <f t="shared" si="14"/>
        <v>200000</v>
      </c>
      <c r="N125" s="542"/>
      <c r="O125" s="542"/>
      <c r="P125" s="542"/>
      <c r="Q125" s="542"/>
      <c r="R125" s="542"/>
      <c r="S125" s="542"/>
      <c r="T125" s="542"/>
      <c r="U125" s="542"/>
      <c r="V125" s="542">
        <f t="shared" si="15"/>
        <v>0</v>
      </c>
      <c r="W125" s="636">
        <f t="shared" si="16"/>
        <v>200000</v>
      </c>
      <c r="X125" s="635"/>
      <c r="Y125" s="635"/>
    </row>
    <row r="126" spans="1:25" s="589" customFormat="1">
      <c r="A126" s="927"/>
      <c r="B126" s="626" t="s">
        <v>350</v>
      </c>
      <c r="C126" s="542">
        <v>50000</v>
      </c>
      <c r="D126" s="542"/>
      <c r="E126" s="542"/>
      <c r="F126" s="542"/>
      <c r="G126" s="542"/>
      <c r="H126" s="542"/>
      <c r="I126" s="542"/>
      <c r="J126" s="542"/>
      <c r="K126" s="542"/>
      <c r="L126" s="542"/>
      <c r="M126" s="542">
        <f t="shared" ref="M126:M130" si="17">SUM(C126:K126)</f>
        <v>50000</v>
      </c>
      <c r="N126" s="542"/>
      <c r="O126" s="542"/>
      <c r="P126" s="542"/>
      <c r="Q126" s="542"/>
      <c r="R126" s="542"/>
      <c r="S126" s="542"/>
      <c r="T126" s="542"/>
      <c r="U126" s="542"/>
      <c r="V126" s="542">
        <f t="shared" ref="V126:V144" si="18">SUM(N126:U126)</f>
        <v>0</v>
      </c>
      <c r="W126" s="636">
        <f t="shared" ref="W126:W144" si="19">SUM(M126-V126)</f>
        <v>50000</v>
      </c>
      <c r="X126" s="635"/>
      <c r="Y126" s="635"/>
    </row>
    <row r="127" spans="1:25" s="589" customFormat="1">
      <c r="A127" s="927"/>
      <c r="B127" s="626" t="s">
        <v>351</v>
      </c>
      <c r="C127" s="542"/>
      <c r="D127" s="542"/>
      <c r="E127" s="542"/>
      <c r="F127" s="542"/>
      <c r="G127" s="542"/>
      <c r="H127" s="542"/>
      <c r="I127" s="542"/>
      <c r="J127" s="542"/>
      <c r="K127" s="542"/>
      <c r="L127" s="542"/>
      <c r="M127" s="542">
        <f t="shared" si="17"/>
        <v>0</v>
      </c>
      <c r="N127" s="542"/>
      <c r="O127" s="542"/>
      <c r="P127" s="542"/>
      <c r="Q127" s="542"/>
      <c r="R127" s="542"/>
      <c r="S127" s="542"/>
      <c r="T127" s="542">
        <v>100000</v>
      </c>
      <c r="U127" s="542"/>
      <c r="V127" s="542">
        <f t="shared" si="18"/>
        <v>100000</v>
      </c>
      <c r="W127" s="636">
        <f t="shared" si="19"/>
        <v>-100000</v>
      </c>
      <c r="X127" s="635"/>
      <c r="Y127" s="635"/>
    </row>
    <row r="128" spans="1:25" s="589" customFormat="1">
      <c r="A128" s="927"/>
      <c r="B128" s="626" t="s">
        <v>352</v>
      </c>
      <c r="C128" s="542"/>
      <c r="D128" s="542"/>
      <c r="E128" s="542"/>
      <c r="F128" s="542"/>
      <c r="G128" s="542"/>
      <c r="H128" s="542"/>
      <c r="I128" s="542"/>
      <c r="J128" s="542"/>
      <c r="K128" s="542">
        <v>400000</v>
      </c>
      <c r="L128" s="542"/>
      <c r="M128" s="542">
        <f t="shared" si="17"/>
        <v>400000</v>
      </c>
      <c r="N128" s="542"/>
      <c r="O128" s="542"/>
      <c r="P128" s="542"/>
      <c r="Q128" s="542"/>
      <c r="R128" s="542"/>
      <c r="S128" s="542"/>
      <c r="T128" s="542"/>
      <c r="U128" s="542"/>
      <c r="V128" s="542">
        <f t="shared" si="18"/>
        <v>0</v>
      </c>
      <c r="W128" s="636">
        <f t="shared" si="19"/>
        <v>400000</v>
      </c>
      <c r="X128" s="635"/>
      <c r="Y128" s="635"/>
    </row>
    <row r="129" spans="1:25" s="589" customFormat="1">
      <c r="A129" s="927"/>
      <c r="B129" s="626" t="s">
        <v>353</v>
      </c>
      <c r="C129" s="542"/>
      <c r="D129" s="542"/>
      <c r="E129" s="542"/>
      <c r="F129" s="542"/>
      <c r="G129" s="542"/>
      <c r="H129" s="542"/>
      <c r="I129" s="542"/>
      <c r="J129" s="542"/>
      <c r="K129" s="542"/>
      <c r="L129" s="542"/>
      <c r="M129" s="542">
        <f t="shared" si="17"/>
        <v>0</v>
      </c>
      <c r="N129" s="542"/>
      <c r="O129" s="542"/>
      <c r="P129" s="542"/>
      <c r="Q129" s="542"/>
      <c r="R129" s="542"/>
      <c r="S129" s="542"/>
      <c r="T129" s="542"/>
      <c r="U129" s="542">
        <v>1000000</v>
      </c>
      <c r="V129" s="542">
        <f t="shared" si="18"/>
        <v>1000000</v>
      </c>
      <c r="W129" s="636">
        <f t="shared" si="19"/>
        <v>-1000000</v>
      </c>
      <c r="X129" s="635"/>
      <c r="Y129" s="635"/>
    </row>
    <row r="130" spans="1:25" s="589" customFormat="1">
      <c r="A130" s="927"/>
      <c r="B130" s="626" t="s">
        <v>354</v>
      </c>
      <c r="C130" s="542"/>
      <c r="D130" s="542"/>
      <c r="E130" s="542"/>
      <c r="F130" s="542"/>
      <c r="G130" s="542"/>
      <c r="H130" s="542"/>
      <c r="I130" s="542"/>
      <c r="J130" s="542"/>
      <c r="K130" s="542"/>
      <c r="L130" s="542"/>
      <c r="M130" s="542">
        <f t="shared" si="17"/>
        <v>0</v>
      </c>
      <c r="N130" s="542"/>
      <c r="O130" s="542"/>
      <c r="P130" s="542"/>
      <c r="Q130" s="542"/>
      <c r="R130" s="542"/>
      <c r="S130" s="542"/>
      <c r="T130" s="542"/>
      <c r="U130" s="542">
        <v>925000</v>
      </c>
      <c r="V130" s="542">
        <f t="shared" si="18"/>
        <v>925000</v>
      </c>
      <c r="W130" s="636">
        <f t="shared" si="19"/>
        <v>-925000</v>
      </c>
      <c r="X130" s="635"/>
      <c r="Y130" s="635"/>
    </row>
    <row r="131" spans="1:25" s="589" customFormat="1">
      <c r="A131" s="927"/>
      <c r="B131" s="626" t="s">
        <v>355</v>
      </c>
      <c r="C131" s="542"/>
      <c r="D131" s="542"/>
      <c r="E131" s="542"/>
      <c r="F131" s="542"/>
      <c r="G131" s="542"/>
      <c r="H131" s="542"/>
      <c r="I131" s="542"/>
      <c r="J131" s="542"/>
      <c r="K131" s="542"/>
      <c r="L131" s="542"/>
      <c r="M131" s="542">
        <f t="shared" ref="M131:M154" si="20">SUM(C131:K131)</f>
        <v>0</v>
      </c>
      <c r="N131" s="542"/>
      <c r="O131" s="542"/>
      <c r="P131" s="542"/>
      <c r="Q131" s="542"/>
      <c r="R131" s="542"/>
      <c r="S131" s="542"/>
      <c r="T131" s="542"/>
      <c r="U131" s="542">
        <v>1000000</v>
      </c>
      <c r="V131" s="542">
        <f t="shared" si="18"/>
        <v>1000000</v>
      </c>
      <c r="W131" s="636">
        <f t="shared" si="19"/>
        <v>-1000000</v>
      </c>
      <c r="X131" s="635"/>
      <c r="Y131" s="635"/>
    </row>
    <row r="132" spans="1:25" s="589" customFormat="1">
      <c r="A132" s="927"/>
      <c r="B132" s="626" t="s">
        <v>356</v>
      </c>
      <c r="C132" s="542">
        <v>220000</v>
      </c>
      <c r="D132" s="542"/>
      <c r="E132" s="542"/>
      <c r="F132" s="542"/>
      <c r="G132" s="542"/>
      <c r="H132" s="542"/>
      <c r="I132" s="542"/>
      <c r="J132" s="542"/>
      <c r="K132" s="542"/>
      <c r="L132" s="542"/>
      <c r="M132" s="542">
        <f t="shared" si="20"/>
        <v>220000</v>
      </c>
      <c r="N132" s="542"/>
      <c r="O132" s="542"/>
      <c r="P132" s="542"/>
      <c r="Q132" s="542"/>
      <c r="R132" s="542"/>
      <c r="S132" s="542"/>
      <c r="T132" s="542"/>
      <c r="U132" s="542"/>
      <c r="V132" s="542">
        <f t="shared" si="18"/>
        <v>0</v>
      </c>
      <c r="W132" s="636">
        <f t="shared" si="19"/>
        <v>220000</v>
      </c>
      <c r="X132" s="635"/>
      <c r="Y132" s="635"/>
    </row>
    <row r="133" spans="1:25" s="589" customFormat="1">
      <c r="A133" s="927"/>
      <c r="B133" s="626" t="s">
        <v>357</v>
      </c>
      <c r="C133" s="542">
        <v>200000</v>
      </c>
      <c r="D133" s="542"/>
      <c r="E133" s="542"/>
      <c r="F133" s="542"/>
      <c r="G133" s="542"/>
      <c r="H133" s="542"/>
      <c r="I133" s="542"/>
      <c r="J133" s="542"/>
      <c r="K133" s="542"/>
      <c r="L133" s="542"/>
      <c r="M133" s="542">
        <f t="shared" si="20"/>
        <v>200000</v>
      </c>
      <c r="N133" s="542"/>
      <c r="O133" s="542"/>
      <c r="P133" s="542"/>
      <c r="Q133" s="542"/>
      <c r="R133" s="542"/>
      <c r="S133" s="542"/>
      <c r="T133" s="542"/>
      <c r="U133" s="542"/>
      <c r="V133" s="542">
        <f t="shared" si="18"/>
        <v>0</v>
      </c>
      <c r="W133" s="636">
        <f t="shared" si="19"/>
        <v>200000</v>
      </c>
      <c r="X133" s="635"/>
      <c r="Y133" s="635"/>
    </row>
    <row r="134" spans="1:25" s="589" customFormat="1">
      <c r="A134" s="927"/>
      <c r="B134" s="626" t="s">
        <v>358</v>
      </c>
      <c r="C134" s="542"/>
      <c r="D134" s="542"/>
      <c r="E134" s="542"/>
      <c r="F134" s="542"/>
      <c r="G134" s="542"/>
      <c r="H134" s="542"/>
      <c r="I134" s="542"/>
      <c r="J134" s="542"/>
      <c r="K134" s="542">
        <v>100000</v>
      </c>
      <c r="L134" s="542"/>
      <c r="M134" s="542">
        <f t="shared" si="20"/>
        <v>100000</v>
      </c>
      <c r="N134" s="542"/>
      <c r="O134" s="542"/>
      <c r="P134" s="542"/>
      <c r="Q134" s="542"/>
      <c r="R134" s="542"/>
      <c r="S134" s="542"/>
      <c r="T134" s="542"/>
      <c r="U134" s="542"/>
      <c r="V134" s="542">
        <f t="shared" si="18"/>
        <v>0</v>
      </c>
      <c r="W134" s="636">
        <f t="shared" si="19"/>
        <v>100000</v>
      </c>
      <c r="X134" s="635"/>
      <c r="Y134" s="635"/>
    </row>
    <row r="135" spans="1:25" s="589" customFormat="1">
      <c r="A135" s="927"/>
      <c r="B135" s="626" t="s">
        <v>359</v>
      </c>
      <c r="C135" s="542"/>
      <c r="D135" s="542">
        <v>356500</v>
      </c>
      <c r="E135" s="542"/>
      <c r="F135" s="542"/>
      <c r="G135" s="542"/>
      <c r="H135" s="542"/>
      <c r="I135" s="542"/>
      <c r="J135" s="542"/>
      <c r="K135" s="542"/>
      <c r="L135" s="542"/>
      <c r="M135" s="542">
        <f t="shared" si="20"/>
        <v>356500</v>
      </c>
      <c r="N135" s="542"/>
      <c r="O135" s="542"/>
      <c r="P135" s="542"/>
      <c r="Q135" s="542"/>
      <c r="R135" s="542"/>
      <c r="S135" s="542"/>
      <c r="T135" s="542"/>
      <c r="U135" s="542"/>
      <c r="V135" s="542">
        <f t="shared" si="18"/>
        <v>0</v>
      </c>
      <c r="W135" s="636">
        <f t="shared" si="19"/>
        <v>356500</v>
      </c>
      <c r="X135" s="635"/>
      <c r="Y135" s="635"/>
    </row>
    <row r="136" spans="1:25" s="589" customFormat="1">
      <c r="A136" s="927"/>
      <c r="B136" s="626" t="s">
        <v>360</v>
      </c>
      <c r="C136" s="542"/>
      <c r="D136" s="542">
        <v>299000</v>
      </c>
      <c r="E136" s="542"/>
      <c r="F136" s="542"/>
      <c r="G136" s="542"/>
      <c r="H136" s="542"/>
      <c r="I136" s="542"/>
      <c r="J136" s="542"/>
      <c r="K136" s="542"/>
      <c r="L136" s="542"/>
      <c r="M136" s="542">
        <f t="shared" si="20"/>
        <v>299000</v>
      </c>
      <c r="N136" s="542"/>
      <c r="O136" s="542"/>
      <c r="P136" s="542"/>
      <c r="Q136" s="542"/>
      <c r="R136" s="542"/>
      <c r="S136" s="542"/>
      <c r="T136" s="542"/>
      <c r="U136" s="542"/>
      <c r="V136" s="542">
        <f t="shared" si="18"/>
        <v>0</v>
      </c>
      <c r="W136" s="636">
        <f t="shared" si="19"/>
        <v>299000</v>
      </c>
      <c r="X136" s="635"/>
      <c r="Y136" s="635"/>
    </row>
    <row r="137" spans="1:25" s="589" customFormat="1">
      <c r="A137" s="927"/>
      <c r="B137" s="626" t="s">
        <v>361</v>
      </c>
      <c r="C137" s="542">
        <v>150000</v>
      </c>
      <c r="D137" s="542"/>
      <c r="E137" s="542"/>
      <c r="F137" s="542"/>
      <c r="G137" s="542"/>
      <c r="H137" s="542"/>
      <c r="I137" s="542"/>
      <c r="J137" s="542"/>
      <c r="K137" s="542"/>
      <c r="L137" s="542"/>
      <c r="M137" s="542">
        <f t="shared" si="20"/>
        <v>150000</v>
      </c>
      <c r="N137" s="542"/>
      <c r="O137" s="542"/>
      <c r="P137" s="542"/>
      <c r="Q137" s="542"/>
      <c r="R137" s="542"/>
      <c r="S137" s="542"/>
      <c r="T137" s="542"/>
      <c r="U137" s="542"/>
      <c r="V137" s="542">
        <f t="shared" si="18"/>
        <v>0</v>
      </c>
      <c r="W137" s="636">
        <f t="shared" si="19"/>
        <v>150000</v>
      </c>
      <c r="X137" s="635"/>
      <c r="Y137" s="635"/>
    </row>
    <row r="138" spans="1:25" s="589" customFormat="1">
      <c r="A138" s="927"/>
      <c r="B138" s="626" t="s">
        <v>362</v>
      </c>
      <c r="C138" s="542">
        <v>100000</v>
      </c>
      <c r="D138" s="542"/>
      <c r="E138" s="542"/>
      <c r="F138" s="542"/>
      <c r="G138" s="542"/>
      <c r="H138" s="542"/>
      <c r="I138" s="542"/>
      <c r="J138" s="542"/>
      <c r="K138" s="542"/>
      <c r="L138" s="542"/>
      <c r="M138" s="542">
        <f t="shared" si="20"/>
        <v>100000</v>
      </c>
      <c r="N138" s="542"/>
      <c r="O138" s="542"/>
      <c r="P138" s="542"/>
      <c r="Q138" s="542"/>
      <c r="R138" s="542"/>
      <c r="S138" s="542"/>
      <c r="T138" s="542"/>
      <c r="U138" s="542"/>
      <c r="V138" s="542">
        <f t="shared" si="18"/>
        <v>0</v>
      </c>
      <c r="W138" s="636">
        <f t="shared" si="19"/>
        <v>100000</v>
      </c>
      <c r="X138" s="635"/>
      <c r="Y138" s="635"/>
    </row>
    <row r="139" spans="1:25" s="589" customFormat="1">
      <c r="A139" s="931"/>
      <c r="B139" s="626" t="s">
        <v>360</v>
      </c>
      <c r="C139" s="542"/>
      <c r="D139" s="542">
        <v>252000</v>
      </c>
      <c r="E139" s="542"/>
      <c r="F139" s="542"/>
      <c r="G139" s="542"/>
      <c r="H139" s="542"/>
      <c r="I139" s="542"/>
      <c r="J139" s="542"/>
      <c r="K139" s="542"/>
      <c r="L139" s="542"/>
      <c r="M139" s="542">
        <f t="shared" si="20"/>
        <v>252000</v>
      </c>
      <c r="N139" s="542"/>
      <c r="O139" s="542"/>
      <c r="P139" s="542"/>
      <c r="Q139" s="542"/>
      <c r="R139" s="542"/>
      <c r="S139" s="542"/>
      <c r="T139" s="542"/>
      <c r="U139" s="542"/>
      <c r="V139" s="542">
        <f t="shared" si="18"/>
        <v>0</v>
      </c>
      <c r="W139" s="636">
        <f t="shared" si="19"/>
        <v>252000</v>
      </c>
      <c r="X139" s="635"/>
      <c r="Y139" s="635"/>
    </row>
    <row r="140" spans="1:25" s="589" customFormat="1">
      <c r="A140" s="847" t="s">
        <v>363</v>
      </c>
      <c r="B140" s="626" t="s">
        <v>364</v>
      </c>
      <c r="C140" s="542">
        <v>100000</v>
      </c>
      <c r="D140" s="542"/>
      <c r="E140" s="542"/>
      <c r="F140" s="542"/>
      <c r="G140" s="542"/>
      <c r="H140" s="542"/>
      <c r="I140" s="542"/>
      <c r="J140" s="542"/>
      <c r="K140" s="542"/>
      <c r="L140" s="542"/>
      <c r="M140" s="542">
        <f t="shared" si="20"/>
        <v>100000</v>
      </c>
      <c r="N140" s="542"/>
      <c r="O140" s="542"/>
      <c r="P140" s="542"/>
      <c r="Q140" s="542"/>
      <c r="R140" s="542"/>
      <c r="S140" s="542"/>
      <c r="T140" s="542"/>
      <c r="U140" s="542"/>
      <c r="V140" s="542">
        <f t="shared" si="18"/>
        <v>0</v>
      </c>
      <c r="W140" s="636">
        <f t="shared" si="19"/>
        <v>100000</v>
      </c>
      <c r="X140" s="635"/>
      <c r="Y140" s="635"/>
    </row>
    <row r="141" spans="1:25" s="589" customFormat="1">
      <c r="A141" s="638"/>
      <c r="B141" s="626" t="s">
        <v>365</v>
      </c>
      <c r="C141" s="542">
        <v>300000</v>
      </c>
      <c r="D141" s="542"/>
      <c r="E141" s="542"/>
      <c r="F141" s="542"/>
      <c r="G141" s="542"/>
      <c r="H141" s="542"/>
      <c r="I141" s="542"/>
      <c r="J141" s="542"/>
      <c r="K141" s="542"/>
      <c r="L141" s="542"/>
      <c r="M141" s="542">
        <f t="shared" si="20"/>
        <v>300000</v>
      </c>
      <c r="N141" s="542"/>
      <c r="O141" s="542"/>
      <c r="P141" s="542"/>
      <c r="Q141" s="542"/>
      <c r="R141" s="542"/>
      <c r="S141" s="542"/>
      <c r="T141" s="542"/>
      <c r="U141" s="542"/>
      <c r="V141" s="542">
        <f t="shared" si="18"/>
        <v>0</v>
      </c>
      <c r="W141" s="636">
        <f t="shared" si="19"/>
        <v>300000</v>
      </c>
      <c r="X141" s="635"/>
      <c r="Y141" s="635"/>
    </row>
    <row r="142" spans="1:25" s="589" customFormat="1">
      <c r="A142" s="638"/>
      <c r="B142" s="626" t="s">
        <v>366</v>
      </c>
      <c r="C142" s="542">
        <v>250000</v>
      </c>
      <c r="D142" s="542"/>
      <c r="E142" s="542"/>
      <c r="F142" s="542"/>
      <c r="G142" s="542"/>
      <c r="H142" s="542"/>
      <c r="I142" s="542"/>
      <c r="J142" s="542"/>
      <c r="K142" s="542"/>
      <c r="L142" s="542"/>
      <c r="M142" s="542">
        <f t="shared" si="20"/>
        <v>250000</v>
      </c>
      <c r="N142" s="542"/>
      <c r="O142" s="542"/>
      <c r="P142" s="542"/>
      <c r="Q142" s="542"/>
      <c r="R142" s="542"/>
      <c r="S142" s="542"/>
      <c r="T142" s="542"/>
      <c r="U142" s="542"/>
      <c r="V142" s="542">
        <f t="shared" si="18"/>
        <v>0</v>
      </c>
      <c r="W142" s="636">
        <f t="shared" si="19"/>
        <v>250000</v>
      </c>
      <c r="X142" s="635"/>
      <c r="Y142" s="635"/>
    </row>
    <row r="143" spans="1:25" s="589" customFormat="1">
      <c r="A143" s="638"/>
      <c r="B143" s="626" t="s">
        <v>367</v>
      </c>
      <c r="C143" s="542"/>
      <c r="D143" s="542">
        <v>250000</v>
      </c>
      <c r="E143" s="542"/>
      <c r="F143" s="542"/>
      <c r="G143" s="542"/>
      <c r="H143" s="542"/>
      <c r="I143" s="542"/>
      <c r="J143" s="542"/>
      <c r="K143" s="542"/>
      <c r="L143" s="542"/>
      <c r="M143" s="542">
        <f t="shared" si="20"/>
        <v>250000</v>
      </c>
      <c r="N143" s="542"/>
      <c r="O143" s="542"/>
      <c r="P143" s="542"/>
      <c r="Q143" s="542"/>
      <c r="R143" s="542"/>
      <c r="S143" s="542"/>
      <c r="T143" s="542"/>
      <c r="U143" s="542"/>
      <c r="V143" s="542">
        <f t="shared" si="18"/>
        <v>0</v>
      </c>
      <c r="W143" s="636">
        <f t="shared" si="19"/>
        <v>250000</v>
      </c>
      <c r="X143" s="635"/>
      <c r="Y143" s="635"/>
    </row>
    <row r="144" spans="1:25" s="589" customFormat="1">
      <c r="A144" s="638"/>
      <c r="B144" s="626" t="s">
        <v>368</v>
      </c>
      <c r="C144" s="542">
        <v>2050000</v>
      </c>
      <c r="D144" s="542"/>
      <c r="E144" s="542"/>
      <c r="F144" s="542"/>
      <c r="G144" s="542"/>
      <c r="H144" s="542"/>
      <c r="I144" s="542"/>
      <c r="J144" s="542"/>
      <c r="K144" s="542"/>
      <c r="L144" s="542"/>
      <c r="M144" s="542">
        <f t="shared" si="20"/>
        <v>2050000</v>
      </c>
      <c r="N144" s="542"/>
      <c r="O144" s="542"/>
      <c r="P144" s="542"/>
      <c r="Q144" s="542"/>
      <c r="R144" s="542"/>
      <c r="S144" s="542"/>
      <c r="T144" s="542"/>
      <c r="U144" s="542"/>
      <c r="V144" s="542">
        <f t="shared" si="18"/>
        <v>0</v>
      </c>
      <c r="W144" s="636">
        <f t="shared" si="19"/>
        <v>2050000</v>
      </c>
      <c r="X144" s="635"/>
      <c r="Y144" s="635"/>
    </row>
    <row r="145" spans="1:25" s="589" customFormat="1">
      <c r="A145" s="638"/>
      <c r="B145" s="626" t="s">
        <v>369</v>
      </c>
      <c r="C145" s="542"/>
      <c r="D145" s="542"/>
      <c r="E145" s="542"/>
      <c r="F145" s="542"/>
      <c r="G145" s="542"/>
      <c r="H145" s="542"/>
      <c r="I145" s="542"/>
      <c r="J145" s="542"/>
      <c r="K145" s="542"/>
      <c r="L145" s="542"/>
      <c r="M145" s="542">
        <f t="shared" si="20"/>
        <v>0</v>
      </c>
      <c r="N145" s="542"/>
      <c r="O145" s="542"/>
      <c r="P145" s="542"/>
      <c r="Q145" s="542"/>
      <c r="R145" s="542"/>
      <c r="S145" s="542"/>
      <c r="T145" s="542"/>
      <c r="U145" s="542">
        <v>2500000</v>
      </c>
      <c r="V145" s="542">
        <f t="shared" ref="V145:V163" si="21">SUM(N145:U145)</f>
        <v>2500000</v>
      </c>
      <c r="W145" s="636">
        <f t="shared" ref="W145:W163" si="22">SUM(M145-V145)</f>
        <v>-2500000</v>
      </c>
      <c r="X145" s="635"/>
      <c r="Y145" s="635"/>
    </row>
    <row r="146" spans="1:25" s="589" customFormat="1">
      <c r="A146" s="638"/>
      <c r="B146" s="626" t="s">
        <v>283</v>
      </c>
      <c r="C146" s="542"/>
      <c r="D146" s="542">
        <v>1600000</v>
      </c>
      <c r="E146" s="542"/>
      <c r="F146" s="542"/>
      <c r="G146" s="542"/>
      <c r="H146" s="542"/>
      <c r="I146" s="542"/>
      <c r="J146" s="542"/>
      <c r="K146" s="542"/>
      <c r="L146" s="542"/>
      <c r="M146" s="542">
        <f t="shared" si="20"/>
        <v>1600000</v>
      </c>
      <c r="N146" s="542"/>
      <c r="O146" s="542"/>
      <c r="P146" s="542"/>
      <c r="Q146" s="542"/>
      <c r="R146" s="542"/>
      <c r="S146" s="542"/>
      <c r="T146" s="542"/>
      <c r="U146" s="542"/>
      <c r="V146" s="542">
        <f t="shared" si="21"/>
        <v>0</v>
      </c>
      <c r="W146" s="636">
        <f t="shared" si="22"/>
        <v>1600000</v>
      </c>
      <c r="X146" s="635"/>
      <c r="Y146" s="635"/>
    </row>
    <row r="147" spans="1:25" s="589" customFormat="1">
      <c r="A147" s="638"/>
      <c r="B147" s="626" t="s">
        <v>370</v>
      </c>
      <c r="C147" s="542"/>
      <c r="D147" s="542">
        <v>500000</v>
      </c>
      <c r="E147" s="542"/>
      <c r="F147" s="542"/>
      <c r="G147" s="542"/>
      <c r="H147" s="542"/>
      <c r="I147" s="542"/>
      <c r="J147" s="542"/>
      <c r="K147" s="542"/>
      <c r="L147" s="542"/>
      <c r="M147" s="542">
        <f t="shared" si="20"/>
        <v>500000</v>
      </c>
      <c r="N147" s="542"/>
      <c r="O147" s="542"/>
      <c r="P147" s="542"/>
      <c r="Q147" s="542"/>
      <c r="R147" s="542"/>
      <c r="S147" s="542"/>
      <c r="T147" s="542"/>
      <c r="U147" s="542"/>
      <c r="V147" s="542">
        <f t="shared" si="21"/>
        <v>0</v>
      </c>
      <c r="W147" s="636">
        <f t="shared" si="22"/>
        <v>500000</v>
      </c>
      <c r="X147" s="635"/>
      <c r="Y147" s="635"/>
    </row>
    <row r="148" spans="1:25" s="589" customFormat="1">
      <c r="A148" s="638"/>
      <c r="B148" s="626" t="s">
        <v>371</v>
      </c>
      <c r="C148" s="542"/>
      <c r="D148" s="542">
        <v>340000</v>
      </c>
      <c r="E148" s="542"/>
      <c r="F148" s="542"/>
      <c r="G148" s="542"/>
      <c r="H148" s="542"/>
      <c r="I148" s="542"/>
      <c r="J148" s="542"/>
      <c r="K148" s="542"/>
      <c r="L148" s="542"/>
      <c r="M148" s="542">
        <f t="shared" si="20"/>
        <v>340000</v>
      </c>
      <c r="N148" s="542"/>
      <c r="O148" s="542"/>
      <c r="P148" s="542"/>
      <c r="Q148" s="542"/>
      <c r="R148" s="542"/>
      <c r="S148" s="542"/>
      <c r="T148" s="542"/>
      <c r="U148" s="542"/>
      <c r="V148" s="542">
        <f t="shared" si="21"/>
        <v>0</v>
      </c>
      <c r="W148" s="636">
        <f t="shared" si="22"/>
        <v>340000</v>
      </c>
      <c r="X148" s="635"/>
      <c r="Y148" s="635"/>
    </row>
    <row r="149" spans="1:25" s="589" customFormat="1">
      <c r="A149" s="638"/>
      <c r="B149" s="626" t="s">
        <v>372</v>
      </c>
      <c r="C149" s="542">
        <v>500000</v>
      </c>
      <c r="D149" s="542"/>
      <c r="E149" s="542"/>
      <c r="F149" s="542"/>
      <c r="G149" s="542"/>
      <c r="H149" s="542"/>
      <c r="I149" s="542"/>
      <c r="J149" s="542"/>
      <c r="K149" s="542"/>
      <c r="L149" s="542"/>
      <c r="M149" s="542">
        <f t="shared" si="20"/>
        <v>500000</v>
      </c>
      <c r="N149" s="542"/>
      <c r="O149" s="542"/>
      <c r="P149" s="542"/>
      <c r="Q149" s="542"/>
      <c r="R149" s="542"/>
      <c r="S149" s="542"/>
      <c r="T149" s="542"/>
      <c r="U149" s="542"/>
      <c r="V149" s="542">
        <f t="shared" si="21"/>
        <v>0</v>
      </c>
      <c r="W149" s="636">
        <f t="shared" si="22"/>
        <v>500000</v>
      </c>
      <c r="X149" s="635"/>
      <c r="Y149" s="635"/>
    </row>
    <row r="150" spans="1:25" s="589" customFormat="1">
      <c r="A150" s="638"/>
      <c r="B150" s="626" t="s">
        <v>373</v>
      </c>
      <c r="C150" s="542"/>
      <c r="D150" s="542">
        <v>179000</v>
      </c>
      <c r="E150" s="542"/>
      <c r="F150" s="542"/>
      <c r="G150" s="542"/>
      <c r="H150" s="542"/>
      <c r="I150" s="542"/>
      <c r="J150" s="542"/>
      <c r="K150" s="542"/>
      <c r="L150" s="542"/>
      <c r="M150" s="542">
        <f t="shared" si="20"/>
        <v>179000</v>
      </c>
      <c r="N150" s="542"/>
      <c r="O150" s="542"/>
      <c r="P150" s="542"/>
      <c r="Q150" s="542"/>
      <c r="R150" s="542"/>
      <c r="S150" s="542"/>
      <c r="T150" s="542"/>
      <c r="U150" s="542"/>
      <c r="V150" s="542">
        <f t="shared" si="21"/>
        <v>0</v>
      </c>
      <c r="W150" s="636">
        <f t="shared" si="22"/>
        <v>179000</v>
      </c>
      <c r="X150" s="635"/>
      <c r="Y150" s="635"/>
    </row>
    <row r="151" spans="1:25" s="589" customFormat="1">
      <c r="A151" s="638"/>
      <c r="B151" s="626" t="s">
        <v>374</v>
      </c>
      <c r="C151" s="542"/>
      <c r="D151" s="542">
        <v>600000</v>
      </c>
      <c r="E151" s="542"/>
      <c r="F151" s="542"/>
      <c r="G151" s="542"/>
      <c r="H151" s="542"/>
      <c r="I151" s="542"/>
      <c r="J151" s="542"/>
      <c r="K151" s="542"/>
      <c r="L151" s="542"/>
      <c r="M151" s="542">
        <f t="shared" si="20"/>
        <v>600000</v>
      </c>
      <c r="N151" s="542"/>
      <c r="O151" s="542"/>
      <c r="P151" s="542"/>
      <c r="Q151" s="542"/>
      <c r="R151" s="542"/>
      <c r="S151" s="542"/>
      <c r="T151" s="542"/>
      <c r="U151" s="542"/>
      <c r="V151" s="542">
        <f t="shared" si="21"/>
        <v>0</v>
      </c>
      <c r="W151" s="636">
        <f t="shared" si="22"/>
        <v>600000</v>
      </c>
      <c r="X151" s="635"/>
      <c r="Y151" s="635"/>
    </row>
    <row r="152" spans="1:25" s="589" customFormat="1">
      <c r="A152" s="638"/>
      <c r="B152" s="626" t="s">
        <v>375</v>
      </c>
      <c r="C152" s="542"/>
      <c r="D152" s="542">
        <v>288000</v>
      </c>
      <c r="E152" s="542"/>
      <c r="F152" s="542"/>
      <c r="G152" s="542"/>
      <c r="H152" s="542"/>
      <c r="I152" s="542"/>
      <c r="J152" s="542"/>
      <c r="K152" s="542"/>
      <c r="L152" s="542"/>
      <c r="M152" s="542">
        <f t="shared" si="20"/>
        <v>288000</v>
      </c>
      <c r="N152" s="542"/>
      <c r="O152" s="542"/>
      <c r="P152" s="542"/>
      <c r="Q152" s="542"/>
      <c r="R152" s="542"/>
      <c r="S152" s="542"/>
      <c r="T152" s="542"/>
      <c r="U152" s="542"/>
      <c r="V152" s="542">
        <f t="shared" si="21"/>
        <v>0</v>
      </c>
      <c r="W152" s="636">
        <f t="shared" si="22"/>
        <v>288000</v>
      </c>
      <c r="X152" s="635"/>
      <c r="Y152" s="635"/>
    </row>
    <row r="153" spans="1:25" s="589" customFormat="1">
      <c r="A153" s="638"/>
      <c r="B153" s="626" t="s">
        <v>376</v>
      </c>
      <c r="C153" s="542"/>
      <c r="D153" s="542"/>
      <c r="E153" s="542"/>
      <c r="F153" s="542"/>
      <c r="G153" s="542"/>
      <c r="H153" s="542"/>
      <c r="I153" s="542"/>
      <c r="J153" s="542"/>
      <c r="K153" s="542"/>
      <c r="L153" s="542"/>
      <c r="M153" s="542">
        <f t="shared" si="20"/>
        <v>0</v>
      </c>
      <c r="N153" s="606"/>
      <c r="O153" s="606"/>
      <c r="P153" s="606"/>
      <c r="Q153" s="606"/>
      <c r="R153" s="606"/>
      <c r="S153" s="606"/>
      <c r="T153" s="606"/>
      <c r="U153" s="606">
        <v>10550000</v>
      </c>
      <c r="V153" s="606">
        <f t="shared" si="21"/>
        <v>10550000</v>
      </c>
      <c r="W153" s="636">
        <f t="shared" si="22"/>
        <v>-10550000</v>
      </c>
      <c r="X153" s="635"/>
      <c r="Y153" s="635"/>
    </row>
    <row r="154" spans="1:25" s="589" customFormat="1">
      <c r="A154" s="638"/>
      <c r="B154" s="626" t="s">
        <v>351</v>
      </c>
      <c r="C154" s="542"/>
      <c r="D154" s="542"/>
      <c r="E154" s="542"/>
      <c r="F154" s="542"/>
      <c r="G154" s="542"/>
      <c r="H154" s="542"/>
      <c r="I154" s="542"/>
      <c r="J154" s="542"/>
      <c r="K154" s="542"/>
      <c r="L154" s="542"/>
      <c r="M154" s="542">
        <f t="shared" si="20"/>
        <v>0</v>
      </c>
      <c r="N154" s="606"/>
      <c r="O154" s="606"/>
      <c r="P154" s="606"/>
      <c r="Q154" s="606"/>
      <c r="R154" s="606"/>
      <c r="S154" s="606"/>
      <c r="T154" s="606">
        <v>100000</v>
      </c>
      <c r="U154" s="606"/>
      <c r="V154" s="606">
        <f t="shared" si="21"/>
        <v>100000</v>
      </c>
      <c r="W154" s="636">
        <f t="shared" si="22"/>
        <v>-100000</v>
      </c>
      <c r="X154" s="635"/>
      <c r="Y154" s="635"/>
    </row>
    <row r="155" spans="1:25" s="589" customFormat="1">
      <c r="A155" s="638"/>
      <c r="B155" s="626" t="s">
        <v>377</v>
      </c>
      <c r="C155" s="542"/>
      <c r="D155" s="542">
        <v>575000</v>
      </c>
      <c r="E155" s="542"/>
      <c r="F155" s="542"/>
      <c r="G155" s="542"/>
      <c r="H155" s="542"/>
      <c r="I155" s="542"/>
      <c r="J155" s="542"/>
      <c r="K155" s="542"/>
      <c r="L155" s="542"/>
      <c r="M155" s="542">
        <f t="shared" ref="M155:M163" si="23">SUM(C155:L155)</f>
        <v>575000</v>
      </c>
      <c r="N155" s="606"/>
      <c r="O155" s="606"/>
      <c r="P155" s="606"/>
      <c r="Q155" s="606"/>
      <c r="R155" s="606"/>
      <c r="S155" s="606"/>
      <c r="T155" s="606"/>
      <c r="U155" s="606"/>
      <c r="V155" s="606">
        <f t="shared" si="21"/>
        <v>0</v>
      </c>
      <c r="W155" s="636">
        <f t="shared" si="22"/>
        <v>575000</v>
      </c>
      <c r="X155" s="635"/>
      <c r="Y155" s="635"/>
    </row>
    <row r="156" spans="1:25" s="589" customFormat="1">
      <c r="A156" s="638"/>
      <c r="B156" s="626" t="s">
        <v>378</v>
      </c>
      <c r="C156" s="542">
        <v>250000</v>
      </c>
      <c r="D156" s="542"/>
      <c r="E156" s="542"/>
      <c r="F156" s="542"/>
      <c r="G156" s="542"/>
      <c r="H156" s="542"/>
      <c r="I156" s="542"/>
      <c r="J156" s="542"/>
      <c r="K156" s="542"/>
      <c r="L156" s="542"/>
      <c r="M156" s="542">
        <f t="shared" si="23"/>
        <v>250000</v>
      </c>
      <c r="N156" s="606"/>
      <c r="O156" s="606"/>
      <c r="P156" s="606"/>
      <c r="Q156" s="606"/>
      <c r="R156" s="606"/>
      <c r="S156" s="606"/>
      <c r="T156" s="606"/>
      <c r="U156" s="606"/>
      <c r="V156" s="606">
        <f t="shared" si="21"/>
        <v>0</v>
      </c>
      <c r="W156" s="636">
        <f t="shared" si="22"/>
        <v>250000</v>
      </c>
      <c r="X156" s="635"/>
      <c r="Y156" s="635"/>
    </row>
    <row r="157" spans="1:25" s="589" customFormat="1">
      <c r="A157" s="638"/>
      <c r="B157" s="626" t="s">
        <v>379</v>
      </c>
      <c r="C157" s="542">
        <v>350000</v>
      </c>
      <c r="D157" s="542"/>
      <c r="E157" s="542"/>
      <c r="F157" s="542"/>
      <c r="G157" s="542"/>
      <c r="H157" s="542"/>
      <c r="I157" s="542"/>
      <c r="J157" s="542"/>
      <c r="K157" s="542"/>
      <c r="L157" s="542"/>
      <c r="M157" s="542">
        <f t="shared" si="23"/>
        <v>350000</v>
      </c>
      <c r="N157" s="542"/>
      <c r="O157" s="542"/>
      <c r="P157" s="542"/>
      <c r="Q157" s="542"/>
      <c r="R157" s="542"/>
      <c r="S157" s="542"/>
      <c r="T157" s="542"/>
      <c r="U157" s="542"/>
      <c r="V157" s="606">
        <f t="shared" si="21"/>
        <v>0</v>
      </c>
      <c r="W157" s="636">
        <f t="shared" si="22"/>
        <v>350000</v>
      </c>
      <c r="X157" s="635"/>
      <c r="Y157" s="635"/>
    </row>
    <row r="158" spans="1:25" s="589" customFormat="1">
      <c r="A158" s="638"/>
      <c r="B158" s="626" t="s">
        <v>379</v>
      </c>
      <c r="C158" s="542"/>
      <c r="D158" s="542">
        <v>250000</v>
      </c>
      <c r="E158" s="542"/>
      <c r="F158" s="542"/>
      <c r="G158" s="542"/>
      <c r="H158" s="542"/>
      <c r="I158" s="542"/>
      <c r="J158" s="542"/>
      <c r="K158" s="542"/>
      <c r="L158" s="542"/>
      <c r="M158" s="542">
        <f t="shared" si="23"/>
        <v>250000</v>
      </c>
      <c r="N158" s="542"/>
      <c r="O158" s="542"/>
      <c r="P158" s="542"/>
      <c r="Q158" s="542"/>
      <c r="R158" s="542"/>
      <c r="S158" s="542"/>
      <c r="T158" s="542"/>
      <c r="U158" s="542"/>
      <c r="V158" s="542">
        <f t="shared" si="21"/>
        <v>0</v>
      </c>
      <c r="W158" s="636">
        <f t="shared" si="22"/>
        <v>250000</v>
      </c>
      <c r="X158" s="635"/>
      <c r="Y158" s="635"/>
    </row>
    <row r="159" spans="1:25" s="589" customFormat="1">
      <c r="A159" s="638"/>
      <c r="B159" s="626" t="s">
        <v>380</v>
      </c>
      <c r="C159" s="542">
        <v>60000</v>
      </c>
      <c r="D159" s="542"/>
      <c r="E159" s="542"/>
      <c r="F159" s="542"/>
      <c r="G159" s="542"/>
      <c r="H159" s="542"/>
      <c r="I159" s="542"/>
      <c r="J159" s="542"/>
      <c r="K159" s="542"/>
      <c r="L159" s="542"/>
      <c r="M159" s="542">
        <f t="shared" si="23"/>
        <v>60000</v>
      </c>
      <c r="N159" s="542"/>
      <c r="O159" s="542"/>
      <c r="P159" s="542"/>
      <c r="Q159" s="542"/>
      <c r="R159" s="542"/>
      <c r="S159" s="542"/>
      <c r="T159" s="542"/>
      <c r="U159" s="542"/>
      <c r="V159" s="542">
        <f t="shared" si="21"/>
        <v>0</v>
      </c>
      <c r="W159" s="636">
        <f t="shared" si="22"/>
        <v>60000</v>
      </c>
      <c r="X159" s="635"/>
      <c r="Y159" s="635"/>
    </row>
    <row r="160" spans="1:25" s="589" customFormat="1">
      <c r="A160" s="638"/>
      <c r="B160" s="626" t="s">
        <v>381</v>
      </c>
      <c r="C160" s="542">
        <v>250000</v>
      </c>
      <c r="D160" s="542"/>
      <c r="E160" s="542"/>
      <c r="F160" s="542"/>
      <c r="G160" s="542"/>
      <c r="H160" s="542"/>
      <c r="I160" s="542"/>
      <c r="J160" s="542"/>
      <c r="K160" s="542"/>
      <c r="L160" s="542"/>
      <c r="M160" s="542">
        <f t="shared" si="23"/>
        <v>250000</v>
      </c>
      <c r="N160" s="542"/>
      <c r="O160" s="542"/>
      <c r="P160" s="542"/>
      <c r="Q160" s="542"/>
      <c r="R160" s="542"/>
      <c r="S160" s="542"/>
      <c r="T160" s="542"/>
      <c r="U160" s="542"/>
      <c r="V160" s="542">
        <f t="shared" si="21"/>
        <v>0</v>
      </c>
      <c r="W160" s="636">
        <f t="shared" si="22"/>
        <v>250000</v>
      </c>
      <c r="X160" s="635"/>
      <c r="Y160" s="635"/>
    </row>
    <row r="161" spans="1:25" s="589" customFormat="1">
      <c r="A161" s="638"/>
      <c r="B161" s="626" t="s">
        <v>382</v>
      </c>
      <c r="C161" s="542">
        <v>250000</v>
      </c>
      <c r="D161" s="542"/>
      <c r="E161" s="542"/>
      <c r="F161" s="542"/>
      <c r="G161" s="542"/>
      <c r="H161" s="542"/>
      <c r="I161" s="542"/>
      <c r="J161" s="542"/>
      <c r="K161" s="542"/>
      <c r="L161" s="542"/>
      <c r="M161" s="542">
        <f t="shared" si="23"/>
        <v>250000</v>
      </c>
      <c r="N161" s="542"/>
      <c r="O161" s="542"/>
      <c r="P161" s="542"/>
      <c r="Q161" s="542"/>
      <c r="R161" s="542"/>
      <c r="S161" s="542"/>
      <c r="T161" s="542"/>
      <c r="U161" s="542"/>
      <c r="V161" s="542">
        <f t="shared" si="21"/>
        <v>0</v>
      </c>
      <c r="W161" s="636">
        <f t="shared" si="22"/>
        <v>250000</v>
      </c>
      <c r="X161" s="635"/>
      <c r="Y161" s="635"/>
    </row>
    <row r="162" spans="1:25" s="589" customFormat="1">
      <c r="A162" s="638"/>
      <c r="B162" s="626" t="s">
        <v>276</v>
      </c>
      <c r="C162" s="542">
        <v>50000</v>
      </c>
      <c r="D162" s="542"/>
      <c r="E162" s="542"/>
      <c r="F162" s="542"/>
      <c r="G162" s="542"/>
      <c r="H162" s="542"/>
      <c r="I162" s="542"/>
      <c r="J162" s="542"/>
      <c r="K162" s="542"/>
      <c r="L162" s="542"/>
      <c r="M162" s="542">
        <f t="shared" si="23"/>
        <v>50000</v>
      </c>
      <c r="N162" s="542"/>
      <c r="O162" s="542"/>
      <c r="P162" s="542"/>
      <c r="Q162" s="542"/>
      <c r="R162" s="542"/>
      <c r="S162" s="542"/>
      <c r="T162" s="542"/>
      <c r="U162" s="542"/>
      <c r="V162" s="542">
        <f t="shared" si="21"/>
        <v>0</v>
      </c>
      <c r="W162" s="636">
        <f t="shared" si="22"/>
        <v>50000</v>
      </c>
      <c r="X162" s="635"/>
      <c r="Y162" s="635"/>
    </row>
    <row r="163" spans="1:25" s="589" customFormat="1">
      <c r="A163" s="638"/>
      <c r="B163" s="626" t="s">
        <v>383</v>
      </c>
      <c r="C163" s="542">
        <v>100000</v>
      </c>
      <c r="D163" s="542"/>
      <c r="E163" s="542"/>
      <c r="F163" s="542"/>
      <c r="G163" s="542"/>
      <c r="H163" s="542"/>
      <c r="I163" s="542"/>
      <c r="J163" s="542"/>
      <c r="K163" s="542"/>
      <c r="L163" s="542"/>
      <c r="M163" s="542">
        <f t="shared" si="23"/>
        <v>100000</v>
      </c>
      <c r="N163" s="542"/>
      <c r="O163" s="542"/>
      <c r="P163" s="542"/>
      <c r="Q163" s="542"/>
      <c r="R163" s="542"/>
      <c r="S163" s="542"/>
      <c r="T163" s="542"/>
      <c r="U163" s="542"/>
      <c r="V163" s="542">
        <f t="shared" si="21"/>
        <v>0</v>
      </c>
      <c r="W163" s="636">
        <f t="shared" si="22"/>
        <v>100000</v>
      </c>
      <c r="X163" s="635"/>
      <c r="Y163" s="635"/>
    </row>
    <row r="164" spans="1:25">
      <c r="A164" s="626"/>
      <c r="B164" s="626" t="s">
        <v>357</v>
      </c>
      <c r="C164" s="542"/>
      <c r="D164" s="542">
        <v>300000</v>
      </c>
      <c r="E164" s="542"/>
      <c r="F164" s="542"/>
      <c r="G164" s="542"/>
      <c r="H164" s="542"/>
      <c r="I164" s="542"/>
      <c r="J164" s="542"/>
      <c r="K164" s="542"/>
      <c r="L164" s="542"/>
      <c r="M164" s="542">
        <f t="shared" ref="M164:M180" si="24">SUM(C164:L164)</f>
        <v>300000</v>
      </c>
      <c r="N164" s="542"/>
      <c r="O164" s="542"/>
      <c r="P164" s="542"/>
      <c r="Q164" s="542"/>
      <c r="R164" s="542"/>
      <c r="S164" s="542"/>
      <c r="T164" s="542"/>
      <c r="U164" s="542"/>
      <c r="V164" s="542">
        <f t="shared" ref="V164:V172" si="25">SUM(N164:U164)</f>
        <v>0</v>
      </c>
      <c r="W164" s="636">
        <f t="shared" ref="W164:W172" si="26">SUM(M164-V164)</f>
        <v>300000</v>
      </c>
      <c r="X164" s="602"/>
      <c r="Y164" s="602"/>
    </row>
    <row r="165" spans="1:25" s="589" customFormat="1">
      <c r="A165" s="638"/>
      <c r="B165" s="626" t="s">
        <v>384</v>
      </c>
      <c r="C165" s="542">
        <v>50000</v>
      </c>
      <c r="D165" s="542"/>
      <c r="E165" s="542"/>
      <c r="F165" s="542"/>
      <c r="G165" s="542"/>
      <c r="H165" s="542"/>
      <c r="I165" s="542"/>
      <c r="J165" s="542"/>
      <c r="K165" s="542"/>
      <c r="L165" s="542"/>
      <c r="M165" s="542">
        <f t="shared" si="24"/>
        <v>50000</v>
      </c>
      <c r="N165" s="606"/>
      <c r="O165" s="606"/>
      <c r="P165" s="606"/>
      <c r="Q165" s="606"/>
      <c r="R165" s="606"/>
      <c r="S165" s="606"/>
      <c r="T165" s="606"/>
      <c r="U165" s="606"/>
      <c r="V165" s="606">
        <f t="shared" si="25"/>
        <v>0</v>
      </c>
      <c r="W165" s="636">
        <f t="shared" si="26"/>
        <v>50000</v>
      </c>
      <c r="X165" s="635"/>
      <c r="Y165" s="635"/>
    </row>
    <row r="166" spans="1:25" s="589" customFormat="1">
      <c r="A166" s="638"/>
      <c r="B166" s="626" t="s">
        <v>385</v>
      </c>
      <c r="C166" s="542"/>
      <c r="D166" s="542"/>
      <c r="E166" s="542"/>
      <c r="F166" s="542"/>
      <c r="G166" s="542"/>
      <c r="H166" s="542"/>
      <c r="I166" s="542"/>
      <c r="J166" s="542">
        <v>387000</v>
      </c>
      <c r="K166" s="542"/>
      <c r="L166" s="542"/>
      <c r="M166" s="542">
        <f t="shared" si="24"/>
        <v>387000</v>
      </c>
      <c r="N166" s="606"/>
      <c r="O166" s="606"/>
      <c r="P166" s="606"/>
      <c r="Q166" s="606"/>
      <c r="R166" s="606"/>
      <c r="S166" s="606"/>
      <c r="T166" s="606"/>
      <c r="U166" s="606"/>
      <c r="V166" s="606">
        <f t="shared" si="25"/>
        <v>0</v>
      </c>
      <c r="W166" s="636">
        <f t="shared" si="26"/>
        <v>387000</v>
      </c>
      <c r="X166" s="635"/>
      <c r="Y166" s="635"/>
    </row>
    <row r="167" spans="1:25" s="589" customFormat="1">
      <c r="A167" s="638"/>
      <c r="B167" s="626" t="s">
        <v>297</v>
      </c>
      <c r="C167" s="542">
        <v>50000</v>
      </c>
      <c r="D167" s="542"/>
      <c r="E167" s="542"/>
      <c r="F167" s="542"/>
      <c r="G167" s="542"/>
      <c r="H167" s="542"/>
      <c r="I167" s="542"/>
      <c r="J167" s="542"/>
      <c r="K167" s="542"/>
      <c r="L167" s="542"/>
      <c r="M167" s="542">
        <f t="shared" si="24"/>
        <v>50000</v>
      </c>
      <c r="N167" s="606"/>
      <c r="O167" s="606"/>
      <c r="P167" s="606"/>
      <c r="Q167" s="606"/>
      <c r="R167" s="606"/>
      <c r="S167" s="606"/>
      <c r="T167" s="606"/>
      <c r="U167" s="606"/>
      <c r="V167" s="606">
        <f t="shared" si="25"/>
        <v>0</v>
      </c>
      <c r="W167" s="636">
        <f t="shared" si="26"/>
        <v>50000</v>
      </c>
      <c r="X167" s="635"/>
      <c r="Y167" s="635"/>
    </row>
    <row r="168" spans="1:25" s="589" customFormat="1">
      <c r="A168" s="638"/>
      <c r="B168" s="626" t="s">
        <v>386</v>
      </c>
      <c r="C168" s="542"/>
      <c r="D168" s="542"/>
      <c r="E168" s="542">
        <v>2720640</v>
      </c>
      <c r="F168" s="542"/>
      <c r="G168" s="542"/>
      <c r="H168" s="542"/>
      <c r="I168" s="542"/>
      <c r="J168" s="542"/>
      <c r="K168" s="542"/>
      <c r="L168" s="542"/>
      <c r="M168" s="542">
        <f t="shared" si="24"/>
        <v>2720640</v>
      </c>
      <c r="N168" s="606"/>
      <c r="O168" s="606"/>
      <c r="P168" s="606"/>
      <c r="Q168" s="606"/>
      <c r="R168" s="606"/>
      <c r="S168" s="606"/>
      <c r="T168" s="606"/>
      <c r="U168" s="606"/>
      <c r="V168" s="606">
        <f t="shared" si="25"/>
        <v>0</v>
      </c>
      <c r="W168" s="636">
        <f t="shared" si="26"/>
        <v>2720640</v>
      </c>
      <c r="X168" s="635"/>
      <c r="Y168" s="635"/>
    </row>
    <row r="169" spans="1:25" s="589" customFormat="1">
      <c r="A169" s="638"/>
      <c r="B169" s="626" t="s">
        <v>387</v>
      </c>
      <c r="C169" s="542"/>
      <c r="D169" s="542"/>
      <c r="E169" s="542">
        <v>1090000</v>
      </c>
      <c r="F169" s="542"/>
      <c r="G169" s="542"/>
      <c r="H169" s="542"/>
      <c r="I169" s="542"/>
      <c r="J169" s="542"/>
      <c r="K169" s="542"/>
      <c r="L169" s="542"/>
      <c r="M169" s="542">
        <f t="shared" si="24"/>
        <v>1090000</v>
      </c>
      <c r="N169" s="606"/>
      <c r="O169" s="606"/>
      <c r="P169" s="606"/>
      <c r="Q169" s="606"/>
      <c r="R169" s="606"/>
      <c r="S169" s="606"/>
      <c r="T169" s="606"/>
      <c r="U169" s="606"/>
      <c r="V169" s="606">
        <f t="shared" si="25"/>
        <v>0</v>
      </c>
      <c r="W169" s="636">
        <f t="shared" si="26"/>
        <v>1090000</v>
      </c>
      <c r="X169" s="635"/>
      <c r="Y169" s="635"/>
    </row>
    <row r="170" spans="1:25" s="589" customFormat="1">
      <c r="A170" s="638"/>
      <c r="B170" s="626" t="s">
        <v>386</v>
      </c>
      <c r="C170" s="542"/>
      <c r="D170" s="542"/>
      <c r="E170" s="542">
        <v>281500</v>
      </c>
      <c r="F170" s="542"/>
      <c r="G170" s="542"/>
      <c r="H170" s="542"/>
      <c r="I170" s="542"/>
      <c r="J170" s="542"/>
      <c r="K170" s="542"/>
      <c r="L170" s="542"/>
      <c r="M170" s="542">
        <f t="shared" si="24"/>
        <v>281500</v>
      </c>
      <c r="N170" s="606"/>
      <c r="O170" s="606"/>
      <c r="P170" s="606"/>
      <c r="Q170" s="606"/>
      <c r="R170" s="606"/>
      <c r="S170" s="606"/>
      <c r="T170" s="606"/>
      <c r="U170" s="606"/>
      <c r="V170" s="606">
        <f t="shared" si="25"/>
        <v>0</v>
      </c>
      <c r="W170" s="636">
        <f t="shared" si="26"/>
        <v>281500</v>
      </c>
      <c r="X170" s="635"/>
      <c r="Y170" s="635"/>
    </row>
    <row r="171" spans="1:25" s="589" customFormat="1">
      <c r="A171" s="638"/>
      <c r="B171" s="626" t="s">
        <v>388</v>
      </c>
      <c r="C171" s="542"/>
      <c r="D171" s="542">
        <v>217000</v>
      </c>
      <c r="E171" s="542"/>
      <c r="F171" s="542"/>
      <c r="G171" s="542"/>
      <c r="H171" s="542"/>
      <c r="I171" s="542"/>
      <c r="J171" s="542"/>
      <c r="K171" s="542"/>
      <c r="L171" s="542"/>
      <c r="M171" s="542">
        <f t="shared" si="24"/>
        <v>217000</v>
      </c>
      <c r="N171" s="606"/>
      <c r="O171" s="606"/>
      <c r="P171" s="606"/>
      <c r="Q171" s="606"/>
      <c r="R171" s="606"/>
      <c r="S171" s="606"/>
      <c r="T171" s="606"/>
      <c r="U171" s="606"/>
      <c r="V171" s="606">
        <f t="shared" si="25"/>
        <v>0</v>
      </c>
      <c r="W171" s="636">
        <f t="shared" si="26"/>
        <v>217000</v>
      </c>
      <c r="X171" s="635"/>
      <c r="Y171" s="635"/>
    </row>
    <row r="172" spans="1:25" s="589" customFormat="1">
      <c r="A172" s="638"/>
      <c r="B172" s="626" t="s">
        <v>389</v>
      </c>
      <c r="C172" s="542">
        <v>100000</v>
      </c>
      <c r="D172" s="542"/>
      <c r="E172" s="542"/>
      <c r="F172" s="542"/>
      <c r="G172" s="542"/>
      <c r="H172" s="542"/>
      <c r="I172" s="542"/>
      <c r="J172" s="542"/>
      <c r="K172" s="542"/>
      <c r="L172" s="542"/>
      <c r="M172" s="542">
        <f t="shared" si="24"/>
        <v>100000</v>
      </c>
      <c r="N172" s="606"/>
      <c r="O172" s="606"/>
      <c r="P172" s="606"/>
      <c r="Q172" s="606"/>
      <c r="R172" s="606"/>
      <c r="S172" s="606"/>
      <c r="T172" s="606"/>
      <c r="U172" s="606"/>
      <c r="V172" s="606">
        <f t="shared" si="25"/>
        <v>0</v>
      </c>
      <c r="W172" s="636">
        <f t="shared" si="26"/>
        <v>100000</v>
      </c>
      <c r="X172" s="635"/>
      <c r="Y172" s="635"/>
    </row>
    <row r="173" spans="1:25" s="589" customFormat="1">
      <c r="A173" s="638"/>
      <c r="B173" s="626" t="s">
        <v>390</v>
      </c>
      <c r="C173" s="542">
        <v>750000</v>
      </c>
      <c r="D173" s="542"/>
      <c r="E173" s="542"/>
      <c r="F173" s="542"/>
      <c r="G173" s="542"/>
      <c r="H173" s="542"/>
      <c r="I173" s="542"/>
      <c r="J173" s="542"/>
      <c r="K173" s="542"/>
      <c r="L173" s="542"/>
      <c r="M173" s="542">
        <f t="shared" si="24"/>
        <v>750000</v>
      </c>
      <c r="N173" s="606"/>
      <c r="O173" s="606"/>
      <c r="P173" s="606"/>
      <c r="Q173" s="606"/>
      <c r="R173" s="606"/>
      <c r="S173" s="606"/>
      <c r="T173" s="606"/>
      <c r="U173" s="606"/>
      <c r="V173" s="606">
        <f t="shared" ref="V173:V187" si="27">SUM(N173:U173)</f>
        <v>0</v>
      </c>
      <c r="W173" s="636">
        <f t="shared" ref="W173:W187" si="28">SUM(M173-V173)</f>
        <v>750000</v>
      </c>
      <c r="X173" s="635"/>
      <c r="Y173" s="635"/>
    </row>
    <row r="174" spans="1:25" s="589" customFormat="1">
      <c r="A174" s="638"/>
      <c r="B174" s="626" t="s">
        <v>391</v>
      </c>
      <c r="C174" s="542">
        <v>50000</v>
      </c>
      <c r="D174" s="542"/>
      <c r="E174" s="542"/>
      <c r="F174" s="542"/>
      <c r="G174" s="542"/>
      <c r="H174" s="542"/>
      <c r="I174" s="542"/>
      <c r="J174" s="542"/>
      <c r="K174" s="542"/>
      <c r="L174" s="542"/>
      <c r="M174" s="542">
        <f t="shared" si="24"/>
        <v>50000</v>
      </c>
      <c r="N174" s="606"/>
      <c r="O174" s="606"/>
      <c r="P174" s="606"/>
      <c r="Q174" s="606"/>
      <c r="R174" s="606"/>
      <c r="S174" s="606"/>
      <c r="T174" s="606"/>
      <c r="U174" s="606"/>
      <c r="V174" s="606">
        <f t="shared" si="27"/>
        <v>0</v>
      </c>
      <c r="W174" s="636">
        <f t="shared" si="28"/>
        <v>50000</v>
      </c>
      <c r="X174" s="635"/>
      <c r="Y174" s="635"/>
    </row>
    <row r="175" spans="1:25" s="589" customFormat="1">
      <c r="A175" s="638"/>
      <c r="B175" s="626" t="s">
        <v>392</v>
      </c>
      <c r="C175" s="542"/>
      <c r="D175" s="542"/>
      <c r="E175" s="542"/>
      <c r="F175" s="542"/>
      <c r="G175" s="542"/>
      <c r="H175" s="542"/>
      <c r="I175" s="542"/>
      <c r="J175" s="542"/>
      <c r="K175" s="542"/>
      <c r="L175" s="542"/>
      <c r="M175" s="542">
        <f t="shared" si="24"/>
        <v>0</v>
      </c>
      <c r="N175" s="606"/>
      <c r="O175" s="606"/>
      <c r="P175" s="606"/>
      <c r="Q175" s="606"/>
      <c r="R175" s="606"/>
      <c r="S175" s="606"/>
      <c r="T175" s="606">
        <v>40000</v>
      </c>
      <c r="U175" s="606"/>
      <c r="V175" s="606">
        <f t="shared" si="27"/>
        <v>40000</v>
      </c>
      <c r="W175" s="636">
        <f t="shared" si="28"/>
        <v>-40000</v>
      </c>
      <c r="X175" s="635"/>
      <c r="Y175" s="635"/>
    </row>
    <row r="176" spans="1:25" s="589" customFormat="1">
      <c r="A176" s="638"/>
      <c r="B176" s="626" t="s">
        <v>393</v>
      </c>
      <c r="C176" s="542"/>
      <c r="D176" s="542">
        <v>800000</v>
      </c>
      <c r="E176" s="542"/>
      <c r="F176" s="542"/>
      <c r="G176" s="542"/>
      <c r="H176" s="542"/>
      <c r="I176" s="542"/>
      <c r="J176" s="542"/>
      <c r="K176" s="542"/>
      <c r="L176" s="542"/>
      <c r="M176" s="542">
        <f t="shared" si="24"/>
        <v>800000</v>
      </c>
      <c r="N176" s="606"/>
      <c r="O176" s="606"/>
      <c r="P176" s="606"/>
      <c r="Q176" s="606"/>
      <c r="R176" s="606"/>
      <c r="S176" s="606"/>
      <c r="T176" s="606"/>
      <c r="U176" s="606"/>
      <c r="V176" s="606">
        <f t="shared" si="27"/>
        <v>0</v>
      </c>
      <c r="W176" s="636">
        <f t="shared" si="28"/>
        <v>800000</v>
      </c>
      <c r="X176" s="635"/>
      <c r="Y176" s="635"/>
    </row>
    <row r="177" spans="1:25" s="589" customFormat="1">
      <c r="A177" s="638"/>
      <c r="B177" s="626" t="s">
        <v>394</v>
      </c>
      <c r="C177" s="542"/>
      <c r="D177" s="542">
        <v>1500000</v>
      </c>
      <c r="E177" s="542"/>
      <c r="F177" s="542"/>
      <c r="G177" s="542"/>
      <c r="H177" s="542"/>
      <c r="I177" s="542"/>
      <c r="J177" s="542"/>
      <c r="K177" s="542"/>
      <c r="L177" s="542"/>
      <c r="M177" s="542">
        <f t="shared" si="24"/>
        <v>1500000</v>
      </c>
      <c r="N177" s="606"/>
      <c r="O177" s="606"/>
      <c r="P177" s="606"/>
      <c r="Q177" s="606"/>
      <c r="R177" s="606"/>
      <c r="S177" s="606"/>
      <c r="T177" s="606"/>
      <c r="U177" s="606"/>
      <c r="V177" s="606">
        <f t="shared" si="27"/>
        <v>0</v>
      </c>
      <c r="W177" s="636">
        <f t="shared" si="28"/>
        <v>1500000</v>
      </c>
      <c r="X177" s="635"/>
      <c r="Y177" s="635"/>
    </row>
    <row r="178" spans="1:25" s="589" customFormat="1">
      <c r="A178" s="638"/>
      <c r="B178" s="626" t="s">
        <v>395</v>
      </c>
      <c r="C178" s="542">
        <v>100000</v>
      </c>
      <c r="D178" s="542"/>
      <c r="E178" s="542"/>
      <c r="F178" s="542"/>
      <c r="G178" s="542"/>
      <c r="H178" s="542"/>
      <c r="I178" s="542"/>
      <c r="J178" s="542"/>
      <c r="K178" s="542"/>
      <c r="L178" s="542"/>
      <c r="M178" s="542">
        <f t="shared" si="24"/>
        <v>100000</v>
      </c>
      <c r="N178" s="606"/>
      <c r="O178" s="606"/>
      <c r="P178" s="606"/>
      <c r="Q178" s="606"/>
      <c r="R178" s="606"/>
      <c r="S178" s="606"/>
      <c r="T178" s="606"/>
      <c r="U178" s="606"/>
      <c r="V178" s="606">
        <f t="shared" si="27"/>
        <v>0</v>
      </c>
      <c r="W178" s="636">
        <f t="shared" si="28"/>
        <v>100000</v>
      </c>
      <c r="X178" s="635"/>
      <c r="Y178" s="635"/>
    </row>
    <row r="179" spans="1:25" s="589" customFormat="1">
      <c r="A179" s="638"/>
      <c r="B179" s="626" t="s">
        <v>396</v>
      </c>
      <c r="C179" s="542">
        <v>100000</v>
      </c>
      <c r="D179" s="542"/>
      <c r="E179" s="542"/>
      <c r="F179" s="542"/>
      <c r="G179" s="542"/>
      <c r="H179" s="542"/>
      <c r="I179" s="542"/>
      <c r="J179" s="542"/>
      <c r="K179" s="542"/>
      <c r="L179" s="542"/>
      <c r="M179" s="542">
        <f t="shared" si="24"/>
        <v>100000</v>
      </c>
      <c r="N179" s="606"/>
      <c r="O179" s="606"/>
      <c r="P179" s="606"/>
      <c r="Q179" s="606"/>
      <c r="R179" s="606"/>
      <c r="S179" s="606"/>
      <c r="T179" s="606"/>
      <c r="U179" s="606"/>
      <c r="V179" s="606">
        <f t="shared" si="27"/>
        <v>0</v>
      </c>
      <c r="W179" s="636">
        <f t="shared" si="28"/>
        <v>100000</v>
      </c>
      <c r="X179" s="635"/>
      <c r="Y179" s="635"/>
    </row>
    <row r="180" spans="1:25" s="589" customFormat="1">
      <c r="A180" s="638"/>
      <c r="B180" s="626" t="s">
        <v>397</v>
      </c>
      <c r="C180" s="542"/>
      <c r="D180" s="542">
        <v>137000</v>
      </c>
      <c r="E180" s="542"/>
      <c r="F180" s="542"/>
      <c r="G180" s="542"/>
      <c r="H180" s="542"/>
      <c r="I180" s="542"/>
      <c r="J180" s="542"/>
      <c r="K180" s="542"/>
      <c r="L180" s="542"/>
      <c r="M180" s="542">
        <f t="shared" si="24"/>
        <v>137000</v>
      </c>
      <c r="N180" s="606"/>
      <c r="O180" s="606"/>
      <c r="P180" s="606"/>
      <c r="Q180" s="606"/>
      <c r="R180" s="606"/>
      <c r="S180" s="606"/>
      <c r="T180" s="606"/>
      <c r="U180" s="606"/>
      <c r="V180" s="606">
        <f t="shared" si="27"/>
        <v>0</v>
      </c>
      <c r="W180" s="636">
        <f t="shared" si="28"/>
        <v>137000</v>
      </c>
      <c r="X180" s="635"/>
      <c r="Y180" s="635"/>
    </row>
    <row r="181" spans="1:25" s="589" customFormat="1">
      <c r="A181" s="638"/>
      <c r="B181" s="639" t="s">
        <v>398</v>
      </c>
      <c r="C181" s="542">
        <v>50000</v>
      </c>
      <c r="D181" s="542"/>
      <c r="E181" s="542"/>
      <c r="F181" s="542"/>
      <c r="G181" s="542"/>
      <c r="H181" s="542"/>
      <c r="I181" s="542"/>
      <c r="J181" s="542"/>
      <c r="K181" s="542"/>
      <c r="L181" s="542"/>
      <c r="M181" s="542"/>
      <c r="N181" s="606"/>
      <c r="O181" s="606"/>
      <c r="P181" s="606"/>
      <c r="Q181" s="606"/>
      <c r="R181" s="606"/>
      <c r="S181" s="606"/>
      <c r="T181" s="606"/>
      <c r="U181" s="606"/>
      <c r="V181" s="606">
        <f t="shared" si="27"/>
        <v>0</v>
      </c>
      <c r="W181" s="636">
        <f t="shared" si="28"/>
        <v>0</v>
      </c>
      <c r="X181" s="635"/>
      <c r="Y181" s="635"/>
    </row>
    <row r="182" spans="1:25" s="589" customFormat="1">
      <c r="A182" s="638"/>
      <c r="B182" s="626" t="s">
        <v>399</v>
      </c>
      <c r="C182" s="542">
        <v>300000</v>
      </c>
      <c r="D182" s="542"/>
      <c r="E182" s="542"/>
      <c r="F182" s="542"/>
      <c r="G182" s="542"/>
      <c r="H182" s="542"/>
      <c r="I182" s="542"/>
      <c r="J182" s="542"/>
      <c r="K182" s="542"/>
      <c r="L182" s="542"/>
      <c r="M182" s="542"/>
      <c r="N182" s="606"/>
      <c r="O182" s="606"/>
      <c r="P182" s="606"/>
      <c r="Q182" s="606"/>
      <c r="R182" s="606"/>
      <c r="S182" s="606"/>
      <c r="T182" s="606"/>
      <c r="U182" s="606"/>
      <c r="V182" s="606">
        <f t="shared" si="27"/>
        <v>0</v>
      </c>
      <c r="W182" s="636">
        <f t="shared" si="28"/>
        <v>0</v>
      </c>
      <c r="X182" s="635"/>
      <c r="Y182" s="635"/>
    </row>
    <row r="183" spans="1:25" s="589" customFormat="1">
      <c r="A183" s="638"/>
      <c r="B183" s="626" t="s">
        <v>400</v>
      </c>
      <c r="C183" s="542">
        <v>120000</v>
      </c>
      <c r="D183" s="542"/>
      <c r="E183" s="542"/>
      <c r="F183" s="542"/>
      <c r="G183" s="542"/>
      <c r="H183" s="542"/>
      <c r="I183" s="542"/>
      <c r="J183" s="542"/>
      <c r="K183" s="542"/>
      <c r="L183" s="542"/>
      <c r="M183" s="542">
        <f>SUM(C183:L183)</f>
        <v>120000</v>
      </c>
      <c r="N183" s="606"/>
      <c r="O183" s="606"/>
      <c r="P183" s="606"/>
      <c r="Q183" s="606"/>
      <c r="R183" s="606"/>
      <c r="S183" s="606"/>
      <c r="T183" s="606"/>
      <c r="U183" s="606"/>
      <c r="V183" s="606">
        <f t="shared" si="27"/>
        <v>0</v>
      </c>
      <c r="W183" s="636">
        <f t="shared" si="28"/>
        <v>120000</v>
      </c>
      <c r="X183" s="635"/>
      <c r="Y183" s="635"/>
    </row>
    <row r="184" spans="1:25" s="589" customFormat="1">
      <c r="A184" s="638"/>
      <c r="B184" s="626" t="s">
        <v>401</v>
      </c>
      <c r="C184" s="542">
        <v>50000</v>
      </c>
      <c r="D184" s="542"/>
      <c r="E184" s="542"/>
      <c r="F184" s="542"/>
      <c r="G184" s="542"/>
      <c r="H184" s="542"/>
      <c r="I184" s="542"/>
      <c r="J184" s="542"/>
      <c r="K184" s="542"/>
      <c r="L184" s="542"/>
      <c r="M184" s="542">
        <f>SUM(C184:L184)</f>
        <v>50000</v>
      </c>
      <c r="N184" s="606"/>
      <c r="O184" s="606"/>
      <c r="P184" s="606"/>
      <c r="Q184" s="606"/>
      <c r="R184" s="606"/>
      <c r="S184" s="606"/>
      <c r="T184" s="606"/>
      <c r="U184" s="606"/>
      <c r="V184" s="606">
        <f t="shared" si="27"/>
        <v>0</v>
      </c>
      <c r="W184" s="636">
        <f t="shared" si="28"/>
        <v>50000</v>
      </c>
      <c r="X184" s="635"/>
      <c r="Y184" s="635"/>
    </row>
    <row r="185" spans="1:25" s="589" customFormat="1">
      <c r="A185" s="638"/>
      <c r="B185" s="626" t="s">
        <v>402</v>
      </c>
      <c r="C185" s="542">
        <v>500000</v>
      </c>
      <c r="D185" s="542"/>
      <c r="E185" s="542"/>
      <c r="F185" s="542"/>
      <c r="G185" s="542"/>
      <c r="H185" s="542"/>
      <c r="I185" s="542"/>
      <c r="J185" s="542"/>
      <c r="K185" s="542"/>
      <c r="L185" s="542"/>
      <c r="M185" s="542">
        <f>SUM(C185:L185)</f>
        <v>500000</v>
      </c>
      <c r="N185" s="606"/>
      <c r="O185" s="606"/>
      <c r="P185" s="606"/>
      <c r="Q185" s="606"/>
      <c r="R185" s="606"/>
      <c r="S185" s="606"/>
      <c r="T185" s="606"/>
      <c r="U185" s="606"/>
      <c r="V185" s="606">
        <f t="shared" si="27"/>
        <v>0</v>
      </c>
      <c r="W185" s="636">
        <f t="shared" si="28"/>
        <v>500000</v>
      </c>
      <c r="X185" s="635"/>
      <c r="Y185" s="635"/>
    </row>
    <row r="186" spans="1:25" s="589" customFormat="1">
      <c r="A186" s="638"/>
      <c r="B186" s="626" t="s">
        <v>403</v>
      </c>
      <c r="C186" s="542">
        <v>100000</v>
      </c>
      <c r="D186" s="542"/>
      <c r="E186" s="542"/>
      <c r="F186" s="542"/>
      <c r="G186" s="542"/>
      <c r="H186" s="542"/>
      <c r="I186" s="542"/>
      <c r="J186" s="542"/>
      <c r="K186" s="542"/>
      <c r="L186" s="542"/>
      <c r="M186" s="542">
        <f>SUM(C186:L186)</f>
        <v>100000</v>
      </c>
      <c r="N186" s="606"/>
      <c r="O186" s="606"/>
      <c r="P186" s="606"/>
      <c r="Q186" s="606"/>
      <c r="R186" s="606"/>
      <c r="S186" s="606"/>
      <c r="T186" s="606"/>
      <c r="U186" s="606"/>
      <c r="V186" s="606">
        <f t="shared" si="27"/>
        <v>0</v>
      </c>
      <c r="W186" s="636">
        <f t="shared" si="28"/>
        <v>100000</v>
      </c>
      <c r="X186" s="635"/>
      <c r="Y186" s="635"/>
    </row>
    <row r="187" spans="1:25" s="589" customFormat="1">
      <c r="A187" s="638"/>
      <c r="B187" s="626" t="s">
        <v>404</v>
      </c>
      <c r="C187" s="542">
        <v>100000</v>
      </c>
      <c r="D187" s="542"/>
      <c r="E187" s="542"/>
      <c r="F187" s="542"/>
      <c r="G187" s="542"/>
      <c r="H187" s="542"/>
      <c r="I187" s="542"/>
      <c r="J187" s="542"/>
      <c r="K187" s="542"/>
      <c r="L187" s="542"/>
      <c r="M187" s="542">
        <f>SUM(C187:L187)</f>
        <v>100000</v>
      </c>
      <c r="N187" s="606"/>
      <c r="O187" s="606"/>
      <c r="P187" s="606"/>
      <c r="Q187" s="606"/>
      <c r="R187" s="606"/>
      <c r="S187" s="606"/>
      <c r="T187" s="606"/>
      <c r="U187" s="606"/>
      <c r="V187" s="606">
        <f t="shared" si="27"/>
        <v>0</v>
      </c>
      <c r="W187" s="636">
        <f t="shared" si="28"/>
        <v>100000</v>
      </c>
      <c r="X187" s="635"/>
      <c r="Y187" s="635"/>
    </row>
    <row r="188" spans="1:25" s="589" customFormat="1">
      <c r="A188" s="638"/>
      <c r="B188" s="626" t="s">
        <v>372</v>
      </c>
      <c r="C188" s="542">
        <v>50000</v>
      </c>
      <c r="D188" s="542"/>
      <c r="E188" s="542"/>
      <c r="F188" s="542"/>
      <c r="G188" s="542"/>
      <c r="H188" s="542"/>
      <c r="I188" s="542"/>
      <c r="J188" s="542"/>
      <c r="K188" s="542"/>
      <c r="L188" s="542"/>
      <c r="M188" s="542">
        <f t="shared" ref="M188:M193" si="29">SUM(C188:L188)</f>
        <v>50000</v>
      </c>
      <c r="N188" s="606"/>
      <c r="O188" s="606"/>
      <c r="P188" s="606"/>
      <c r="Q188" s="606"/>
      <c r="R188" s="606"/>
      <c r="S188" s="606"/>
      <c r="T188" s="606"/>
      <c r="U188" s="606"/>
      <c r="V188" s="606">
        <f t="shared" ref="V188:V193" si="30">SUM(N188:U188)</f>
        <v>0</v>
      </c>
      <c r="W188" s="636">
        <f t="shared" ref="W188:W193" si="31">SUM(M188-V188)</f>
        <v>50000</v>
      </c>
      <c r="X188" s="635"/>
      <c r="Y188" s="635"/>
    </row>
    <row r="189" spans="1:25" s="589" customFormat="1">
      <c r="A189" s="638"/>
      <c r="B189" s="626" t="s">
        <v>405</v>
      </c>
      <c r="C189" s="542">
        <v>150000</v>
      </c>
      <c r="D189" s="542"/>
      <c r="E189" s="542"/>
      <c r="F189" s="542"/>
      <c r="G189" s="542"/>
      <c r="H189" s="542"/>
      <c r="I189" s="542"/>
      <c r="J189" s="542"/>
      <c r="K189" s="542"/>
      <c r="L189" s="542"/>
      <c r="M189" s="542">
        <f t="shared" si="29"/>
        <v>150000</v>
      </c>
      <c r="N189" s="606"/>
      <c r="O189" s="606"/>
      <c r="P189" s="606"/>
      <c r="Q189" s="606"/>
      <c r="R189" s="606"/>
      <c r="S189" s="606"/>
      <c r="T189" s="606"/>
      <c r="U189" s="606"/>
      <c r="V189" s="606">
        <f t="shared" si="30"/>
        <v>0</v>
      </c>
      <c r="W189" s="636">
        <f t="shared" si="31"/>
        <v>150000</v>
      </c>
      <c r="X189" s="635"/>
      <c r="Y189" s="635"/>
    </row>
    <row r="190" spans="1:25" s="589" customFormat="1">
      <c r="A190" s="638"/>
      <c r="B190" s="626" t="s">
        <v>406</v>
      </c>
      <c r="C190" s="542"/>
      <c r="D190" s="542">
        <v>500000</v>
      </c>
      <c r="E190" s="542"/>
      <c r="F190" s="542"/>
      <c r="G190" s="542"/>
      <c r="H190" s="542"/>
      <c r="I190" s="542"/>
      <c r="J190" s="542"/>
      <c r="K190" s="542"/>
      <c r="L190" s="542"/>
      <c r="M190" s="542">
        <f t="shared" si="29"/>
        <v>500000</v>
      </c>
      <c r="N190" s="606"/>
      <c r="O190" s="606"/>
      <c r="P190" s="606"/>
      <c r="Q190" s="606"/>
      <c r="R190" s="606"/>
      <c r="S190" s="606"/>
      <c r="T190" s="606"/>
      <c r="U190" s="606"/>
      <c r="V190" s="606">
        <f t="shared" si="30"/>
        <v>0</v>
      </c>
      <c r="W190" s="636">
        <f t="shared" si="31"/>
        <v>500000</v>
      </c>
      <c r="X190" s="635"/>
      <c r="Y190" s="635"/>
    </row>
    <row r="191" spans="1:25" s="589" customFormat="1">
      <c r="A191" s="638"/>
      <c r="B191" s="640" t="s">
        <v>407</v>
      </c>
      <c r="C191" s="542"/>
      <c r="D191" s="542"/>
      <c r="E191" s="542"/>
      <c r="F191" s="542">
        <v>800000</v>
      </c>
      <c r="G191" s="542"/>
      <c r="H191" s="542"/>
      <c r="I191" s="542"/>
      <c r="J191" s="542"/>
      <c r="K191" s="542"/>
      <c r="L191" s="542"/>
      <c r="M191" s="542">
        <f t="shared" si="29"/>
        <v>800000</v>
      </c>
      <c r="N191" s="606"/>
      <c r="O191" s="606"/>
      <c r="P191" s="606"/>
      <c r="Q191" s="606"/>
      <c r="R191" s="606"/>
      <c r="S191" s="606"/>
      <c r="T191" s="606"/>
      <c r="U191" s="606"/>
      <c r="V191" s="606">
        <f t="shared" si="30"/>
        <v>0</v>
      </c>
      <c r="W191" s="636">
        <f t="shared" si="31"/>
        <v>800000</v>
      </c>
      <c r="X191" s="635"/>
      <c r="Y191" s="635"/>
    </row>
    <row r="192" spans="1:25" s="589" customFormat="1">
      <c r="A192" s="638"/>
      <c r="B192" s="626" t="s">
        <v>408</v>
      </c>
      <c r="C192" s="542"/>
      <c r="D192" s="542"/>
      <c r="E192" s="542"/>
      <c r="F192" s="542"/>
      <c r="G192" s="542"/>
      <c r="H192" s="542"/>
      <c r="I192" s="542"/>
      <c r="J192" s="542"/>
      <c r="K192" s="542"/>
      <c r="L192" s="542"/>
      <c r="M192" s="542">
        <f t="shared" si="29"/>
        <v>0</v>
      </c>
      <c r="N192" s="606"/>
      <c r="O192" s="606"/>
      <c r="P192" s="606"/>
      <c r="Q192" s="606"/>
      <c r="R192" s="606"/>
      <c r="S192" s="606"/>
      <c r="T192" s="606"/>
      <c r="U192" s="606">
        <v>500000</v>
      </c>
      <c r="V192" s="606">
        <f t="shared" si="30"/>
        <v>500000</v>
      </c>
      <c r="W192" s="636">
        <f t="shared" si="31"/>
        <v>-500000</v>
      </c>
      <c r="X192" s="635"/>
      <c r="Y192" s="635"/>
    </row>
    <row r="193" spans="1:25" s="589" customFormat="1">
      <c r="A193" s="638"/>
      <c r="B193" s="640" t="s">
        <v>409</v>
      </c>
      <c r="C193" s="542">
        <v>50000</v>
      </c>
      <c r="D193" s="542"/>
      <c r="E193" s="542"/>
      <c r="F193" s="542"/>
      <c r="G193" s="542"/>
      <c r="H193" s="542"/>
      <c r="I193" s="542"/>
      <c r="J193" s="542"/>
      <c r="K193" s="542"/>
      <c r="L193" s="542"/>
      <c r="M193" s="542">
        <f t="shared" si="29"/>
        <v>50000</v>
      </c>
      <c r="N193" s="606"/>
      <c r="O193" s="606"/>
      <c r="P193" s="606"/>
      <c r="Q193" s="606"/>
      <c r="R193" s="606"/>
      <c r="S193" s="606"/>
      <c r="T193" s="606"/>
      <c r="U193" s="606"/>
      <c r="V193" s="606">
        <f t="shared" si="30"/>
        <v>0</v>
      </c>
      <c r="W193" s="636">
        <f t="shared" si="31"/>
        <v>50000</v>
      </c>
      <c r="X193" s="635"/>
      <c r="Y193" s="635"/>
    </row>
    <row r="194" spans="1:25" s="589" customFormat="1">
      <c r="A194" s="638"/>
      <c r="B194" s="640" t="s">
        <v>410</v>
      </c>
      <c r="C194" s="542">
        <v>200000</v>
      </c>
      <c r="D194" s="542"/>
      <c r="E194" s="542"/>
      <c r="F194" s="542"/>
      <c r="G194" s="542"/>
      <c r="H194" s="542"/>
      <c r="I194" s="542"/>
      <c r="J194" s="542"/>
      <c r="K194" s="542"/>
      <c r="L194" s="542"/>
      <c r="M194" s="542">
        <f t="shared" ref="M194:M208" si="32">SUM(C194:L194)</f>
        <v>200000</v>
      </c>
      <c r="N194" s="606"/>
      <c r="O194" s="606"/>
      <c r="P194" s="606"/>
      <c r="Q194" s="606"/>
      <c r="R194" s="606"/>
      <c r="S194" s="606"/>
      <c r="T194" s="606"/>
      <c r="U194" s="606"/>
      <c r="V194" s="606">
        <f t="shared" ref="V194:V208" si="33">SUM(N194:U194)</f>
        <v>0</v>
      </c>
      <c r="W194" s="636">
        <f t="shared" ref="W194:W208" si="34">SUM(M194-V194)</f>
        <v>200000</v>
      </c>
      <c r="X194" s="635"/>
      <c r="Y194" s="635"/>
    </row>
    <row r="195" spans="1:25" s="589" customFormat="1">
      <c r="A195" s="638"/>
      <c r="B195" s="640" t="s">
        <v>411</v>
      </c>
      <c r="C195" s="542">
        <v>100000</v>
      </c>
      <c r="D195" s="542"/>
      <c r="E195" s="542"/>
      <c r="F195" s="542"/>
      <c r="G195" s="542"/>
      <c r="H195" s="542"/>
      <c r="I195" s="542"/>
      <c r="J195" s="542"/>
      <c r="K195" s="542"/>
      <c r="L195" s="542"/>
      <c r="M195" s="542">
        <f t="shared" si="32"/>
        <v>100000</v>
      </c>
      <c r="N195" s="606"/>
      <c r="O195" s="606"/>
      <c r="P195" s="606"/>
      <c r="Q195" s="606"/>
      <c r="R195" s="606"/>
      <c r="S195" s="606"/>
      <c r="T195" s="606"/>
      <c r="U195" s="606"/>
      <c r="V195" s="606">
        <f t="shared" si="33"/>
        <v>0</v>
      </c>
      <c r="W195" s="636">
        <f t="shared" si="34"/>
        <v>100000</v>
      </c>
      <c r="X195" s="635"/>
      <c r="Y195" s="635"/>
    </row>
    <row r="196" spans="1:25" s="589" customFormat="1">
      <c r="A196" s="638"/>
      <c r="B196" s="640" t="s">
        <v>412</v>
      </c>
      <c r="C196" s="542">
        <v>100000</v>
      </c>
      <c r="D196" s="542"/>
      <c r="E196" s="542"/>
      <c r="F196" s="542"/>
      <c r="G196" s="542"/>
      <c r="H196" s="542"/>
      <c r="I196" s="542"/>
      <c r="J196" s="542"/>
      <c r="K196" s="542"/>
      <c r="L196" s="542"/>
      <c r="M196" s="542">
        <f t="shared" si="32"/>
        <v>100000</v>
      </c>
      <c r="N196" s="606"/>
      <c r="O196" s="606"/>
      <c r="P196" s="606"/>
      <c r="Q196" s="606"/>
      <c r="R196" s="606"/>
      <c r="S196" s="606"/>
      <c r="T196" s="606"/>
      <c r="U196" s="606"/>
      <c r="V196" s="606">
        <f t="shared" si="33"/>
        <v>0</v>
      </c>
      <c r="W196" s="636">
        <f t="shared" si="34"/>
        <v>100000</v>
      </c>
      <c r="X196" s="635"/>
      <c r="Y196" s="635"/>
    </row>
    <row r="197" spans="1:25" s="589" customFormat="1">
      <c r="A197" s="638"/>
      <c r="B197" s="640" t="s">
        <v>413</v>
      </c>
      <c r="C197" s="542">
        <v>250000</v>
      </c>
      <c r="D197" s="542"/>
      <c r="E197" s="542"/>
      <c r="F197" s="542"/>
      <c r="G197" s="542"/>
      <c r="H197" s="542"/>
      <c r="I197" s="542"/>
      <c r="J197" s="542"/>
      <c r="K197" s="542"/>
      <c r="L197" s="542"/>
      <c r="M197" s="542">
        <f t="shared" si="32"/>
        <v>250000</v>
      </c>
      <c r="N197" s="606"/>
      <c r="O197" s="606"/>
      <c r="P197" s="606"/>
      <c r="Q197" s="606"/>
      <c r="R197" s="606"/>
      <c r="S197" s="606"/>
      <c r="T197" s="606"/>
      <c r="U197" s="606"/>
      <c r="V197" s="606">
        <f t="shared" si="33"/>
        <v>0</v>
      </c>
      <c r="W197" s="636">
        <f t="shared" si="34"/>
        <v>250000</v>
      </c>
      <c r="X197" s="635"/>
      <c r="Y197" s="635"/>
    </row>
    <row r="198" spans="1:25" s="589" customFormat="1">
      <c r="A198" s="638"/>
      <c r="B198" s="640" t="s">
        <v>414</v>
      </c>
      <c r="C198" s="542">
        <v>100000</v>
      </c>
      <c r="D198" s="542"/>
      <c r="E198" s="542"/>
      <c r="F198" s="542"/>
      <c r="G198" s="542"/>
      <c r="H198" s="542"/>
      <c r="I198" s="542"/>
      <c r="J198" s="542"/>
      <c r="K198" s="542"/>
      <c r="L198" s="542"/>
      <c r="M198" s="542">
        <f t="shared" si="32"/>
        <v>100000</v>
      </c>
      <c r="N198" s="606"/>
      <c r="O198" s="606"/>
      <c r="P198" s="606"/>
      <c r="Q198" s="606"/>
      <c r="R198" s="606"/>
      <c r="S198" s="606"/>
      <c r="T198" s="606"/>
      <c r="U198" s="606"/>
      <c r="V198" s="606">
        <f t="shared" si="33"/>
        <v>0</v>
      </c>
      <c r="W198" s="636">
        <f t="shared" si="34"/>
        <v>100000</v>
      </c>
      <c r="X198" s="635"/>
      <c r="Y198" s="635"/>
    </row>
    <row r="199" spans="1:25" s="589" customFormat="1">
      <c r="A199" s="638"/>
      <c r="B199" s="640" t="s">
        <v>415</v>
      </c>
      <c r="C199" s="542">
        <v>100000</v>
      </c>
      <c r="D199" s="542"/>
      <c r="E199" s="542"/>
      <c r="F199" s="542"/>
      <c r="G199" s="542"/>
      <c r="H199" s="542"/>
      <c r="I199" s="542"/>
      <c r="J199" s="542"/>
      <c r="K199" s="542"/>
      <c r="L199" s="542"/>
      <c r="M199" s="542">
        <f t="shared" si="32"/>
        <v>100000</v>
      </c>
      <c r="N199" s="606"/>
      <c r="O199" s="606"/>
      <c r="P199" s="606"/>
      <c r="Q199" s="606"/>
      <c r="R199" s="606"/>
      <c r="S199" s="606"/>
      <c r="T199" s="606"/>
      <c r="U199" s="606"/>
      <c r="V199" s="606">
        <f t="shared" si="33"/>
        <v>0</v>
      </c>
      <c r="W199" s="636">
        <f t="shared" si="34"/>
        <v>100000</v>
      </c>
      <c r="X199" s="635"/>
      <c r="Y199" s="635"/>
    </row>
    <row r="200" spans="1:25" s="589" customFormat="1">
      <c r="A200" s="638"/>
      <c r="B200" s="640" t="s">
        <v>416</v>
      </c>
      <c r="C200" s="542">
        <v>350000</v>
      </c>
      <c r="D200" s="542"/>
      <c r="E200" s="542"/>
      <c r="F200" s="542"/>
      <c r="G200" s="542"/>
      <c r="H200" s="542"/>
      <c r="I200" s="542"/>
      <c r="J200" s="542"/>
      <c r="K200" s="542"/>
      <c r="L200" s="542"/>
      <c r="M200" s="542">
        <f t="shared" si="32"/>
        <v>350000</v>
      </c>
      <c r="N200" s="606"/>
      <c r="O200" s="606"/>
      <c r="P200" s="606"/>
      <c r="Q200" s="606"/>
      <c r="R200" s="606"/>
      <c r="S200" s="606"/>
      <c r="T200" s="606"/>
      <c r="U200" s="606"/>
      <c r="V200" s="606">
        <f t="shared" si="33"/>
        <v>0</v>
      </c>
      <c r="W200" s="636">
        <f t="shared" si="34"/>
        <v>350000</v>
      </c>
      <c r="X200" s="635"/>
      <c r="Y200" s="635"/>
    </row>
    <row r="201" spans="1:25" s="589" customFormat="1">
      <c r="A201" s="638"/>
      <c r="B201" s="640" t="s">
        <v>417</v>
      </c>
      <c r="C201" s="542">
        <v>200000</v>
      </c>
      <c r="D201" s="542"/>
      <c r="E201" s="542"/>
      <c r="F201" s="542"/>
      <c r="G201" s="542"/>
      <c r="H201" s="542"/>
      <c r="I201" s="542"/>
      <c r="J201" s="542"/>
      <c r="K201" s="542"/>
      <c r="L201" s="542"/>
      <c r="M201" s="542">
        <f t="shared" si="32"/>
        <v>200000</v>
      </c>
      <c r="N201" s="606"/>
      <c r="O201" s="606"/>
      <c r="P201" s="606"/>
      <c r="Q201" s="606"/>
      <c r="R201" s="606"/>
      <c r="S201" s="606"/>
      <c r="T201" s="606"/>
      <c r="U201" s="606"/>
      <c r="V201" s="606">
        <f t="shared" si="33"/>
        <v>0</v>
      </c>
      <c r="W201" s="636">
        <f t="shared" si="34"/>
        <v>200000</v>
      </c>
      <c r="X201" s="635"/>
      <c r="Y201" s="635"/>
    </row>
    <row r="202" spans="1:25" s="589" customFormat="1">
      <c r="A202" s="638"/>
      <c r="B202" s="640" t="s">
        <v>418</v>
      </c>
      <c r="C202" s="542">
        <v>100000</v>
      </c>
      <c r="D202" s="542"/>
      <c r="E202" s="542"/>
      <c r="F202" s="542"/>
      <c r="G202" s="542"/>
      <c r="H202" s="542"/>
      <c r="I202" s="542"/>
      <c r="J202" s="542"/>
      <c r="K202" s="542"/>
      <c r="L202" s="542"/>
      <c r="M202" s="542">
        <f t="shared" si="32"/>
        <v>100000</v>
      </c>
      <c r="N202" s="606"/>
      <c r="O202" s="606"/>
      <c r="P202" s="606"/>
      <c r="Q202" s="606"/>
      <c r="R202" s="606"/>
      <c r="S202" s="606"/>
      <c r="T202" s="606"/>
      <c r="U202" s="606"/>
      <c r="V202" s="606">
        <f t="shared" si="33"/>
        <v>0</v>
      </c>
      <c r="W202" s="636">
        <f t="shared" si="34"/>
        <v>100000</v>
      </c>
      <c r="X202" s="635"/>
      <c r="Y202" s="635"/>
    </row>
    <row r="203" spans="1:25" s="589" customFormat="1">
      <c r="A203" s="638"/>
      <c r="B203" s="626" t="s">
        <v>303</v>
      </c>
      <c r="C203" s="542">
        <v>120000</v>
      </c>
      <c r="D203" s="542"/>
      <c r="E203" s="542"/>
      <c r="F203" s="542"/>
      <c r="G203" s="542"/>
      <c r="H203" s="542"/>
      <c r="I203" s="542"/>
      <c r="J203" s="542"/>
      <c r="K203" s="542"/>
      <c r="L203" s="542"/>
      <c r="M203" s="542">
        <f t="shared" si="32"/>
        <v>120000</v>
      </c>
      <c r="N203" s="606"/>
      <c r="O203" s="606"/>
      <c r="P203" s="606"/>
      <c r="Q203" s="606"/>
      <c r="R203" s="606"/>
      <c r="S203" s="606"/>
      <c r="T203" s="606"/>
      <c r="U203" s="606"/>
      <c r="V203" s="606">
        <f t="shared" si="33"/>
        <v>0</v>
      </c>
      <c r="W203" s="636">
        <f t="shared" si="34"/>
        <v>120000</v>
      </c>
      <c r="X203" s="635"/>
      <c r="Y203" s="635"/>
    </row>
    <row r="204" spans="1:25" s="589" customFormat="1">
      <c r="A204" s="638"/>
      <c r="B204" s="626" t="s">
        <v>419</v>
      </c>
      <c r="C204" s="542">
        <v>100000</v>
      </c>
      <c r="D204" s="542"/>
      <c r="E204" s="542"/>
      <c r="F204" s="542"/>
      <c r="G204" s="542"/>
      <c r="H204" s="542"/>
      <c r="I204" s="542"/>
      <c r="J204" s="542"/>
      <c r="K204" s="542"/>
      <c r="L204" s="542"/>
      <c r="M204" s="542">
        <f t="shared" si="32"/>
        <v>100000</v>
      </c>
      <c r="N204" s="606"/>
      <c r="O204" s="606"/>
      <c r="P204" s="606"/>
      <c r="Q204" s="606"/>
      <c r="R204" s="606"/>
      <c r="S204" s="606"/>
      <c r="T204" s="606"/>
      <c r="U204" s="606"/>
      <c r="V204" s="606">
        <f t="shared" si="33"/>
        <v>0</v>
      </c>
      <c r="W204" s="636">
        <f t="shared" si="34"/>
        <v>100000</v>
      </c>
      <c r="X204" s="635"/>
      <c r="Y204" s="635"/>
    </row>
    <row r="205" spans="1:25" s="589" customFormat="1">
      <c r="A205" s="638"/>
      <c r="B205" s="626" t="s">
        <v>420</v>
      </c>
      <c r="C205" s="542">
        <v>100000</v>
      </c>
      <c r="D205" s="542"/>
      <c r="E205" s="542"/>
      <c r="F205" s="542"/>
      <c r="G205" s="542"/>
      <c r="H205" s="542"/>
      <c r="I205" s="542"/>
      <c r="J205" s="542"/>
      <c r="K205" s="542"/>
      <c r="L205" s="542"/>
      <c r="M205" s="542">
        <f t="shared" si="32"/>
        <v>100000</v>
      </c>
      <c r="N205" s="606"/>
      <c r="O205" s="606"/>
      <c r="P205" s="606"/>
      <c r="Q205" s="606"/>
      <c r="R205" s="606"/>
      <c r="S205" s="606"/>
      <c r="T205" s="606"/>
      <c r="U205" s="606"/>
      <c r="V205" s="606">
        <f t="shared" si="33"/>
        <v>0</v>
      </c>
      <c r="W205" s="636">
        <f t="shared" si="34"/>
        <v>100000</v>
      </c>
      <c r="X205" s="635"/>
      <c r="Y205" s="635"/>
    </row>
    <row r="206" spans="1:25" s="589" customFormat="1">
      <c r="A206" s="638"/>
      <c r="B206" s="626" t="s">
        <v>286</v>
      </c>
      <c r="C206" s="542">
        <v>200000</v>
      </c>
      <c r="D206" s="542"/>
      <c r="E206" s="542"/>
      <c r="F206" s="542"/>
      <c r="G206" s="542"/>
      <c r="H206" s="542"/>
      <c r="I206" s="542"/>
      <c r="J206" s="542"/>
      <c r="K206" s="542"/>
      <c r="L206" s="542"/>
      <c r="M206" s="542">
        <f t="shared" si="32"/>
        <v>200000</v>
      </c>
      <c r="N206" s="606"/>
      <c r="O206" s="606"/>
      <c r="P206" s="606"/>
      <c r="Q206" s="606"/>
      <c r="R206" s="606"/>
      <c r="S206" s="606"/>
      <c r="T206" s="606"/>
      <c r="U206" s="606"/>
      <c r="V206" s="606">
        <f t="shared" si="33"/>
        <v>0</v>
      </c>
      <c r="W206" s="636">
        <f t="shared" si="34"/>
        <v>200000</v>
      </c>
      <c r="X206" s="635"/>
      <c r="Y206" s="635"/>
    </row>
    <row r="207" spans="1:25" s="589" customFormat="1">
      <c r="A207" s="638"/>
      <c r="B207" s="605" t="s">
        <v>256</v>
      </c>
      <c r="C207" s="542"/>
      <c r="D207" s="542"/>
      <c r="E207" s="542"/>
      <c r="F207" s="542"/>
      <c r="G207" s="542"/>
      <c r="H207" s="542"/>
      <c r="I207" s="542"/>
      <c r="J207" s="542"/>
      <c r="K207" s="542"/>
      <c r="L207" s="542"/>
      <c r="M207" s="542">
        <f t="shared" si="32"/>
        <v>0</v>
      </c>
      <c r="N207" s="606"/>
      <c r="O207" s="606"/>
      <c r="P207" s="606"/>
      <c r="Q207" s="606"/>
      <c r="R207" s="606"/>
      <c r="S207" s="606"/>
      <c r="T207" s="606">
        <v>500000</v>
      </c>
      <c r="U207" s="606"/>
      <c r="V207" s="606">
        <f t="shared" si="33"/>
        <v>500000</v>
      </c>
      <c r="W207" s="636">
        <f t="shared" si="34"/>
        <v>-500000</v>
      </c>
      <c r="X207" s="635"/>
      <c r="Y207" s="635"/>
    </row>
    <row r="208" spans="1:25" s="589" customFormat="1">
      <c r="A208" s="638"/>
      <c r="B208" s="626" t="s">
        <v>421</v>
      </c>
      <c r="C208" s="542"/>
      <c r="D208" s="542"/>
      <c r="E208" s="542"/>
      <c r="F208" s="542"/>
      <c r="G208" s="542"/>
      <c r="H208" s="542"/>
      <c r="I208" s="542"/>
      <c r="J208" s="542"/>
      <c r="K208" s="542"/>
      <c r="L208" s="542"/>
      <c r="M208" s="542">
        <f t="shared" si="32"/>
        <v>0</v>
      </c>
      <c r="N208" s="606">
        <v>4000000</v>
      </c>
      <c r="O208" s="606"/>
      <c r="P208" s="606"/>
      <c r="Q208" s="606"/>
      <c r="R208" s="606"/>
      <c r="S208" s="606"/>
      <c r="T208" s="606"/>
      <c r="U208" s="606"/>
      <c r="V208" s="606">
        <f t="shared" si="33"/>
        <v>4000000</v>
      </c>
      <c r="W208" s="636">
        <f t="shared" si="34"/>
        <v>-4000000</v>
      </c>
      <c r="X208" s="635"/>
      <c r="Y208" s="635"/>
    </row>
    <row r="209" spans="1:28" s="589" customFormat="1">
      <c r="A209" s="638"/>
      <c r="B209" s="626" t="s">
        <v>422</v>
      </c>
      <c r="C209" s="542">
        <v>200000</v>
      </c>
      <c r="D209" s="542"/>
      <c r="E209" s="542"/>
      <c r="F209" s="542"/>
      <c r="G209" s="542"/>
      <c r="H209" s="542"/>
      <c r="I209" s="542"/>
      <c r="J209" s="542"/>
      <c r="K209" s="542"/>
      <c r="L209" s="542"/>
      <c r="M209" s="542">
        <f t="shared" ref="M209:M216" si="35">SUM(C209:L209)</f>
        <v>200000</v>
      </c>
      <c r="N209" s="606"/>
      <c r="O209" s="606"/>
      <c r="P209" s="606"/>
      <c r="Q209" s="606"/>
      <c r="R209" s="606"/>
      <c r="S209" s="606"/>
      <c r="T209" s="606"/>
      <c r="U209" s="606"/>
      <c r="V209" s="606">
        <f t="shared" ref="V209:V216" si="36">SUM(N209:U209)</f>
        <v>0</v>
      </c>
      <c r="W209" s="636">
        <f t="shared" ref="W209:W216" si="37">SUM(M209-V209)</f>
        <v>200000</v>
      </c>
      <c r="X209" s="635"/>
      <c r="Y209" s="635"/>
    </row>
    <row r="210" spans="1:28" s="589" customFormat="1">
      <c r="A210" s="638"/>
      <c r="B210" s="626" t="s">
        <v>423</v>
      </c>
      <c r="C210" s="542">
        <v>50000</v>
      </c>
      <c r="D210" s="542"/>
      <c r="E210" s="542"/>
      <c r="F210" s="542"/>
      <c r="G210" s="542"/>
      <c r="H210" s="542"/>
      <c r="I210" s="542"/>
      <c r="J210" s="542"/>
      <c r="K210" s="542"/>
      <c r="L210" s="542"/>
      <c r="M210" s="542">
        <f t="shared" si="35"/>
        <v>50000</v>
      </c>
      <c r="N210" s="606"/>
      <c r="O210" s="606"/>
      <c r="P210" s="606"/>
      <c r="Q210" s="606"/>
      <c r="R210" s="606"/>
      <c r="S210" s="606"/>
      <c r="T210" s="606"/>
      <c r="U210" s="606"/>
      <c r="V210" s="606">
        <f t="shared" si="36"/>
        <v>0</v>
      </c>
      <c r="W210" s="636">
        <f t="shared" si="37"/>
        <v>50000</v>
      </c>
      <c r="X210" s="635"/>
      <c r="Y210" s="635"/>
    </row>
    <row r="211" spans="1:28" s="589" customFormat="1">
      <c r="A211" s="638"/>
      <c r="B211" s="626" t="s">
        <v>424</v>
      </c>
      <c r="C211" s="542">
        <v>500000</v>
      </c>
      <c r="D211" s="542"/>
      <c r="E211" s="542"/>
      <c r="F211" s="542"/>
      <c r="G211" s="542"/>
      <c r="H211" s="542"/>
      <c r="I211" s="542"/>
      <c r="J211" s="542"/>
      <c r="K211" s="542"/>
      <c r="L211" s="542"/>
      <c r="M211" s="542">
        <f t="shared" si="35"/>
        <v>500000</v>
      </c>
      <c r="N211" s="606"/>
      <c r="O211" s="606"/>
      <c r="P211" s="606"/>
      <c r="Q211" s="606"/>
      <c r="R211" s="606"/>
      <c r="S211" s="606"/>
      <c r="T211" s="606"/>
      <c r="U211" s="606"/>
      <c r="V211" s="606">
        <f t="shared" si="36"/>
        <v>0</v>
      </c>
      <c r="W211" s="636">
        <f t="shared" si="37"/>
        <v>500000</v>
      </c>
      <c r="X211" s="635"/>
      <c r="Y211" s="635"/>
    </row>
    <row r="212" spans="1:28" s="589" customFormat="1">
      <c r="A212" s="638"/>
      <c r="B212" s="626" t="s">
        <v>425</v>
      </c>
      <c r="C212" s="542">
        <v>50000</v>
      </c>
      <c r="D212" s="542"/>
      <c r="E212" s="542"/>
      <c r="F212" s="542"/>
      <c r="G212" s="542"/>
      <c r="H212" s="542"/>
      <c r="I212" s="542"/>
      <c r="J212" s="542"/>
      <c r="K212" s="542"/>
      <c r="L212" s="542"/>
      <c r="M212" s="542">
        <f t="shared" si="35"/>
        <v>50000</v>
      </c>
      <c r="N212" s="606"/>
      <c r="O212" s="606"/>
      <c r="P212" s="606"/>
      <c r="Q212" s="606"/>
      <c r="R212" s="606"/>
      <c r="S212" s="606"/>
      <c r="T212" s="606"/>
      <c r="U212" s="606"/>
      <c r="V212" s="606">
        <f t="shared" si="36"/>
        <v>0</v>
      </c>
      <c r="W212" s="636">
        <f t="shared" si="37"/>
        <v>50000</v>
      </c>
      <c r="X212" s="635"/>
      <c r="Y212" s="635"/>
    </row>
    <row r="213" spans="1:28" s="589" customFormat="1">
      <c r="A213" s="638"/>
      <c r="B213" s="626" t="s">
        <v>323</v>
      </c>
      <c r="C213" s="542">
        <v>73000</v>
      </c>
      <c r="D213" s="542"/>
      <c r="E213" s="542"/>
      <c r="F213" s="542"/>
      <c r="G213" s="542"/>
      <c r="H213" s="542"/>
      <c r="I213" s="542"/>
      <c r="J213" s="542"/>
      <c r="K213" s="542"/>
      <c r="L213" s="542"/>
      <c r="M213" s="542">
        <f t="shared" si="35"/>
        <v>73000</v>
      </c>
      <c r="N213" s="606"/>
      <c r="O213" s="606"/>
      <c r="P213" s="606"/>
      <c r="Q213" s="606"/>
      <c r="R213" s="606"/>
      <c r="S213" s="606"/>
      <c r="T213" s="606"/>
      <c r="U213" s="606"/>
      <c r="V213" s="606">
        <f t="shared" si="36"/>
        <v>0</v>
      </c>
      <c r="W213" s="636">
        <f t="shared" si="37"/>
        <v>73000</v>
      </c>
      <c r="X213" s="635"/>
      <c r="Y213" s="635"/>
    </row>
    <row r="214" spans="1:28" s="589" customFormat="1">
      <c r="A214" s="638"/>
      <c r="B214" s="626" t="s">
        <v>426</v>
      </c>
      <c r="C214" s="542"/>
      <c r="D214" s="542"/>
      <c r="E214" s="542"/>
      <c r="F214" s="542"/>
      <c r="G214" s="542"/>
      <c r="H214" s="542"/>
      <c r="I214" s="542"/>
      <c r="J214" s="542"/>
      <c r="K214" s="542">
        <v>550000</v>
      </c>
      <c r="L214" s="542"/>
      <c r="M214" s="542">
        <f t="shared" si="35"/>
        <v>550000</v>
      </c>
      <c r="N214" s="606"/>
      <c r="O214" s="606"/>
      <c r="P214" s="606"/>
      <c r="Q214" s="606"/>
      <c r="R214" s="606"/>
      <c r="S214" s="606"/>
      <c r="T214" s="606"/>
      <c r="U214" s="606"/>
      <c r="V214" s="606">
        <f t="shared" si="36"/>
        <v>0</v>
      </c>
      <c r="W214" s="636">
        <f t="shared" si="37"/>
        <v>550000</v>
      </c>
      <c r="X214" s="635"/>
      <c r="Y214" s="635"/>
    </row>
    <row r="215" spans="1:28" s="589" customFormat="1">
      <c r="A215" s="638"/>
      <c r="B215" s="626"/>
      <c r="C215" s="542"/>
      <c r="D215" s="542"/>
      <c r="E215" s="542"/>
      <c r="F215" s="542"/>
      <c r="G215" s="542"/>
      <c r="H215" s="542"/>
      <c r="I215" s="542"/>
      <c r="J215" s="542"/>
      <c r="K215" s="542"/>
      <c r="L215" s="542"/>
      <c r="M215" s="542">
        <f t="shared" si="35"/>
        <v>0</v>
      </c>
      <c r="N215" s="606"/>
      <c r="O215" s="606"/>
      <c r="P215" s="606"/>
      <c r="Q215" s="606"/>
      <c r="R215" s="606"/>
      <c r="S215" s="606"/>
      <c r="T215" s="606"/>
      <c r="U215" s="606"/>
      <c r="V215" s="606">
        <f t="shared" si="36"/>
        <v>0</v>
      </c>
      <c r="W215" s="636">
        <f t="shared" si="37"/>
        <v>0</v>
      </c>
      <c r="X215" s="635"/>
      <c r="Y215" s="635"/>
    </row>
    <row r="216" spans="1:28" s="589" customFormat="1">
      <c r="A216" s="638"/>
      <c r="B216" s="626"/>
      <c r="C216" s="542"/>
      <c r="D216" s="542"/>
      <c r="E216" s="542"/>
      <c r="F216" s="542"/>
      <c r="G216" s="542"/>
      <c r="H216" s="542"/>
      <c r="I216" s="542"/>
      <c r="J216" s="542"/>
      <c r="K216" s="542"/>
      <c r="L216" s="542"/>
      <c r="M216" s="542">
        <f t="shared" si="35"/>
        <v>0</v>
      </c>
      <c r="N216" s="606"/>
      <c r="O216" s="606"/>
      <c r="P216" s="606"/>
      <c r="Q216" s="606"/>
      <c r="R216" s="606"/>
      <c r="S216" s="606"/>
      <c r="T216" s="606"/>
      <c r="U216" s="606"/>
      <c r="V216" s="606">
        <f t="shared" si="36"/>
        <v>0</v>
      </c>
      <c r="W216" s="636">
        <f t="shared" si="37"/>
        <v>0</v>
      </c>
      <c r="X216" s="635"/>
      <c r="Y216" s="635"/>
    </row>
    <row r="217" spans="1:28" s="589" customFormat="1">
      <c r="A217" s="638"/>
      <c r="B217" s="638"/>
      <c r="C217" s="606">
        <f>SUM(C8:C216)</f>
        <v>21868890.050000001</v>
      </c>
      <c r="D217" s="606">
        <f>SUM(D31:D202)</f>
        <v>70660500</v>
      </c>
      <c r="E217" s="606">
        <f>SUM(E8:E203)</f>
        <v>4092140</v>
      </c>
      <c r="F217" s="606">
        <f>SUM(F191:F203)</f>
        <v>800000</v>
      </c>
      <c r="G217" s="606">
        <f>SUM(G29:G177)</f>
        <v>2500000</v>
      </c>
      <c r="H217" s="606">
        <f>SUM(H8:H180)</f>
        <v>0</v>
      </c>
      <c r="I217" s="606">
        <f>SUM(I177:I203)</f>
        <v>0</v>
      </c>
      <c r="J217" s="606">
        <f>SUM(J106:J203)</f>
        <v>387000</v>
      </c>
      <c r="K217" s="606">
        <f>SUM(K8:K186)</f>
        <v>4220000</v>
      </c>
      <c r="L217" s="606">
        <f>SUM(L8:L88)</f>
        <v>0</v>
      </c>
      <c r="M217" s="606">
        <f>SUM(M8:M216)</f>
        <v>104728530.05</v>
      </c>
      <c r="N217" s="606"/>
      <c r="O217" s="606"/>
      <c r="P217" s="606"/>
      <c r="Q217" s="606" t="e">
        <f>SUM(Q8:Q115)</f>
        <v>#REF!</v>
      </c>
      <c r="R217" s="606">
        <f>SUM(R9:R115)</f>
        <v>1534000</v>
      </c>
      <c r="S217" s="606">
        <f>SUM(S25:S203)</f>
        <v>44971359</v>
      </c>
      <c r="T217" s="606">
        <f>SUM(T8:T216)</f>
        <v>1890000</v>
      </c>
      <c r="U217" s="606"/>
      <c r="V217" s="606">
        <f>SUM(V8:V216)</f>
        <v>97382000</v>
      </c>
      <c r="W217" s="624">
        <f>SUM(W8:W216)</f>
        <v>82271437.216666996</v>
      </c>
      <c r="X217" s="635">
        <v>94916913</v>
      </c>
      <c r="Y217" s="635"/>
    </row>
    <row r="218" spans="1:28">
      <c r="A218" s="54"/>
      <c r="B218" s="641"/>
      <c r="C218" s="642">
        <f>SUM(MODUS!I164)</f>
        <v>21869890</v>
      </c>
      <c r="D218" s="642">
        <f>SUM(MULTI!O67)</f>
        <v>70697500</v>
      </c>
      <c r="E218" s="642"/>
      <c r="F218" s="642"/>
      <c r="G218" s="642"/>
      <c r="H218" s="642"/>
      <c r="I218" s="642"/>
      <c r="J218" s="642"/>
      <c r="K218" s="642"/>
      <c r="L218" s="642">
        <f>SUM(L8:L88)</f>
        <v>0</v>
      </c>
      <c r="M218" s="643"/>
      <c r="N218" s="642"/>
      <c r="O218" s="642"/>
      <c r="P218" s="642"/>
      <c r="Q218" s="642"/>
      <c r="R218" s="642"/>
      <c r="S218" s="642"/>
      <c r="T218" s="642"/>
      <c r="U218" s="644"/>
      <c r="V218" s="643"/>
      <c r="W218" s="643">
        <f>SUM(M217-V217+W8)</f>
        <v>82271437.216666996</v>
      </c>
      <c r="X218" s="602"/>
      <c r="Y218" s="602">
        <f>SUM([51]KASHAR!$U$217)</f>
        <v>0</v>
      </c>
    </row>
    <row r="219" spans="1:28">
      <c r="A219" s="54"/>
      <c r="B219" s="641"/>
      <c r="C219" s="645">
        <f>C217-C218</f>
        <v>-999.94999999925506</v>
      </c>
      <c r="D219" s="645">
        <f>D217-D218</f>
        <v>-37000</v>
      </c>
      <c r="E219" s="645"/>
      <c r="F219" s="645"/>
      <c r="G219" s="645"/>
      <c r="H219" s="645"/>
      <c r="I219" s="645"/>
      <c r="J219" s="645"/>
      <c r="K219" s="645"/>
      <c r="L219" s="645"/>
      <c r="M219" s="646"/>
      <c r="N219" s="645"/>
      <c r="O219" s="645"/>
      <c r="P219" s="645"/>
      <c r="Q219" s="645"/>
      <c r="R219" s="645"/>
      <c r="S219" s="645"/>
      <c r="T219" s="645"/>
      <c r="U219" s="647"/>
      <c r="V219" s="646"/>
      <c r="W219" s="646"/>
      <c r="X219" s="602"/>
      <c r="Y219" s="602"/>
    </row>
    <row r="220" spans="1:28">
      <c r="A220" s="54"/>
      <c r="B220" s="906" t="s">
        <v>427</v>
      </c>
      <c r="C220" s="906"/>
      <c r="D220" s="906"/>
      <c r="E220" s="906"/>
      <c r="F220" s="906"/>
      <c r="G220" s="906"/>
      <c r="H220" s="906"/>
      <c r="I220" s="906"/>
      <c r="J220" s="906"/>
      <c r="K220" s="906"/>
      <c r="L220" s="906"/>
      <c r="M220" s="906"/>
      <c r="N220" s="906"/>
      <c r="O220" s="906"/>
      <c r="P220" s="906"/>
      <c r="Q220" s="906"/>
      <c r="R220" s="906"/>
      <c r="S220" s="906"/>
      <c r="T220" s="906"/>
      <c r="U220" s="907"/>
      <c r="V220" s="906"/>
      <c r="W220" s="906"/>
      <c r="X220" s="602"/>
      <c r="Y220" s="602"/>
      <c r="Z220" s="602"/>
      <c r="AA220" s="602">
        <f>SUM(W217-Y225)</f>
        <v>1785024.216667</v>
      </c>
    </row>
    <row r="221" spans="1:28">
      <c r="A221" s="54"/>
      <c r="C221" s="915" t="s">
        <v>428</v>
      </c>
      <c r="D221" s="915"/>
      <c r="N221" s="907" t="s">
        <v>429</v>
      </c>
      <c r="O221" s="907"/>
      <c r="P221" s="592"/>
      <c r="Q221" s="592"/>
      <c r="R221" s="592"/>
      <c r="S221" s="592"/>
      <c r="W221" s="648"/>
      <c r="X221" s="602"/>
      <c r="Y221" s="602"/>
      <c r="AA221" s="602">
        <f>AA220-2350000</f>
        <v>-564975.78333300399</v>
      </c>
      <c r="AB221" s="602"/>
    </row>
    <row r="222" spans="1:28">
      <c r="A222" s="54"/>
      <c r="D222" s="592"/>
      <c r="F222" s="486">
        <v>2423250</v>
      </c>
      <c r="X222" s="602"/>
      <c r="Y222" s="602"/>
      <c r="Z222" s="602"/>
      <c r="AB222" s="602"/>
    </row>
    <row r="223" spans="1:28">
      <c r="A223" s="54"/>
      <c r="X223" s="602" t="s">
        <v>430</v>
      </c>
      <c r="Y223" s="602">
        <v>27788376</v>
      </c>
      <c r="Z223" s="602"/>
    </row>
    <row r="224" spans="1:28">
      <c r="A224" s="54"/>
      <c r="D224" s="649"/>
      <c r="E224" s="649"/>
      <c r="F224" s="649"/>
      <c r="G224" s="649"/>
      <c r="H224" s="649"/>
      <c r="I224" s="649"/>
      <c r="J224" s="649"/>
      <c r="K224" s="649"/>
      <c r="L224" s="649"/>
      <c r="M224" s="649"/>
      <c r="X224" s="602"/>
      <c r="Y224" s="602">
        <f>SUM(S217-Y223)</f>
        <v>17182983</v>
      </c>
    </row>
    <row r="225" spans="1:28">
      <c r="A225" s="54"/>
      <c r="B225" s="650"/>
      <c r="C225" s="651"/>
      <c r="D225" s="651"/>
      <c r="E225" s="649"/>
      <c r="F225" s="649"/>
      <c r="G225" s="649"/>
      <c r="H225" s="649"/>
      <c r="I225" s="649"/>
      <c r="J225" s="649"/>
      <c r="K225" s="649"/>
      <c r="L225" s="649"/>
      <c r="M225" s="649"/>
      <c r="X225" s="602"/>
      <c r="Y225" s="486">
        <v>80486413</v>
      </c>
      <c r="AA225" s="602">
        <f>Y225+Y226</f>
        <v>80486413</v>
      </c>
    </row>
    <row r="226" spans="1:28">
      <c r="B226" s="652"/>
      <c r="C226" s="916" t="s">
        <v>117</v>
      </c>
      <c r="D226" s="916"/>
      <c r="N226" s="917" t="s">
        <v>431</v>
      </c>
      <c r="O226" s="917"/>
      <c r="P226" s="653"/>
      <c r="Q226" s="653"/>
      <c r="R226" s="653"/>
      <c r="S226" s="653"/>
      <c r="T226" s="653"/>
      <c r="U226" s="654"/>
      <c r="V226" s="653"/>
      <c r="X226" s="602"/>
      <c r="Y226" s="602"/>
      <c r="AA226" s="602">
        <v>151568913</v>
      </c>
      <c r="AB226" s="602">
        <f>Y225+Y226</f>
        <v>80486413</v>
      </c>
    </row>
    <row r="227" spans="1:28">
      <c r="B227" s="652"/>
      <c r="C227" s="650"/>
      <c r="D227" s="650"/>
      <c r="N227" s="653"/>
      <c r="O227" s="653"/>
      <c r="P227" s="653"/>
      <c r="Q227" s="653"/>
      <c r="R227" s="653"/>
      <c r="S227" s="653"/>
      <c r="T227" s="653"/>
      <c r="U227" s="654"/>
      <c r="V227" s="653"/>
      <c r="X227" s="602" t="s">
        <v>432</v>
      </c>
      <c r="Y227" s="602">
        <f>SUM(Q21)</f>
        <v>9833500</v>
      </c>
      <c r="AA227" s="602"/>
      <c r="AB227" s="602">
        <f>W217-AB226</f>
        <v>1785024.216667</v>
      </c>
    </row>
    <row r="228" spans="1:28">
      <c r="B228" s="652"/>
      <c r="C228" s="650"/>
      <c r="D228" s="650"/>
      <c r="N228" s="653"/>
      <c r="O228" s="653"/>
      <c r="P228" s="653"/>
      <c r="Q228" s="653"/>
      <c r="R228" s="653"/>
      <c r="S228" s="653"/>
      <c r="T228" s="653"/>
      <c r="U228" s="654"/>
      <c r="V228" s="653"/>
      <c r="X228" s="602"/>
      <c r="Y228" s="602" t="s">
        <v>225</v>
      </c>
      <c r="AA228" s="602"/>
    </row>
    <row r="229" spans="1:28">
      <c r="C229" s="907" t="s">
        <v>345</v>
      </c>
      <c r="D229" s="907"/>
      <c r="N229" s="918" t="s">
        <v>433</v>
      </c>
      <c r="O229" s="918"/>
      <c r="P229" s="655"/>
      <c r="Q229" s="655"/>
      <c r="R229" s="655"/>
      <c r="S229" s="655"/>
      <c r="T229" s="655"/>
      <c r="U229" s="655"/>
      <c r="V229" s="656"/>
      <c r="X229" s="602"/>
      <c r="Y229" s="602">
        <f>SUM(Y224:Y228)</f>
        <v>107502896</v>
      </c>
      <c r="AA229" s="602"/>
    </row>
    <row r="230" spans="1:28">
      <c r="X230" s="602"/>
      <c r="Y230" s="486">
        <f>SUM(W217+Q20)</f>
        <v>156570437.216667</v>
      </c>
    </row>
    <row r="231" spans="1:28">
      <c r="T231" s="602"/>
      <c r="U231" s="602"/>
      <c r="V231" s="635"/>
      <c r="X231" s="602"/>
      <c r="Y231" s="602">
        <f>Y230-Y229</f>
        <v>49067541.216666996</v>
      </c>
    </row>
    <row r="232" spans="1:28">
      <c r="T232" s="602"/>
      <c r="U232" s="602"/>
      <c r="V232" s="635"/>
      <c r="X232" s="602"/>
    </row>
    <row r="233" spans="1:28">
      <c r="T233" s="602"/>
      <c r="U233" s="602"/>
      <c r="V233" s="635"/>
      <c r="X233" s="602" t="s">
        <v>434</v>
      </c>
      <c r="Y233" s="486">
        <v>7273329</v>
      </c>
    </row>
    <row r="234" spans="1:28">
      <c r="T234" s="602"/>
      <c r="U234" s="602"/>
      <c r="V234" s="635"/>
      <c r="X234" s="602"/>
      <c r="Y234" s="486"/>
    </row>
    <row r="235" spans="1:28">
      <c r="T235" s="602"/>
      <c r="U235" s="602"/>
      <c r="V235" s="635"/>
      <c r="X235" s="602"/>
    </row>
    <row r="236" spans="1:28">
      <c r="T236" s="602"/>
      <c r="U236" s="602"/>
      <c r="V236" s="635"/>
      <c r="X236" s="602"/>
    </row>
    <row r="237" spans="1:28">
      <c r="T237" s="602"/>
      <c r="U237" s="602"/>
      <c r="V237" s="635"/>
      <c r="X237" s="602"/>
    </row>
    <row r="238" spans="1:28">
      <c r="T238" s="602"/>
      <c r="U238" s="602"/>
      <c r="V238" s="635"/>
      <c r="X238" s="602"/>
    </row>
    <row r="239" spans="1:28">
      <c r="T239" s="602"/>
      <c r="U239" s="602"/>
      <c r="V239" s="635"/>
      <c r="X239" s="602"/>
    </row>
    <row r="240" spans="1:28">
      <c r="T240" s="602"/>
      <c r="U240" s="602"/>
      <c r="V240" s="635"/>
      <c r="X240" s="602"/>
    </row>
    <row r="241" spans="20:24">
      <c r="T241" s="602"/>
      <c r="U241" s="602"/>
      <c r="V241" s="635"/>
      <c r="X241" s="602"/>
    </row>
    <row r="242" spans="20:24">
      <c r="T242" s="602"/>
      <c r="U242" s="602"/>
      <c r="V242" s="635"/>
      <c r="X242" s="602"/>
    </row>
    <row r="243" spans="20:24">
      <c r="T243" s="602"/>
      <c r="U243" s="602"/>
      <c r="V243" s="635"/>
      <c r="X243" s="602"/>
    </row>
    <row r="244" spans="20:24">
      <c r="T244" s="602"/>
      <c r="U244" s="602"/>
      <c r="V244" s="635"/>
      <c r="X244" s="602"/>
    </row>
    <row r="245" spans="20:24">
      <c r="T245" s="602"/>
      <c r="U245" s="602"/>
      <c r="V245" s="635"/>
      <c r="X245" s="602"/>
    </row>
    <row r="246" spans="20:24">
      <c r="T246" s="602"/>
      <c r="U246" s="602"/>
      <c r="V246" s="635"/>
      <c r="X246" s="602"/>
    </row>
    <row r="247" spans="20:24">
      <c r="T247" s="602"/>
      <c r="U247" s="602"/>
      <c r="V247" s="635"/>
      <c r="X247" s="602"/>
    </row>
    <row r="248" spans="20:24">
      <c r="T248" s="602"/>
      <c r="U248" s="602"/>
      <c r="V248" s="635"/>
      <c r="X248" s="602"/>
    </row>
    <row r="249" spans="20:24">
      <c r="T249" s="602"/>
      <c r="U249" s="602"/>
      <c r="V249" s="635"/>
      <c r="X249" s="602"/>
    </row>
    <row r="250" spans="20:24">
      <c r="T250" s="602"/>
      <c r="U250" s="602"/>
      <c r="V250" s="635"/>
      <c r="X250" s="602"/>
    </row>
    <row r="251" spans="20:24">
      <c r="T251" s="602"/>
      <c r="U251" s="602"/>
      <c r="V251" s="635"/>
      <c r="X251" s="602"/>
    </row>
    <row r="252" spans="20:24">
      <c r="T252" s="602"/>
      <c r="U252" s="602"/>
      <c r="V252" s="635"/>
      <c r="X252" s="602"/>
    </row>
    <row r="253" spans="20:24">
      <c r="T253" s="602"/>
      <c r="U253" s="602"/>
      <c r="V253" s="635"/>
      <c r="X253" s="602"/>
    </row>
    <row r="254" spans="20:24">
      <c r="T254" s="602"/>
      <c r="U254" s="602"/>
      <c r="V254" s="635"/>
      <c r="X254" s="602"/>
    </row>
    <row r="255" spans="20:24">
      <c r="T255" s="602"/>
      <c r="U255" s="602"/>
      <c r="V255" s="635"/>
      <c r="X255" s="602"/>
    </row>
    <row r="256" spans="20:24">
      <c r="T256" s="602"/>
      <c r="U256" s="602"/>
      <c r="V256" s="635"/>
      <c r="X256" s="602"/>
    </row>
    <row r="257" spans="20:26">
      <c r="T257" s="602"/>
      <c r="U257" s="602"/>
      <c r="V257" s="635"/>
      <c r="X257" s="602"/>
      <c r="Z257" s="54"/>
    </row>
    <row r="258" spans="20:26">
      <c r="T258" s="602"/>
      <c r="U258" s="602"/>
      <c r="V258" s="635"/>
      <c r="X258" s="602"/>
    </row>
    <row r="259" spans="20:26">
      <c r="T259" s="602"/>
      <c r="U259" s="602"/>
      <c r="V259" s="635"/>
      <c r="X259" s="602"/>
    </row>
    <row r="260" spans="20:26">
      <c r="T260" s="602"/>
      <c r="U260" s="602"/>
      <c r="V260" s="635"/>
      <c r="X260" s="602"/>
    </row>
    <row r="261" spans="20:26">
      <c r="T261" s="602"/>
      <c r="U261" s="602"/>
      <c r="V261" s="635"/>
      <c r="X261" s="602"/>
    </row>
    <row r="262" spans="20:26">
      <c r="T262" s="602"/>
      <c r="U262" s="602"/>
      <c r="V262" s="635"/>
      <c r="X262" s="602"/>
    </row>
    <row r="263" spans="20:26">
      <c r="T263" s="602"/>
      <c r="U263" s="602"/>
      <c r="V263" s="635"/>
      <c r="X263" s="602"/>
    </row>
    <row r="264" spans="20:26">
      <c r="T264" s="602"/>
      <c r="U264" s="602"/>
      <c r="V264" s="635"/>
      <c r="X264" s="602"/>
    </row>
    <row r="265" spans="20:26">
      <c r="T265" s="602"/>
      <c r="U265" s="602"/>
      <c r="V265" s="635"/>
      <c r="X265" s="602"/>
    </row>
    <row r="266" spans="20:26">
      <c r="T266" s="602"/>
      <c r="U266" s="602"/>
      <c r="V266" s="635"/>
      <c r="X266" s="602"/>
    </row>
    <row r="267" spans="20:26">
      <c r="T267" s="602"/>
      <c r="U267" s="602"/>
      <c r="V267" s="635"/>
      <c r="X267" s="602"/>
    </row>
    <row r="268" spans="20:26">
      <c r="T268" s="602"/>
      <c r="U268" s="602"/>
      <c r="V268" s="635"/>
      <c r="X268" s="602"/>
    </row>
    <row r="269" spans="20:26">
      <c r="T269" s="602"/>
      <c r="U269" s="602"/>
      <c r="V269" s="635"/>
      <c r="X269" s="602"/>
    </row>
    <row r="270" spans="20:26">
      <c r="T270" s="602"/>
      <c r="U270" s="602"/>
      <c r="V270" s="635"/>
      <c r="X270" s="602"/>
    </row>
    <row r="271" spans="20:26">
      <c r="T271" s="602"/>
      <c r="U271" s="602"/>
      <c r="V271" s="635"/>
      <c r="X271" s="602"/>
    </row>
    <row r="272" spans="20:26">
      <c r="T272" s="602"/>
      <c r="U272" s="602"/>
      <c r="V272" s="635"/>
      <c r="X272" s="602"/>
    </row>
    <row r="273" spans="20:24">
      <c r="T273" s="602"/>
      <c r="U273" s="602"/>
      <c r="V273" s="635"/>
      <c r="X273" s="602"/>
    </row>
    <row r="274" spans="20:24">
      <c r="T274" s="602"/>
      <c r="U274" s="602"/>
      <c r="V274" s="635"/>
      <c r="X274" s="602"/>
    </row>
    <row r="275" spans="20:24">
      <c r="T275" s="602"/>
      <c r="U275" s="602"/>
      <c r="V275" s="635"/>
      <c r="X275" s="602"/>
    </row>
    <row r="276" spans="20:24">
      <c r="T276" s="602"/>
      <c r="U276" s="602"/>
      <c r="V276" s="635"/>
      <c r="X276" s="602"/>
    </row>
    <row r="277" spans="20:24">
      <c r="T277" s="602"/>
      <c r="U277" s="602"/>
      <c r="V277" s="635"/>
      <c r="X277" s="602"/>
    </row>
    <row r="278" spans="20:24">
      <c r="T278" s="602"/>
      <c r="U278" s="602"/>
      <c r="V278" s="635"/>
      <c r="X278" s="602"/>
    </row>
    <row r="279" spans="20:24">
      <c r="T279" s="602"/>
      <c r="U279" s="602"/>
      <c r="V279" s="635"/>
      <c r="X279" s="602"/>
    </row>
    <row r="280" spans="20:24">
      <c r="T280" s="602"/>
      <c r="U280" s="602"/>
      <c r="V280" s="635"/>
      <c r="X280" s="602"/>
    </row>
    <row r="281" spans="20:24">
      <c r="T281" s="602"/>
      <c r="U281" s="602"/>
      <c r="V281" s="635"/>
      <c r="X281" s="602"/>
    </row>
    <row r="282" spans="20:24">
      <c r="T282" s="602"/>
      <c r="U282" s="602"/>
      <c r="V282" s="635"/>
      <c r="X282" s="602"/>
    </row>
    <row r="283" spans="20:24">
      <c r="T283" s="602"/>
      <c r="U283" s="602"/>
      <c r="V283" s="635"/>
      <c r="X283" s="602"/>
    </row>
    <row r="284" spans="20:24">
      <c r="T284" s="602"/>
      <c r="U284" s="602"/>
      <c r="V284" s="635"/>
      <c r="X284" s="602"/>
    </row>
    <row r="285" spans="20:24">
      <c r="T285" s="602"/>
      <c r="U285" s="602"/>
      <c r="V285" s="635"/>
      <c r="X285" s="602"/>
    </row>
    <row r="286" spans="20:24">
      <c r="T286" s="602"/>
      <c r="U286" s="602"/>
      <c r="V286" s="635"/>
      <c r="X286" s="602"/>
    </row>
    <row r="287" spans="20:24">
      <c r="T287" s="602"/>
      <c r="U287" s="602"/>
      <c r="V287" s="635"/>
      <c r="X287" s="602"/>
    </row>
    <row r="288" spans="20:24">
      <c r="T288" s="602"/>
      <c r="U288" s="602"/>
      <c r="V288" s="635"/>
      <c r="X288" s="602"/>
    </row>
    <row r="289" spans="24:24">
      <c r="X289" s="602"/>
    </row>
    <row r="290" spans="24:24">
      <c r="X290" s="602"/>
    </row>
    <row r="291" spans="24:24">
      <c r="X291" s="602"/>
    </row>
    <row r="292" spans="24:24">
      <c r="X292" s="602"/>
    </row>
    <row r="293" spans="24:24">
      <c r="X293" s="602"/>
    </row>
    <row r="294" spans="24:24">
      <c r="X294" s="602"/>
    </row>
    <row r="295" spans="24:24">
      <c r="X295" s="602"/>
    </row>
    <row r="296" spans="24:24">
      <c r="X296" s="602"/>
    </row>
    <row r="297" spans="24:24">
      <c r="X297" s="602"/>
    </row>
    <row r="298" spans="24:24">
      <c r="X298" s="602"/>
    </row>
    <row r="299" spans="24:24">
      <c r="X299" s="602"/>
    </row>
    <row r="300" spans="24:24">
      <c r="X300" s="602"/>
    </row>
    <row r="301" spans="24:24">
      <c r="X301" s="602"/>
    </row>
    <row r="302" spans="24:24">
      <c r="X302" s="602"/>
    </row>
    <row r="303" spans="24:24">
      <c r="X303" s="602"/>
    </row>
    <row r="304" spans="24:24">
      <c r="X304" s="602"/>
    </row>
    <row r="305" spans="24:24">
      <c r="X305" s="602"/>
    </row>
    <row r="306" spans="24:24">
      <c r="X306" s="602"/>
    </row>
    <row r="307" spans="24:24">
      <c r="X307" s="602"/>
    </row>
    <row r="308" spans="24:24">
      <c r="X308" s="602"/>
    </row>
    <row r="309" spans="24:24">
      <c r="X309" s="602"/>
    </row>
    <row r="310" spans="24:24">
      <c r="X310" s="602"/>
    </row>
    <row r="311" spans="24:24">
      <c r="X311" s="602"/>
    </row>
    <row r="312" spans="24:24">
      <c r="X312" s="602"/>
    </row>
    <row r="313" spans="24:24">
      <c r="X313" s="602"/>
    </row>
    <row r="314" spans="24:24">
      <c r="X314" s="602"/>
    </row>
    <row r="315" spans="24:24">
      <c r="X315" s="602"/>
    </row>
    <row r="316" spans="24:24">
      <c r="X316" s="602"/>
    </row>
    <row r="317" spans="24:24">
      <c r="X317" s="602"/>
    </row>
    <row r="318" spans="24:24">
      <c r="X318" s="602"/>
    </row>
    <row r="319" spans="24:24">
      <c r="X319" s="602"/>
    </row>
    <row r="320" spans="24:24">
      <c r="X320" s="602"/>
    </row>
    <row r="321" spans="24:24">
      <c r="X321" s="602"/>
    </row>
    <row r="322" spans="24:24">
      <c r="X322" s="602"/>
    </row>
    <row r="323" spans="24:24">
      <c r="X323" s="602"/>
    </row>
    <row r="324" spans="24:24">
      <c r="X324" s="602"/>
    </row>
    <row r="325" spans="24:24">
      <c r="X325" s="602"/>
    </row>
    <row r="326" spans="24:24">
      <c r="X326" s="602"/>
    </row>
    <row r="327" spans="24:24">
      <c r="X327" s="602"/>
    </row>
    <row r="328" spans="24:24">
      <c r="X328" s="602"/>
    </row>
    <row r="329" spans="24:24">
      <c r="X329" s="602"/>
    </row>
    <row r="330" spans="24:24">
      <c r="X330" s="602"/>
    </row>
    <row r="331" spans="24:24">
      <c r="X331" s="602"/>
    </row>
    <row r="332" spans="24:24">
      <c r="X332" s="602"/>
    </row>
    <row r="333" spans="24:24">
      <c r="X333" s="602"/>
    </row>
    <row r="334" spans="24:24">
      <c r="X334" s="602"/>
    </row>
    <row r="335" spans="24:24">
      <c r="X335" s="602"/>
    </row>
    <row r="336" spans="24:24">
      <c r="X336" s="602"/>
    </row>
    <row r="337" spans="24:24">
      <c r="X337" s="602"/>
    </row>
    <row r="338" spans="24:24">
      <c r="X338" s="602"/>
    </row>
    <row r="339" spans="24:24">
      <c r="X339" s="602"/>
    </row>
    <row r="340" spans="24:24">
      <c r="X340" s="602"/>
    </row>
    <row r="341" spans="24:24">
      <c r="X341" s="602"/>
    </row>
    <row r="342" spans="24:24">
      <c r="X342" s="602"/>
    </row>
    <row r="343" spans="24:24">
      <c r="X343" s="602"/>
    </row>
    <row r="344" spans="24:24">
      <c r="X344" s="602"/>
    </row>
    <row r="345" spans="24:24">
      <c r="X345" s="602"/>
    </row>
    <row r="346" spans="24:24">
      <c r="X346" s="602"/>
    </row>
    <row r="347" spans="24:24">
      <c r="X347" s="602"/>
    </row>
    <row r="348" spans="24:24">
      <c r="X348" s="602"/>
    </row>
    <row r="349" spans="24:24">
      <c r="X349" s="602"/>
    </row>
    <row r="350" spans="24:24">
      <c r="X350" s="602"/>
    </row>
    <row r="351" spans="24:24">
      <c r="X351" s="602"/>
    </row>
    <row r="352" spans="24:24">
      <c r="X352" s="602"/>
    </row>
    <row r="353" spans="24:24">
      <c r="X353" s="602"/>
    </row>
    <row r="354" spans="24:24">
      <c r="X354" s="602"/>
    </row>
    <row r="355" spans="24:24">
      <c r="X355" s="602"/>
    </row>
    <row r="356" spans="24:24">
      <c r="X356" s="602"/>
    </row>
    <row r="357" spans="24:24">
      <c r="X357" s="602"/>
    </row>
    <row r="358" spans="24:24">
      <c r="X358" s="602"/>
    </row>
    <row r="359" spans="24:24">
      <c r="X359" s="602"/>
    </row>
    <row r="360" spans="24:24">
      <c r="X360" s="602"/>
    </row>
    <row r="361" spans="24:24">
      <c r="X361" s="602"/>
    </row>
    <row r="362" spans="24:24">
      <c r="X362" s="602"/>
    </row>
    <row r="363" spans="24:24">
      <c r="X363" s="602"/>
    </row>
    <row r="364" spans="24:24">
      <c r="X364" s="602"/>
    </row>
    <row r="365" spans="24:24">
      <c r="X365" s="602"/>
    </row>
    <row r="366" spans="24:24">
      <c r="X366" s="602"/>
    </row>
    <row r="367" spans="24:24">
      <c r="X367" s="602"/>
    </row>
    <row r="368" spans="24:24">
      <c r="X368" s="602"/>
    </row>
    <row r="369" spans="24:24">
      <c r="X369" s="602"/>
    </row>
    <row r="370" spans="24:24">
      <c r="X370" s="602"/>
    </row>
    <row r="371" spans="24:24">
      <c r="X371" s="602"/>
    </row>
    <row r="372" spans="24:24">
      <c r="X372" s="602"/>
    </row>
    <row r="373" spans="24:24">
      <c r="X373" s="602"/>
    </row>
    <row r="374" spans="24:24">
      <c r="X374" s="602"/>
    </row>
    <row r="375" spans="24:24">
      <c r="X375" s="602"/>
    </row>
    <row r="376" spans="24:24">
      <c r="X376" s="602"/>
    </row>
    <row r="377" spans="24:24">
      <c r="X377" s="602"/>
    </row>
    <row r="378" spans="24:24">
      <c r="X378" s="602"/>
    </row>
    <row r="379" spans="24:24">
      <c r="X379" s="602"/>
    </row>
    <row r="380" spans="24:24">
      <c r="X380" s="602"/>
    </row>
    <row r="381" spans="24:24">
      <c r="X381" s="602"/>
    </row>
    <row r="382" spans="24:24">
      <c r="X382" s="602"/>
    </row>
    <row r="383" spans="24:24">
      <c r="X383" s="602"/>
    </row>
    <row r="384" spans="24:24">
      <c r="X384" s="602"/>
    </row>
    <row r="385" spans="24:24">
      <c r="X385" s="602"/>
    </row>
    <row r="386" spans="24:24">
      <c r="X386" s="602"/>
    </row>
    <row r="387" spans="24:24">
      <c r="X387" s="602"/>
    </row>
    <row r="388" spans="24:24">
      <c r="X388" s="602"/>
    </row>
    <row r="389" spans="24:24">
      <c r="X389" s="602"/>
    </row>
    <row r="390" spans="24:24">
      <c r="X390" s="602"/>
    </row>
    <row r="391" spans="24:24">
      <c r="X391" s="602"/>
    </row>
    <row r="392" spans="24:24">
      <c r="X392" s="602"/>
    </row>
    <row r="393" spans="24:24">
      <c r="X393" s="602"/>
    </row>
    <row r="394" spans="24:24">
      <c r="X394" s="602"/>
    </row>
    <row r="395" spans="24:24">
      <c r="X395" s="602"/>
    </row>
    <row r="396" spans="24:24">
      <c r="X396" s="602"/>
    </row>
    <row r="397" spans="24:24">
      <c r="X397" s="602"/>
    </row>
    <row r="398" spans="24:24">
      <c r="X398" s="602"/>
    </row>
    <row r="399" spans="24:24">
      <c r="X399" s="602"/>
    </row>
    <row r="400" spans="24:24">
      <c r="X400" s="602"/>
    </row>
    <row r="401" spans="24:24">
      <c r="X401" s="602"/>
    </row>
    <row r="402" spans="24:24">
      <c r="X402" s="602"/>
    </row>
    <row r="403" spans="24:24">
      <c r="X403" s="602"/>
    </row>
    <row r="404" spans="24:24">
      <c r="X404" s="602"/>
    </row>
    <row r="405" spans="24:24">
      <c r="X405" s="602"/>
    </row>
    <row r="406" spans="24:24">
      <c r="X406" s="602"/>
    </row>
    <row r="407" spans="24:24">
      <c r="X407" s="602"/>
    </row>
    <row r="408" spans="24:24">
      <c r="X408" s="602"/>
    </row>
    <row r="409" spans="24:24">
      <c r="X409" s="602"/>
    </row>
    <row r="410" spans="24:24">
      <c r="X410" s="602"/>
    </row>
    <row r="411" spans="24:24">
      <c r="X411" s="602"/>
    </row>
    <row r="412" spans="24:24">
      <c r="X412" s="602"/>
    </row>
    <row r="413" spans="24:24">
      <c r="X413" s="602"/>
    </row>
    <row r="414" spans="24:24">
      <c r="X414" s="602"/>
    </row>
    <row r="415" spans="24:24">
      <c r="X415" s="602"/>
    </row>
    <row r="416" spans="24:24">
      <c r="X416" s="602"/>
    </row>
    <row r="417" spans="24:24">
      <c r="X417" s="602"/>
    </row>
    <row r="418" spans="24:24">
      <c r="X418" s="602"/>
    </row>
    <row r="419" spans="24:24">
      <c r="X419" s="602"/>
    </row>
    <row r="420" spans="24:24">
      <c r="X420" s="602"/>
    </row>
    <row r="421" spans="24:24">
      <c r="X421" s="602"/>
    </row>
    <row r="422" spans="24:24">
      <c r="X422" s="602"/>
    </row>
    <row r="423" spans="24:24">
      <c r="X423" s="602"/>
    </row>
    <row r="424" spans="24:24">
      <c r="X424" s="602"/>
    </row>
    <row r="425" spans="24:24">
      <c r="X425" s="602"/>
    </row>
    <row r="496" spans="24:24">
      <c r="X496" s="602"/>
    </row>
    <row r="497" spans="24:24">
      <c r="X497" s="602"/>
    </row>
    <row r="498" spans="24:24">
      <c r="X498" s="602"/>
    </row>
    <row r="499" spans="24:24">
      <c r="X499" s="602"/>
    </row>
  </sheetData>
  <autoFilter ref="A1:AA231" xr:uid="{00000000-0009-0000-0000-000003000000}"/>
  <mergeCells count="23">
    <mergeCell ref="W6:W7"/>
    <mergeCell ref="C221:D221"/>
    <mergeCell ref="N221:O221"/>
    <mergeCell ref="C226:D226"/>
    <mergeCell ref="N226:O226"/>
    <mergeCell ref="C229:D229"/>
    <mergeCell ref="N229:O229"/>
    <mergeCell ref="A1:W1"/>
    <mergeCell ref="A2:W2"/>
    <mergeCell ref="C6:M6"/>
    <mergeCell ref="N6:V6"/>
    <mergeCell ref="B220:W220"/>
    <mergeCell ref="A6:A7"/>
    <mergeCell ref="A54:A59"/>
    <mergeCell ref="A64:A72"/>
    <mergeCell ref="A74:A76"/>
    <mergeCell ref="A77:A84"/>
    <mergeCell ref="A85:A96"/>
    <mergeCell ref="A101:A107"/>
    <mergeCell ref="A113:A114"/>
    <mergeCell ref="A115:A121"/>
    <mergeCell ref="A122:A139"/>
    <mergeCell ref="B6:B7"/>
  </mergeCells>
  <pageMargins left="0.77777777777777801" right="0.7" top="0.33541666666666697" bottom="0.75" header="0.3" footer="0.3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72"/>
  <sheetViews>
    <sheetView showWhiteSpace="0" view="pageLayout" topLeftCell="A70" zoomScale="80" zoomScaleNormal="100" zoomScalePageLayoutView="80" workbookViewId="0">
      <selection activeCell="H71" sqref="H71"/>
    </sheetView>
  </sheetViews>
  <sheetFormatPr defaultColWidth="8.7109375" defaultRowHeight="15"/>
  <cols>
    <col min="1" max="1" width="4.5703125" customWidth="1"/>
    <col min="2" max="2" width="20.28515625" customWidth="1"/>
    <col min="3" max="3" width="10.85546875" customWidth="1"/>
    <col min="4" max="4" width="13.7109375" style="82" customWidth="1"/>
    <col min="5" max="5" width="12.7109375" customWidth="1"/>
    <col min="6" max="6" width="12" customWidth="1"/>
    <col min="7" max="7" width="11.5703125" customWidth="1"/>
    <col min="8" max="8" width="11" customWidth="1"/>
    <col min="9" max="9" width="10.5703125" customWidth="1"/>
    <col min="10" max="10" width="11.7109375" customWidth="1"/>
    <col min="11" max="11" width="10.42578125" customWidth="1"/>
    <col min="12" max="12" width="11.42578125" customWidth="1"/>
    <col min="13" max="13" width="13" customWidth="1"/>
    <col min="14" max="14" width="13.28515625"/>
    <col min="15" max="15" width="12.7109375"/>
    <col min="16" max="16" width="12.85546875"/>
    <col min="17" max="17" width="13.28515625"/>
    <col min="18" max="18" width="11.7109375"/>
  </cols>
  <sheetData>
    <row r="2" spans="1:18">
      <c r="A2" s="933" t="s">
        <v>435</v>
      </c>
      <c r="B2" s="933"/>
      <c r="C2" s="933"/>
      <c r="D2" s="934"/>
      <c r="E2" s="933"/>
      <c r="F2" s="933"/>
      <c r="G2" s="933"/>
      <c r="H2" s="933"/>
      <c r="I2" s="933"/>
      <c r="J2" s="933"/>
      <c r="K2" s="933"/>
      <c r="L2" s="933"/>
      <c r="M2" s="933"/>
    </row>
    <row r="3" spans="1:18">
      <c r="A3" s="933" t="s">
        <v>436</v>
      </c>
      <c r="B3" s="933"/>
      <c r="C3" s="933"/>
      <c r="D3" s="934"/>
      <c r="E3" s="933"/>
      <c r="F3" s="933"/>
      <c r="G3" s="933"/>
      <c r="H3" s="933"/>
      <c r="I3" s="933"/>
      <c r="J3" s="933"/>
      <c r="K3" s="933"/>
      <c r="L3" s="933"/>
      <c r="M3" s="933"/>
    </row>
    <row r="4" spans="1:18">
      <c r="A4" s="935" t="s">
        <v>437</v>
      </c>
      <c r="B4" s="935"/>
      <c r="C4" s="51" t="s">
        <v>438</v>
      </c>
      <c r="D4" s="73"/>
      <c r="F4" s="51"/>
      <c r="M4" s="494"/>
    </row>
    <row r="5" spans="1:18">
      <c r="A5" s="944" t="s">
        <v>439</v>
      </c>
      <c r="B5" s="937" t="s">
        <v>440</v>
      </c>
      <c r="C5" s="949" t="s">
        <v>206</v>
      </c>
      <c r="D5" s="951" t="s">
        <v>441</v>
      </c>
      <c r="E5" s="936" t="s">
        <v>442</v>
      </c>
      <c r="F5" s="936"/>
      <c r="G5" s="937"/>
      <c r="H5" s="937"/>
      <c r="I5" s="495"/>
      <c r="J5" s="936" t="s">
        <v>443</v>
      </c>
      <c r="K5" s="936"/>
      <c r="L5" s="951" t="s">
        <v>444</v>
      </c>
      <c r="M5" s="955" t="s">
        <v>445</v>
      </c>
    </row>
    <row r="6" spans="1:18">
      <c r="A6" s="945"/>
      <c r="B6" s="947"/>
      <c r="C6" s="950"/>
      <c r="D6" s="952"/>
      <c r="E6" s="953" t="s">
        <v>446</v>
      </c>
      <c r="F6" s="954" t="s">
        <v>206</v>
      </c>
      <c r="G6" s="948" t="s">
        <v>447</v>
      </c>
      <c r="H6" s="948" t="s">
        <v>448</v>
      </c>
      <c r="I6" s="948" t="s">
        <v>111</v>
      </c>
      <c r="J6" s="953"/>
      <c r="K6" s="953"/>
      <c r="L6" s="952"/>
      <c r="M6" s="956"/>
    </row>
    <row r="7" spans="1:18">
      <c r="A7" s="946"/>
      <c r="B7" s="948"/>
      <c r="C7" s="950"/>
      <c r="D7" s="952"/>
      <c r="E7" s="954"/>
      <c r="F7" s="952"/>
      <c r="G7" s="950"/>
      <c r="H7" s="950"/>
      <c r="I7" s="950"/>
      <c r="J7" s="496" t="s">
        <v>449</v>
      </c>
      <c r="K7" s="496" t="s">
        <v>448</v>
      </c>
      <c r="L7" s="952"/>
      <c r="M7" s="956"/>
    </row>
    <row r="8" spans="1:18" ht="15.95" customHeight="1">
      <c r="A8" s="98">
        <v>1</v>
      </c>
      <c r="B8" s="497" t="s">
        <v>450</v>
      </c>
      <c r="C8" s="848" t="str">
        <f>C53</f>
        <v>10-02-2023</v>
      </c>
      <c r="D8" s="499">
        <v>5900000</v>
      </c>
      <c r="E8" s="62">
        <v>4850000</v>
      </c>
      <c r="F8" s="69"/>
      <c r="G8" s="500"/>
      <c r="H8" s="500"/>
      <c r="I8" s="500">
        <f t="shared" ref="I8:I20" si="0">G8+H8</f>
        <v>0</v>
      </c>
      <c r="J8" s="62">
        <f t="shared" ref="J8:J37" si="1">SUM(E8-G8)</f>
        <v>4850000</v>
      </c>
      <c r="K8" s="62"/>
      <c r="L8" s="501"/>
      <c r="M8" s="502"/>
    </row>
    <row r="9" spans="1:18" ht="15.95" customHeight="1">
      <c r="A9" s="98">
        <f t="shared" ref="A9:A20" si="2">A8+1</f>
        <v>2</v>
      </c>
      <c r="B9" s="497" t="s">
        <v>451</v>
      </c>
      <c r="C9" s="848" t="s">
        <v>452</v>
      </c>
      <c r="D9" s="499">
        <v>2000000</v>
      </c>
      <c r="E9" s="62">
        <v>400000</v>
      </c>
      <c r="F9" s="849" t="s">
        <v>363</v>
      </c>
      <c r="G9" s="500">
        <v>400000</v>
      </c>
      <c r="H9" s="500"/>
      <c r="I9" s="500">
        <f t="shared" si="0"/>
        <v>400000</v>
      </c>
      <c r="J9" s="62">
        <f t="shared" si="1"/>
        <v>0</v>
      </c>
      <c r="K9" s="62"/>
      <c r="L9" s="501"/>
      <c r="M9" s="502"/>
    </row>
    <row r="10" spans="1:18" ht="15.95" customHeight="1">
      <c r="A10" s="98">
        <f t="shared" si="2"/>
        <v>3</v>
      </c>
      <c r="B10" s="503" t="s">
        <v>453</v>
      </c>
      <c r="C10" s="498"/>
      <c r="D10" s="499">
        <v>44000000</v>
      </c>
      <c r="E10" s="62">
        <v>39800000</v>
      </c>
      <c r="F10" s="849" t="s">
        <v>363</v>
      </c>
      <c r="G10" s="500">
        <v>300000</v>
      </c>
      <c r="H10" s="500"/>
      <c r="I10" s="500">
        <f t="shared" si="0"/>
        <v>300000</v>
      </c>
      <c r="J10" s="62">
        <f t="shared" si="1"/>
        <v>39500000</v>
      </c>
      <c r="K10" s="62"/>
      <c r="L10" s="504"/>
      <c r="M10" s="505"/>
    </row>
    <row r="11" spans="1:18" ht="15.95" customHeight="1">
      <c r="A11" s="98">
        <f t="shared" si="2"/>
        <v>4</v>
      </c>
      <c r="B11" s="503" t="s">
        <v>454</v>
      </c>
      <c r="C11" s="498"/>
      <c r="D11" s="499">
        <v>15000000</v>
      </c>
      <c r="E11" s="62">
        <v>12550000</v>
      </c>
      <c r="F11" s="849" t="s">
        <v>363</v>
      </c>
      <c r="G11" s="500">
        <v>100000</v>
      </c>
      <c r="H11" s="500"/>
      <c r="I11" s="500">
        <f t="shared" si="0"/>
        <v>100000</v>
      </c>
      <c r="J11" s="62">
        <f t="shared" si="1"/>
        <v>12450000</v>
      </c>
      <c r="K11" s="62"/>
      <c r="L11" s="501"/>
      <c r="M11" s="502"/>
    </row>
    <row r="12" spans="1:18" ht="15.95" customHeight="1">
      <c r="A12" s="98">
        <f t="shared" si="2"/>
        <v>5</v>
      </c>
      <c r="B12" s="497" t="s">
        <v>455</v>
      </c>
      <c r="C12" s="506"/>
      <c r="D12" s="507">
        <v>5000000</v>
      </c>
      <c r="E12" s="508">
        <v>1550000</v>
      </c>
      <c r="F12" s="84"/>
      <c r="G12" s="509"/>
      <c r="H12" s="509"/>
      <c r="I12" s="500">
        <f t="shared" si="0"/>
        <v>0</v>
      </c>
      <c r="J12" s="508">
        <f t="shared" si="1"/>
        <v>1550000</v>
      </c>
      <c r="K12" s="508"/>
      <c r="L12" s="501"/>
      <c r="M12" s="502"/>
    </row>
    <row r="13" spans="1:18" ht="15.95" customHeight="1">
      <c r="A13" s="98">
        <f t="shared" si="2"/>
        <v>6</v>
      </c>
      <c r="B13" s="503" t="s">
        <v>456</v>
      </c>
      <c r="C13" s="498"/>
      <c r="D13" s="499">
        <v>1159840</v>
      </c>
      <c r="E13" s="62">
        <v>709840</v>
      </c>
      <c r="F13" s="69"/>
      <c r="G13" s="500"/>
      <c r="H13" s="500"/>
      <c r="I13" s="500">
        <f t="shared" si="0"/>
        <v>0</v>
      </c>
      <c r="J13" s="62">
        <f t="shared" si="1"/>
        <v>709840</v>
      </c>
      <c r="K13" s="62"/>
      <c r="L13" s="501"/>
      <c r="M13" s="502"/>
    </row>
    <row r="14" spans="1:18" ht="15.95" customHeight="1">
      <c r="A14" s="98">
        <f t="shared" si="2"/>
        <v>7</v>
      </c>
      <c r="B14" s="510" t="s">
        <v>382</v>
      </c>
      <c r="C14" s="498"/>
      <c r="D14" s="511">
        <v>5000000</v>
      </c>
      <c r="E14" s="62">
        <v>1045431</v>
      </c>
      <c r="F14" s="849" t="s">
        <v>363</v>
      </c>
      <c r="G14" s="500">
        <v>223864</v>
      </c>
      <c r="H14" s="500">
        <v>26136</v>
      </c>
      <c r="I14" s="500">
        <f t="shared" si="0"/>
        <v>250000</v>
      </c>
      <c r="J14" s="62">
        <f t="shared" si="1"/>
        <v>821567</v>
      </c>
      <c r="K14" s="62">
        <f t="shared" ref="K14:K20" si="3">SUM(J14*2.5%)</f>
        <v>20539.174999999999</v>
      </c>
      <c r="L14" s="62"/>
      <c r="M14" s="512"/>
      <c r="N14" s="85"/>
      <c r="O14" s="85">
        <f>100000-H14</f>
        <v>73864</v>
      </c>
      <c r="P14" s="85">
        <f>250000-H14</f>
        <v>223864</v>
      </c>
      <c r="Q14">
        <f>H15+K15</f>
        <v>56650.125</v>
      </c>
      <c r="R14">
        <f>150000-H14</f>
        <v>123864</v>
      </c>
    </row>
    <row r="15" spans="1:18" ht="15.95" customHeight="1">
      <c r="A15" s="98">
        <f t="shared" si="2"/>
        <v>8</v>
      </c>
      <c r="B15" s="513" t="s">
        <v>457</v>
      </c>
      <c r="C15" s="506"/>
      <c r="D15" s="499">
        <v>3569061</v>
      </c>
      <c r="E15" s="508">
        <v>2266005</v>
      </c>
      <c r="F15" s="84"/>
      <c r="G15" s="509"/>
      <c r="H15" s="509"/>
      <c r="I15" s="500">
        <f t="shared" si="0"/>
        <v>0</v>
      </c>
      <c r="J15" s="508">
        <f t="shared" si="1"/>
        <v>2266005</v>
      </c>
      <c r="K15" s="62">
        <f t="shared" si="3"/>
        <v>56650.125</v>
      </c>
      <c r="L15" s="514"/>
      <c r="M15" s="515" t="s">
        <v>458</v>
      </c>
      <c r="N15" s="85"/>
      <c r="O15" s="516"/>
      <c r="P15">
        <f>K15+L15</f>
        <v>56650.125</v>
      </c>
      <c r="Q15">
        <f>200000-H15</f>
        <v>200000</v>
      </c>
    </row>
    <row r="16" spans="1:18" ht="15.95" customHeight="1">
      <c r="A16" s="98">
        <f t="shared" si="2"/>
        <v>9</v>
      </c>
      <c r="B16" s="517" t="s">
        <v>459</v>
      </c>
      <c r="C16" s="498"/>
      <c r="D16" s="511">
        <v>1088597</v>
      </c>
      <c r="E16" s="62">
        <v>735692</v>
      </c>
      <c r="F16" s="69"/>
      <c r="G16" s="500"/>
      <c r="H16" s="500"/>
      <c r="I16" s="500">
        <f t="shared" si="0"/>
        <v>0</v>
      </c>
      <c r="J16" s="62">
        <f t="shared" si="1"/>
        <v>735692</v>
      </c>
      <c r="K16" s="62">
        <f t="shared" si="3"/>
        <v>18392.3</v>
      </c>
      <c r="L16" s="518">
        <v>162654</v>
      </c>
      <c r="M16" s="519"/>
      <c r="N16" s="516"/>
      <c r="O16" s="85"/>
      <c r="P16" s="85">
        <f>100000-P15</f>
        <v>43349.875</v>
      </c>
      <c r="Q16">
        <f>P16+G15</f>
        <v>43349.875</v>
      </c>
    </row>
    <row r="17" spans="1:17" ht="15.95" customHeight="1">
      <c r="A17" s="98">
        <f t="shared" si="2"/>
        <v>10</v>
      </c>
      <c r="B17" s="520" t="s">
        <v>398</v>
      </c>
      <c r="C17" s="506"/>
      <c r="D17" s="499">
        <v>967246</v>
      </c>
      <c r="E17" s="508">
        <v>894727</v>
      </c>
      <c r="F17" s="850" t="s">
        <v>363</v>
      </c>
      <c r="G17" s="509"/>
      <c r="H17" s="509">
        <v>50000</v>
      </c>
      <c r="I17" s="500">
        <f t="shared" si="0"/>
        <v>50000</v>
      </c>
      <c r="J17" s="508">
        <f t="shared" si="1"/>
        <v>894727</v>
      </c>
      <c r="K17" s="508">
        <f t="shared" si="3"/>
        <v>22368.174999999999</v>
      </c>
      <c r="L17" s="508">
        <v>30116</v>
      </c>
      <c r="M17" s="521"/>
      <c r="N17" s="85"/>
      <c r="O17" s="85">
        <f>H17-K17</f>
        <v>27631.825000000001</v>
      </c>
      <c r="P17" s="85">
        <f>L17-O17</f>
        <v>2484.1750000000002</v>
      </c>
    </row>
    <row r="18" spans="1:17" ht="15.95" customHeight="1">
      <c r="A18" s="98">
        <f t="shared" si="2"/>
        <v>11</v>
      </c>
      <c r="B18" s="503" t="s">
        <v>460</v>
      </c>
      <c r="C18" s="498"/>
      <c r="D18" s="499">
        <v>722590</v>
      </c>
      <c r="E18" s="62">
        <v>479931</v>
      </c>
      <c r="F18" s="69"/>
      <c r="G18" s="500"/>
      <c r="H18" s="500"/>
      <c r="I18" s="500">
        <f t="shared" si="0"/>
        <v>0</v>
      </c>
      <c r="J18" s="62">
        <f t="shared" si="1"/>
        <v>479931</v>
      </c>
      <c r="K18" s="508">
        <f t="shared" si="3"/>
        <v>11998.275</v>
      </c>
      <c r="L18" s="514">
        <v>107982</v>
      </c>
      <c r="M18" s="522" t="s">
        <v>461</v>
      </c>
      <c r="N18" s="516"/>
      <c r="O18" s="85">
        <f>L17-O17</f>
        <v>2484.1750000000002</v>
      </c>
    </row>
    <row r="19" spans="1:17" ht="15.95" customHeight="1">
      <c r="A19" s="98">
        <f t="shared" si="2"/>
        <v>12</v>
      </c>
      <c r="B19" s="520" t="s">
        <v>462</v>
      </c>
      <c r="C19" s="498"/>
      <c r="D19" s="499">
        <v>1784893</v>
      </c>
      <c r="E19" s="62">
        <v>1661453</v>
      </c>
      <c r="F19" s="69"/>
      <c r="G19" s="500"/>
      <c r="H19" s="500"/>
      <c r="I19" s="500">
        <f t="shared" si="0"/>
        <v>0</v>
      </c>
      <c r="J19" s="62">
        <f t="shared" si="1"/>
        <v>1661453</v>
      </c>
      <c r="K19" s="62">
        <f t="shared" si="3"/>
        <v>41536.324999999997</v>
      </c>
      <c r="L19" s="514">
        <v>124608</v>
      </c>
      <c r="M19" s="523" t="s">
        <v>461</v>
      </c>
      <c r="N19" s="85"/>
      <c r="O19" s="85"/>
    </row>
    <row r="20" spans="1:17" ht="15.95" customHeight="1">
      <c r="A20" s="98">
        <f t="shared" si="2"/>
        <v>13</v>
      </c>
      <c r="B20" s="520" t="s">
        <v>463</v>
      </c>
      <c r="C20" s="498"/>
      <c r="D20" s="499">
        <v>3611701</v>
      </c>
      <c r="E20" s="62">
        <v>3560937</v>
      </c>
      <c r="F20" s="69"/>
      <c r="G20" s="500"/>
      <c r="H20" s="509"/>
      <c r="I20" s="500">
        <f t="shared" si="0"/>
        <v>0</v>
      </c>
      <c r="J20" s="62">
        <f t="shared" si="1"/>
        <v>3560937</v>
      </c>
      <c r="K20" s="62">
        <f t="shared" si="3"/>
        <v>89023.425000000003</v>
      </c>
      <c r="L20" s="501">
        <v>178046</v>
      </c>
      <c r="M20" s="502"/>
      <c r="N20" s="85"/>
      <c r="O20" s="85"/>
      <c r="P20" s="85"/>
    </row>
    <row r="21" spans="1:17" ht="15.95" customHeight="1">
      <c r="A21" s="98">
        <f t="shared" ref="A21:A40" si="4">A20+1</f>
        <v>14</v>
      </c>
      <c r="B21" s="520" t="s">
        <v>464</v>
      </c>
      <c r="C21" s="506"/>
      <c r="D21" s="499">
        <v>1755363</v>
      </c>
      <c r="E21" s="508">
        <v>1263615</v>
      </c>
      <c r="F21" s="84"/>
      <c r="G21" s="509"/>
      <c r="H21" s="509"/>
      <c r="I21" s="500">
        <f t="shared" ref="I21:I37" si="5">G21+H21</f>
        <v>0</v>
      </c>
      <c r="J21" s="508">
        <f t="shared" si="1"/>
        <v>1263615</v>
      </c>
      <c r="K21" s="62">
        <f t="shared" ref="K21:K30" si="6">SUM(J21*2.5%)</f>
        <v>31590.375</v>
      </c>
      <c r="L21" s="524">
        <v>221130</v>
      </c>
      <c r="M21" s="502"/>
      <c r="N21" s="516"/>
      <c r="O21" s="85"/>
    </row>
    <row r="22" spans="1:17" ht="15.95" customHeight="1">
      <c r="A22" s="98">
        <f t="shared" si="4"/>
        <v>15</v>
      </c>
      <c r="B22" s="525" t="s">
        <v>465</v>
      </c>
      <c r="C22" s="498"/>
      <c r="D22" s="499">
        <v>1755480</v>
      </c>
      <c r="E22" s="62">
        <v>1407699</v>
      </c>
      <c r="F22" s="849" t="s">
        <v>363</v>
      </c>
      <c r="G22" s="500"/>
      <c r="H22" s="500">
        <v>100000</v>
      </c>
      <c r="I22" s="500">
        <f t="shared" si="5"/>
        <v>100000</v>
      </c>
      <c r="J22" s="62">
        <f t="shared" si="1"/>
        <v>1407699</v>
      </c>
      <c r="K22" s="62">
        <f t="shared" si="6"/>
        <v>35192.474999999999</v>
      </c>
      <c r="L22" s="501">
        <v>40768</v>
      </c>
      <c r="M22" s="502"/>
      <c r="N22" s="526"/>
      <c r="O22" s="85">
        <f>100000-K22</f>
        <v>64807.525000000001</v>
      </c>
      <c r="P22" s="527">
        <f>L22-O22</f>
        <v>-24039.525000000001</v>
      </c>
    </row>
    <row r="23" spans="1:17" ht="15.95" customHeight="1">
      <c r="A23" s="98">
        <f t="shared" si="4"/>
        <v>16</v>
      </c>
      <c r="B23" s="525" t="s">
        <v>466</v>
      </c>
      <c r="C23" s="506"/>
      <c r="D23" s="499">
        <v>1493970</v>
      </c>
      <c r="E23" s="508">
        <v>1315178</v>
      </c>
      <c r="F23" s="84"/>
      <c r="G23" s="509"/>
      <c r="H23" s="509"/>
      <c r="I23" s="500">
        <f t="shared" si="5"/>
        <v>0</v>
      </c>
      <c r="J23" s="508">
        <f t="shared" si="1"/>
        <v>1315178</v>
      </c>
      <c r="K23" s="508"/>
      <c r="L23" s="501"/>
      <c r="M23" s="528" t="s">
        <v>467</v>
      </c>
      <c r="O23">
        <f>L22-O22</f>
        <v>-24039.525000000001</v>
      </c>
    </row>
    <row r="24" spans="1:17" ht="15.95" customHeight="1">
      <c r="A24" s="98">
        <f t="shared" si="4"/>
        <v>17</v>
      </c>
      <c r="B24" s="525" t="s">
        <v>468</v>
      </c>
      <c r="C24" s="848" t="s">
        <v>469</v>
      </c>
      <c r="D24" s="499">
        <v>2868402</v>
      </c>
      <c r="E24" s="62">
        <v>0</v>
      </c>
      <c r="F24" s="69"/>
      <c r="G24" s="500"/>
      <c r="H24" s="500"/>
      <c r="I24" s="500">
        <f t="shared" si="5"/>
        <v>0</v>
      </c>
      <c r="J24" s="62">
        <f t="shared" si="1"/>
        <v>0</v>
      </c>
      <c r="K24" s="62">
        <f t="shared" si="6"/>
        <v>0</v>
      </c>
      <c r="L24" s="501">
        <v>264256</v>
      </c>
      <c r="M24" s="502"/>
    </row>
    <row r="25" spans="1:17" ht="15.95" customHeight="1">
      <c r="A25" s="98">
        <f t="shared" si="4"/>
        <v>18</v>
      </c>
      <c r="B25" s="525" t="s">
        <v>415</v>
      </c>
      <c r="C25" s="506"/>
      <c r="D25" s="499">
        <v>1876372</v>
      </c>
      <c r="E25" s="508">
        <v>488793</v>
      </c>
      <c r="F25" s="850" t="s">
        <v>363</v>
      </c>
      <c r="G25" s="509">
        <v>87780</v>
      </c>
      <c r="H25" s="509">
        <v>12220</v>
      </c>
      <c r="I25" s="500">
        <f t="shared" si="5"/>
        <v>100000</v>
      </c>
      <c r="J25" s="508">
        <f t="shared" si="1"/>
        <v>401013</v>
      </c>
      <c r="K25" s="62">
        <f t="shared" si="6"/>
        <v>10025.325000000001</v>
      </c>
      <c r="L25" s="524"/>
      <c r="M25" s="502"/>
      <c r="N25" s="516"/>
      <c r="O25" s="85">
        <f>K25+L25</f>
        <v>10025.325000000001</v>
      </c>
      <c r="P25" s="85">
        <f>100000-H25</f>
        <v>87780</v>
      </c>
    </row>
    <row r="26" spans="1:17" ht="15.95" customHeight="1">
      <c r="A26" s="98">
        <f t="shared" si="4"/>
        <v>19</v>
      </c>
      <c r="B26" s="525" t="s">
        <v>470</v>
      </c>
      <c r="C26" s="848" t="s">
        <v>471</v>
      </c>
      <c r="D26" s="499">
        <v>2000000</v>
      </c>
      <c r="E26" s="62">
        <v>1849856</v>
      </c>
      <c r="F26" s="69"/>
      <c r="G26" s="500"/>
      <c r="H26" s="509"/>
      <c r="I26" s="500">
        <f t="shared" si="5"/>
        <v>0</v>
      </c>
      <c r="J26" s="62">
        <f t="shared" si="1"/>
        <v>1849856</v>
      </c>
      <c r="K26" s="62">
        <f t="shared" si="6"/>
        <v>46246.400000000001</v>
      </c>
      <c r="L26" s="501">
        <v>46246</v>
      </c>
      <c r="M26" s="502"/>
      <c r="N26" s="85"/>
      <c r="O26" s="85"/>
    </row>
    <row r="27" spans="1:17" ht="15.95" customHeight="1">
      <c r="A27" s="98">
        <f t="shared" si="4"/>
        <v>20</v>
      </c>
      <c r="B27" s="525" t="s">
        <v>472</v>
      </c>
      <c r="C27" s="848" t="s">
        <v>473</v>
      </c>
      <c r="D27" s="499">
        <v>4568513</v>
      </c>
      <c r="E27" s="62">
        <v>4394990</v>
      </c>
      <c r="F27" s="69"/>
      <c r="G27" s="500"/>
      <c r="H27" s="500"/>
      <c r="I27" s="500">
        <f t="shared" si="5"/>
        <v>0</v>
      </c>
      <c r="J27" s="62">
        <f t="shared" si="1"/>
        <v>4394990</v>
      </c>
      <c r="K27" s="62">
        <f t="shared" si="6"/>
        <v>109874.75</v>
      </c>
      <c r="L27" s="501">
        <v>608625</v>
      </c>
      <c r="M27" s="529"/>
      <c r="N27" s="516"/>
    </row>
    <row r="28" spans="1:17" ht="15.95" customHeight="1">
      <c r="A28" s="98">
        <f t="shared" si="4"/>
        <v>21</v>
      </c>
      <c r="B28" s="525" t="s">
        <v>276</v>
      </c>
      <c r="C28" s="848" t="s">
        <v>474</v>
      </c>
      <c r="D28" s="499">
        <v>2381327</v>
      </c>
      <c r="E28" s="62">
        <v>1697785</v>
      </c>
      <c r="F28" s="849" t="s">
        <v>363</v>
      </c>
      <c r="G28" s="500">
        <v>7555</v>
      </c>
      <c r="H28" s="500">
        <v>42445</v>
      </c>
      <c r="I28" s="500">
        <f t="shared" si="5"/>
        <v>50000</v>
      </c>
      <c r="J28" s="62">
        <f t="shared" si="1"/>
        <v>1690230</v>
      </c>
      <c r="K28" s="62">
        <f t="shared" si="6"/>
        <v>42255.75</v>
      </c>
      <c r="L28" s="501"/>
      <c r="M28" s="502"/>
      <c r="N28" s="85"/>
      <c r="O28" s="85">
        <f>50000-H28</f>
        <v>7555</v>
      </c>
      <c r="P28">
        <f>100000-O28</f>
        <v>92445</v>
      </c>
      <c r="Q28">
        <f>100000-H28</f>
        <v>57555</v>
      </c>
    </row>
    <row r="29" spans="1:17" ht="15.95" customHeight="1">
      <c r="A29" s="98">
        <f t="shared" si="4"/>
        <v>22</v>
      </c>
      <c r="B29" s="525" t="s">
        <v>475</v>
      </c>
      <c r="C29" s="848" t="s">
        <v>474</v>
      </c>
      <c r="D29" s="499">
        <v>5911040</v>
      </c>
      <c r="E29" s="62">
        <v>5908816</v>
      </c>
      <c r="F29" s="69"/>
      <c r="G29" s="500"/>
      <c r="H29" s="500"/>
      <c r="I29" s="500">
        <f t="shared" si="5"/>
        <v>0</v>
      </c>
      <c r="J29" s="62">
        <f t="shared" si="1"/>
        <v>5908816</v>
      </c>
      <c r="K29" s="62">
        <f t="shared" si="6"/>
        <v>147720.4</v>
      </c>
      <c r="L29" s="501">
        <v>515208</v>
      </c>
      <c r="M29" s="502"/>
      <c r="N29" s="85"/>
      <c r="O29" s="516">
        <f>H29-K29</f>
        <v>-147720.4</v>
      </c>
      <c r="P29">
        <f>150000-H29</f>
        <v>150000</v>
      </c>
      <c r="Q29">
        <f>L29-P29</f>
        <v>365208</v>
      </c>
    </row>
    <row r="30" spans="1:17" ht="15.95" customHeight="1">
      <c r="A30" s="98">
        <f t="shared" si="4"/>
        <v>23</v>
      </c>
      <c r="B30" s="525" t="s">
        <v>476</v>
      </c>
      <c r="C30" s="848" t="s">
        <v>474</v>
      </c>
      <c r="D30" s="499">
        <v>2000000</v>
      </c>
      <c r="E30" s="62">
        <v>480406</v>
      </c>
      <c r="F30" s="849" t="s">
        <v>363</v>
      </c>
      <c r="G30" s="500"/>
      <c r="H30" s="500">
        <v>50000</v>
      </c>
      <c r="I30" s="500">
        <f t="shared" si="5"/>
        <v>50000</v>
      </c>
      <c r="J30" s="62">
        <f t="shared" si="1"/>
        <v>480406</v>
      </c>
      <c r="K30" s="62">
        <f t="shared" si="6"/>
        <v>12010.15</v>
      </c>
      <c r="L30" s="524">
        <v>3785</v>
      </c>
      <c r="M30" s="502"/>
      <c r="N30" s="516"/>
      <c r="O30" s="516">
        <f>L29-O29</f>
        <v>662928.4</v>
      </c>
      <c r="P30">
        <f>L30+K30</f>
        <v>15795.15</v>
      </c>
    </row>
    <row r="31" spans="1:17" ht="15.95" customHeight="1">
      <c r="A31" s="98">
        <f t="shared" si="4"/>
        <v>24</v>
      </c>
      <c r="B31" s="497" t="s">
        <v>477</v>
      </c>
      <c r="C31" s="851" t="s">
        <v>474</v>
      </c>
      <c r="D31" s="499">
        <v>1202503</v>
      </c>
      <c r="E31" s="508">
        <v>763026</v>
      </c>
      <c r="F31" s="84"/>
      <c r="G31" s="509"/>
      <c r="H31" s="509"/>
      <c r="I31" s="500">
        <f t="shared" si="5"/>
        <v>0</v>
      </c>
      <c r="J31" s="508">
        <f t="shared" si="1"/>
        <v>763026</v>
      </c>
      <c r="K31" s="62"/>
      <c r="L31" s="501"/>
      <c r="M31" s="528" t="s">
        <v>478</v>
      </c>
      <c r="P31">
        <f>50000-P30</f>
        <v>34204.85</v>
      </c>
    </row>
    <row r="32" spans="1:17" ht="15.95" customHeight="1">
      <c r="A32" s="98">
        <f t="shared" si="4"/>
        <v>25</v>
      </c>
      <c r="B32" s="525" t="s">
        <v>479</v>
      </c>
      <c r="C32" s="848" t="s">
        <v>474</v>
      </c>
      <c r="D32" s="499">
        <v>22500000</v>
      </c>
      <c r="E32" s="62">
        <v>20000000</v>
      </c>
      <c r="F32" s="849" t="s">
        <v>363</v>
      </c>
      <c r="G32" s="500"/>
      <c r="H32" s="530">
        <v>500000</v>
      </c>
      <c r="I32" s="500">
        <f t="shared" si="5"/>
        <v>500000</v>
      </c>
      <c r="J32" s="62">
        <f t="shared" si="1"/>
        <v>20000000</v>
      </c>
      <c r="K32" s="62">
        <f t="shared" ref="K32:K37" si="7">SUM(J32*2.5%)</f>
        <v>500000</v>
      </c>
      <c r="L32" s="501"/>
      <c r="M32" s="502"/>
    </row>
    <row r="33" spans="1:17" ht="15.95" customHeight="1">
      <c r="A33" s="98">
        <f t="shared" si="4"/>
        <v>26</v>
      </c>
      <c r="B33" s="525" t="s">
        <v>480</v>
      </c>
      <c r="C33" s="848" t="s">
        <v>481</v>
      </c>
      <c r="D33" s="499">
        <v>1496052</v>
      </c>
      <c r="E33" s="62">
        <v>1224578</v>
      </c>
      <c r="F33" s="849" t="s">
        <v>363</v>
      </c>
      <c r="G33" s="500">
        <v>8158</v>
      </c>
      <c r="H33" s="500">
        <v>91842</v>
      </c>
      <c r="I33" s="500">
        <f t="shared" si="5"/>
        <v>100000</v>
      </c>
      <c r="J33" s="62">
        <f t="shared" si="1"/>
        <v>1216420</v>
      </c>
      <c r="K33" s="62">
        <f t="shared" si="7"/>
        <v>30410.5</v>
      </c>
      <c r="L33" s="501">
        <v>61228</v>
      </c>
      <c r="M33" s="502"/>
      <c r="N33" s="85"/>
      <c r="O33">
        <f>L33+K33</f>
        <v>91638.5</v>
      </c>
      <c r="P33" s="85">
        <f>100000-H33</f>
        <v>8158</v>
      </c>
      <c r="Q33" s="85"/>
    </row>
    <row r="34" spans="1:17" ht="15.95" customHeight="1">
      <c r="A34" s="98">
        <f t="shared" si="4"/>
        <v>27</v>
      </c>
      <c r="B34" s="525" t="s">
        <v>482</v>
      </c>
      <c r="C34" s="498"/>
      <c r="D34" s="499">
        <v>1360543</v>
      </c>
      <c r="E34" s="62">
        <v>666345</v>
      </c>
      <c r="F34" s="69"/>
      <c r="G34" s="500"/>
      <c r="H34" s="500"/>
      <c r="I34" s="500">
        <f t="shared" si="5"/>
        <v>0</v>
      </c>
      <c r="J34" s="62">
        <f t="shared" si="1"/>
        <v>666345</v>
      </c>
      <c r="K34" s="62">
        <f t="shared" si="7"/>
        <v>16658.625</v>
      </c>
      <c r="L34" s="501">
        <v>16659</v>
      </c>
      <c r="M34" s="502"/>
      <c r="N34" s="516"/>
      <c r="O34" s="516">
        <f>L34+K34</f>
        <v>33317.625</v>
      </c>
      <c r="P34">
        <f>100000-H34</f>
        <v>100000</v>
      </c>
    </row>
    <row r="35" spans="1:17" ht="15.95" customHeight="1">
      <c r="A35" s="98">
        <f t="shared" si="4"/>
        <v>28</v>
      </c>
      <c r="B35" s="525" t="s">
        <v>483</v>
      </c>
      <c r="C35" s="848" t="s">
        <v>484</v>
      </c>
      <c r="D35" s="499">
        <v>2000000</v>
      </c>
      <c r="E35" s="62">
        <v>2000000</v>
      </c>
      <c r="F35" s="69"/>
      <c r="G35" s="500"/>
      <c r="H35" s="500"/>
      <c r="I35" s="500">
        <f t="shared" si="5"/>
        <v>0</v>
      </c>
      <c r="J35" s="62">
        <f t="shared" si="1"/>
        <v>2000000</v>
      </c>
      <c r="K35" s="62">
        <f t="shared" si="7"/>
        <v>50000</v>
      </c>
      <c r="L35" s="501">
        <v>810000</v>
      </c>
      <c r="M35" s="502"/>
      <c r="N35" s="516"/>
    </row>
    <row r="36" spans="1:17" ht="15.95" customHeight="1">
      <c r="A36" s="98">
        <f t="shared" si="4"/>
        <v>29</v>
      </c>
      <c r="B36" s="525" t="s">
        <v>485</v>
      </c>
      <c r="C36" s="851" t="s">
        <v>486</v>
      </c>
      <c r="D36" s="499">
        <v>10000000</v>
      </c>
      <c r="E36" s="508">
        <v>6000000</v>
      </c>
      <c r="F36" s="850" t="s">
        <v>300</v>
      </c>
      <c r="G36" s="509">
        <v>6000000</v>
      </c>
      <c r="H36" s="509">
        <v>287500</v>
      </c>
      <c r="I36" s="500">
        <f t="shared" si="5"/>
        <v>6287500</v>
      </c>
      <c r="J36" s="508">
        <f t="shared" si="1"/>
        <v>0</v>
      </c>
      <c r="K36" s="62">
        <f t="shared" si="7"/>
        <v>0</v>
      </c>
      <c r="L36" s="501"/>
      <c r="M36" s="502"/>
      <c r="N36" s="516"/>
      <c r="O36" s="85"/>
      <c r="P36">
        <f>L36+K36</f>
        <v>0</v>
      </c>
    </row>
    <row r="37" spans="1:17" ht="15.95" customHeight="1">
      <c r="A37" s="98">
        <f t="shared" si="4"/>
        <v>30</v>
      </c>
      <c r="B37" s="525" t="s">
        <v>487</v>
      </c>
      <c r="C37" s="848" t="s">
        <v>452</v>
      </c>
      <c r="D37" s="499">
        <v>1692069</v>
      </c>
      <c r="E37" s="62">
        <v>1638565</v>
      </c>
      <c r="F37" s="69"/>
      <c r="G37" s="500"/>
      <c r="H37" s="500"/>
      <c r="I37" s="500">
        <f t="shared" si="5"/>
        <v>0</v>
      </c>
      <c r="J37" s="62">
        <f t="shared" si="1"/>
        <v>1638565</v>
      </c>
      <c r="K37" s="62">
        <f t="shared" si="7"/>
        <v>40964.125</v>
      </c>
      <c r="L37" s="501">
        <v>81928</v>
      </c>
      <c r="M37" s="502"/>
      <c r="N37" s="85"/>
      <c r="O37" s="516"/>
      <c r="P37" s="85"/>
    </row>
    <row r="38" spans="1:17" ht="15.95" customHeight="1">
      <c r="A38" s="98">
        <f t="shared" si="4"/>
        <v>31</v>
      </c>
      <c r="B38" s="525" t="s">
        <v>488</v>
      </c>
      <c r="C38" s="506" t="e">
        <f>#REF!</f>
        <v>#REF!</v>
      </c>
      <c r="D38" s="499">
        <v>7938265</v>
      </c>
      <c r="E38" s="508">
        <v>6453359</v>
      </c>
      <c r="F38" s="850" t="s">
        <v>363</v>
      </c>
      <c r="G38" s="509"/>
      <c r="H38" s="509">
        <v>100000</v>
      </c>
      <c r="I38" s="500">
        <f t="shared" ref="I38:I58" si="8">G38+H38</f>
        <v>100000</v>
      </c>
      <c r="J38" s="508">
        <f t="shared" ref="J38:J58" si="9">SUM(E38-G38)</f>
        <v>6453359</v>
      </c>
      <c r="K38" s="508">
        <f t="shared" ref="K38:K57" si="10">SUM(J38*2.5%)</f>
        <v>161333.97500000001</v>
      </c>
      <c r="L38" s="501">
        <v>716840</v>
      </c>
      <c r="M38" s="529" t="s">
        <v>489</v>
      </c>
      <c r="P38" s="85">
        <f>K36+329893</f>
        <v>329893</v>
      </c>
    </row>
    <row r="39" spans="1:17" ht="15.95" customHeight="1">
      <c r="A39" s="98">
        <f t="shared" si="4"/>
        <v>32</v>
      </c>
      <c r="B39" s="525" t="s">
        <v>490</v>
      </c>
      <c r="C39" s="852" t="s">
        <v>491</v>
      </c>
      <c r="D39" s="499">
        <v>1585780</v>
      </c>
      <c r="E39" s="508">
        <v>418456</v>
      </c>
      <c r="F39" s="84"/>
      <c r="G39" s="509"/>
      <c r="H39" s="509"/>
      <c r="I39" s="500">
        <f t="shared" si="8"/>
        <v>0</v>
      </c>
      <c r="J39" s="508">
        <f t="shared" si="9"/>
        <v>418456</v>
      </c>
      <c r="K39" s="508">
        <f t="shared" si="10"/>
        <v>10461.4</v>
      </c>
      <c r="L39" s="501">
        <v>10461</v>
      </c>
      <c r="M39" s="529"/>
      <c r="N39" s="516"/>
      <c r="O39" s="85">
        <f>L39+K39</f>
        <v>20922.400000000001</v>
      </c>
      <c r="P39">
        <f>100000-H39</f>
        <v>100000</v>
      </c>
    </row>
    <row r="40" spans="1:17" ht="15.95" customHeight="1">
      <c r="A40" s="98">
        <f t="shared" si="4"/>
        <v>33</v>
      </c>
      <c r="B40" s="525" t="s">
        <v>410</v>
      </c>
      <c r="C40" s="851" t="s">
        <v>492</v>
      </c>
      <c r="D40" s="499">
        <v>4187495</v>
      </c>
      <c r="E40" s="508">
        <v>2185174</v>
      </c>
      <c r="F40" s="850" t="s">
        <v>363</v>
      </c>
      <c r="G40" s="509">
        <v>90742</v>
      </c>
      <c r="H40" s="509">
        <v>109258</v>
      </c>
      <c r="I40" s="500">
        <f t="shared" si="8"/>
        <v>200000</v>
      </c>
      <c r="J40" s="508">
        <f t="shared" si="9"/>
        <v>2094432</v>
      </c>
      <c r="K40" s="508">
        <f t="shared" si="10"/>
        <v>52360.800000000003</v>
      </c>
      <c r="L40" s="524"/>
      <c r="M40" s="502"/>
      <c r="N40" s="516"/>
      <c r="O40" s="516">
        <f>L40+K40</f>
        <v>52360.800000000003</v>
      </c>
      <c r="P40">
        <f>200000-H40</f>
        <v>90742</v>
      </c>
    </row>
    <row r="41" spans="1:17" ht="15.95" customHeight="1">
      <c r="A41" s="98">
        <f t="shared" ref="A41:A61" si="11">A40+1</f>
        <v>34</v>
      </c>
      <c r="B41" s="525" t="s">
        <v>493</v>
      </c>
      <c r="C41" s="851" t="s">
        <v>494</v>
      </c>
      <c r="D41" s="499">
        <v>4626747</v>
      </c>
      <c r="E41" s="508">
        <v>8371283</v>
      </c>
      <c r="F41" s="850" t="s">
        <v>363</v>
      </c>
      <c r="G41" s="509"/>
      <c r="H41" s="509">
        <v>73000</v>
      </c>
      <c r="I41" s="500">
        <f t="shared" si="8"/>
        <v>73000</v>
      </c>
      <c r="J41" s="508">
        <f t="shared" si="9"/>
        <v>8371283</v>
      </c>
      <c r="K41" s="508">
        <f t="shared" si="10"/>
        <v>209282.07500000001</v>
      </c>
      <c r="L41" s="501">
        <v>36282</v>
      </c>
      <c r="M41" s="529"/>
      <c r="N41" s="85"/>
      <c r="O41" s="85">
        <f>130000-H41</f>
        <v>57000</v>
      </c>
      <c r="P41">
        <f>K41-H41</f>
        <v>136282.07500000001</v>
      </c>
    </row>
    <row r="42" spans="1:17" ht="15.95" customHeight="1">
      <c r="A42" s="98">
        <f t="shared" si="11"/>
        <v>35</v>
      </c>
      <c r="B42" s="525" t="s">
        <v>343</v>
      </c>
      <c r="C42" s="851" t="str">
        <f>C41</f>
        <v>30-11-2022</v>
      </c>
      <c r="D42" s="499">
        <v>2213403</v>
      </c>
      <c r="E42" s="508">
        <v>946452</v>
      </c>
      <c r="F42" s="850" t="s">
        <v>339</v>
      </c>
      <c r="G42" s="509">
        <v>76339</v>
      </c>
      <c r="H42" s="509">
        <v>23661</v>
      </c>
      <c r="I42" s="500">
        <f t="shared" si="8"/>
        <v>100000</v>
      </c>
      <c r="J42" s="508">
        <f t="shared" si="9"/>
        <v>870113</v>
      </c>
      <c r="K42" s="508">
        <f t="shared" si="10"/>
        <v>21752.825000000001</v>
      </c>
      <c r="L42" s="501"/>
      <c r="M42" s="502"/>
      <c r="N42" s="85"/>
      <c r="O42" s="85">
        <f>100000-H42</f>
        <v>76339</v>
      </c>
    </row>
    <row r="43" spans="1:17" ht="15.95" customHeight="1">
      <c r="A43" s="98">
        <f t="shared" si="11"/>
        <v>36</v>
      </c>
      <c r="B43" s="525" t="s">
        <v>495</v>
      </c>
      <c r="C43" s="851" t="s">
        <v>496</v>
      </c>
      <c r="D43" s="499">
        <v>8457758</v>
      </c>
      <c r="E43" s="508">
        <v>7063011</v>
      </c>
      <c r="F43" s="84"/>
      <c r="G43" s="509"/>
      <c r="H43" s="509"/>
      <c r="I43" s="500">
        <f t="shared" si="8"/>
        <v>0</v>
      </c>
      <c r="J43" s="508">
        <f t="shared" si="9"/>
        <v>7063011</v>
      </c>
      <c r="K43" s="508">
        <f t="shared" si="10"/>
        <v>176575.27499999999</v>
      </c>
      <c r="L43" s="501">
        <v>529725</v>
      </c>
      <c r="M43" s="502"/>
      <c r="N43" s="85"/>
      <c r="O43" s="516"/>
    </row>
    <row r="44" spans="1:17" ht="15.95" customHeight="1">
      <c r="A44" s="98">
        <f t="shared" si="11"/>
        <v>37</v>
      </c>
      <c r="B44" s="525" t="s">
        <v>497</v>
      </c>
      <c r="C44" s="851" t="s">
        <v>498</v>
      </c>
      <c r="D44" s="499">
        <v>1542965</v>
      </c>
      <c r="E44" s="508">
        <v>1451957</v>
      </c>
      <c r="F44" s="84"/>
      <c r="G44" s="509"/>
      <c r="H44" s="509"/>
      <c r="I44" s="500">
        <f t="shared" si="8"/>
        <v>0</v>
      </c>
      <c r="J44" s="508">
        <f t="shared" si="9"/>
        <v>1451957</v>
      </c>
      <c r="K44" s="508">
        <f t="shared" si="10"/>
        <v>36298.925000000003</v>
      </c>
      <c r="L44" s="501">
        <v>81495</v>
      </c>
      <c r="M44" s="502"/>
      <c r="N44" s="516"/>
      <c r="O44" s="85"/>
      <c r="P44" s="516"/>
      <c r="Q44" s="85"/>
    </row>
    <row r="45" spans="1:17" ht="15.95" customHeight="1">
      <c r="A45" s="98">
        <f t="shared" si="11"/>
        <v>38</v>
      </c>
      <c r="B45" s="525" t="s">
        <v>499</v>
      </c>
      <c r="C45" s="851" t="s">
        <v>500</v>
      </c>
      <c r="D45" s="499">
        <v>5000000</v>
      </c>
      <c r="E45" s="508">
        <v>2800000</v>
      </c>
      <c r="F45" s="84"/>
      <c r="G45" s="509"/>
      <c r="H45" s="509"/>
      <c r="I45" s="500">
        <f t="shared" si="8"/>
        <v>0</v>
      </c>
      <c r="J45" s="508">
        <f t="shared" si="9"/>
        <v>2800000</v>
      </c>
      <c r="K45" s="508"/>
      <c r="L45" s="501"/>
      <c r="M45" s="529" t="s">
        <v>467</v>
      </c>
      <c r="P45" s="516"/>
    </row>
    <row r="46" spans="1:17" ht="15.95" customHeight="1">
      <c r="A46" s="98">
        <f t="shared" si="11"/>
        <v>39</v>
      </c>
      <c r="B46" s="525" t="s">
        <v>501</v>
      </c>
      <c r="C46" s="848" t="s">
        <v>502</v>
      </c>
      <c r="D46" s="499">
        <v>979700</v>
      </c>
      <c r="E46" s="62">
        <v>898686</v>
      </c>
      <c r="F46" s="69"/>
      <c r="G46" s="500"/>
      <c r="H46" s="500"/>
      <c r="I46" s="500">
        <f t="shared" si="8"/>
        <v>0</v>
      </c>
      <c r="J46" s="62">
        <f t="shared" si="9"/>
        <v>898686</v>
      </c>
      <c r="K46" s="62">
        <f t="shared" si="10"/>
        <v>22467.15</v>
      </c>
      <c r="L46" s="501">
        <v>22467</v>
      </c>
      <c r="M46" s="502"/>
      <c r="N46" s="85"/>
      <c r="O46" s="85">
        <f>25000-H46</f>
        <v>25000</v>
      </c>
    </row>
    <row r="47" spans="1:17" ht="15.95" customHeight="1">
      <c r="A47" s="98">
        <f t="shared" si="11"/>
        <v>40</v>
      </c>
      <c r="B47" s="525" t="s">
        <v>503</v>
      </c>
      <c r="C47" s="848" t="str">
        <f t="shared" ref="C47:C52" si="12">C46</f>
        <v>08-02-2023</v>
      </c>
      <c r="D47" s="499">
        <v>3494209</v>
      </c>
      <c r="E47" s="62">
        <v>3403991</v>
      </c>
      <c r="F47" s="849" t="s">
        <v>363</v>
      </c>
      <c r="G47" s="509"/>
      <c r="H47" s="500">
        <v>100000</v>
      </c>
      <c r="I47" s="500">
        <f t="shared" si="8"/>
        <v>100000</v>
      </c>
      <c r="J47" s="62">
        <f t="shared" si="9"/>
        <v>3403991</v>
      </c>
      <c r="K47" s="62">
        <f t="shared" si="10"/>
        <v>85099.774999999994</v>
      </c>
      <c r="L47" s="524">
        <v>8841</v>
      </c>
      <c r="M47" s="502"/>
      <c r="N47" s="85"/>
      <c r="O47" s="85">
        <f>K47+L47</f>
        <v>93940.774999999994</v>
      </c>
    </row>
    <row r="48" spans="1:17" ht="15.95" customHeight="1">
      <c r="A48" s="98">
        <f t="shared" si="11"/>
        <v>41</v>
      </c>
      <c r="B48" s="525" t="s">
        <v>504</v>
      </c>
      <c r="C48" s="848" t="str">
        <f t="shared" si="12"/>
        <v>08-02-2023</v>
      </c>
      <c r="D48" s="499">
        <v>2500000</v>
      </c>
      <c r="E48" s="62">
        <v>2244401</v>
      </c>
      <c r="F48" s="849" t="s">
        <v>363</v>
      </c>
      <c r="G48" s="500"/>
      <c r="H48" s="500">
        <v>50000</v>
      </c>
      <c r="I48" s="500">
        <f t="shared" si="8"/>
        <v>50000</v>
      </c>
      <c r="J48" s="62">
        <f t="shared" si="9"/>
        <v>2244401</v>
      </c>
      <c r="K48" s="62">
        <f t="shared" si="10"/>
        <v>56110.025000000001</v>
      </c>
      <c r="L48" s="501">
        <v>34348</v>
      </c>
      <c r="M48" s="529"/>
      <c r="N48" s="516"/>
      <c r="O48" s="516">
        <f>L48-H48</f>
        <v>-15652</v>
      </c>
      <c r="P48">
        <f>L48+6110</f>
        <v>40458</v>
      </c>
    </row>
    <row r="49" spans="1:17" ht="15.95" customHeight="1">
      <c r="A49" s="98">
        <f t="shared" si="11"/>
        <v>42</v>
      </c>
      <c r="B49" s="525" t="s">
        <v>505</v>
      </c>
      <c r="C49" s="848" t="str">
        <f t="shared" si="12"/>
        <v>08-02-2023</v>
      </c>
      <c r="D49" s="499">
        <v>1377442</v>
      </c>
      <c r="E49" s="62">
        <v>842249</v>
      </c>
      <c r="F49" s="849" t="s">
        <v>363</v>
      </c>
      <c r="G49" s="500">
        <v>28944</v>
      </c>
      <c r="H49" s="500">
        <v>21056</v>
      </c>
      <c r="I49" s="500">
        <f t="shared" si="8"/>
        <v>50000</v>
      </c>
      <c r="J49" s="62">
        <f t="shared" si="9"/>
        <v>813305</v>
      </c>
      <c r="K49" s="62">
        <f t="shared" si="10"/>
        <v>20332.625</v>
      </c>
      <c r="L49" s="501"/>
      <c r="M49" s="502"/>
      <c r="N49" s="516"/>
      <c r="O49" s="85">
        <f>50000-H49</f>
        <v>28944</v>
      </c>
    </row>
    <row r="50" spans="1:17" ht="15.95" customHeight="1">
      <c r="A50" s="98">
        <f t="shared" si="11"/>
        <v>43</v>
      </c>
      <c r="B50" s="525" t="s">
        <v>506</v>
      </c>
      <c r="C50" s="848" t="str">
        <f t="shared" si="12"/>
        <v>08-02-2023</v>
      </c>
      <c r="D50" s="499">
        <v>1450269</v>
      </c>
      <c r="E50" s="62">
        <v>1376551</v>
      </c>
      <c r="F50" s="69"/>
      <c r="G50" s="500"/>
      <c r="H50" s="531"/>
      <c r="I50" s="500">
        <f t="shared" si="8"/>
        <v>0</v>
      </c>
      <c r="J50" s="62">
        <f t="shared" si="9"/>
        <v>1376551</v>
      </c>
      <c r="K50" s="62">
        <f t="shared" si="10"/>
        <v>34413.775000000001</v>
      </c>
      <c r="L50" s="501">
        <v>103242</v>
      </c>
      <c r="M50" s="529"/>
      <c r="N50" s="516"/>
      <c r="O50" s="85"/>
      <c r="P50" s="85"/>
    </row>
    <row r="51" spans="1:17" ht="15.95" customHeight="1">
      <c r="A51" s="98">
        <f t="shared" si="11"/>
        <v>44</v>
      </c>
      <c r="B51" s="525" t="s">
        <v>306</v>
      </c>
      <c r="C51" s="848" t="str">
        <f t="shared" si="12"/>
        <v>08-02-2023</v>
      </c>
      <c r="D51" s="499">
        <v>2613922</v>
      </c>
      <c r="E51" s="62">
        <v>1388564</v>
      </c>
      <c r="F51" s="849" t="s">
        <v>300</v>
      </c>
      <c r="G51" s="500"/>
      <c r="H51" s="500">
        <v>100000</v>
      </c>
      <c r="I51" s="500">
        <f t="shared" si="8"/>
        <v>100000</v>
      </c>
      <c r="J51" s="62">
        <f t="shared" si="9"/>
        <v>1388564</v>
      </c>
      <c r="K51" s="62">
        <f t="shared" si="10"/>
        <v>34714.1</v>
      </c>
      <c r="L51" s="501">
        <v>4870</v>
      </c>
      <c r="M51" s="502"/>
      <c r="N51" s="516"/>
      <c r="O51" s="85"/>
    </row>
    <row r="52" spans="1:17" ht="15.95" customHeight="1">
      <c r="A52" s="98">
        <f t="shared" si="11"/>
        <v>45</v>
      </c>
      <c r="B52" s="525" t="s">
        <v>507</v>
      </c>
      <c r="C52" s="848" t="str">
        <f t="shared" si="12"/>
        <v>08-02-2023</v>
      </c>
      <c r="D52" s="499">
        <v>4318751</v>
      </c>
      <c r="E52" s="62">
        <v>1190701</v>
      </c>
      <c r="F52" s="849" t="s">
        <v>346</v>
      </c>
      <c r="G52" s="500">
        <v>191232</v>
      </c>
      <c r="H52" s="500">
        <v>29768</v>
      </c>
      <c r="I52" s="500">
        <f t="shared" si="8"/>
        <v>221000</v>
      </c>
      <c r="J52" s="62">
        <f t="shared" si="9"/>
        <v>999469</v>
      </c>
      <c r="K52" s="62">
        <f t="shared" si="10"/>
        <v>24986.724999999999</v>
      </c>
      <c r="L52" s="501"/>
      <c r="M52" s="502"/>
      <c r="N52" s="85"/>
      <c r="O52" s="85">
        <f>100000-H52</f>
        <v>70232</v>
      </c>
      <c r="P52">
        <f>O52+121000</f>
        <v>191232</v>
      </c>
    </row>
    <row r="53" spans="1:17" ht="15.95" customHeight="1">
      <c r="A53" s="98">
        <f t="shared" si="11"/>
        <v>46</v>
      </c>
      <c r="B53" s="525" t="s">
        <v>508</v>
      </c>
      <c r="C53" s="848" t="s">
        <v>509</v>
      </c>
      <c r="D53" s="499">
        <v>2291126</v>
      </c>
      <c r="E53" s="62">
        <v>3729032</v>
      </c>
      <c r="F53" s="849" t="s">
        <v>363</v>
      </c>
      <c r="G53" s="500">
        <v>156774</v>
      </c>
      <c r="H53" s="500">
        <v>93226</v>
      </c>
      <c r="I53" s="500">
        <f t="shared" si="8"/>
        <v>250000</v>
      </c>
      <c r="J53" s="62">
        <f t="shared" si="9"/>
        <v>3572258</v>
      </c>
      <c r="K53" s="62">
        <f t="shared" si="10"/>
        <v>89306.45</v>
      </c>
      <c r="L53" s="501"/>
      <c r="M53" s="502"/>
      <c r="N53" s="516"/>
      <c r="O53" s="516">
        <f>250000-H53</f>
        <v>156774</v>
      </c>
      <c r="P53">
        <f>200000-H53</f>
        <v>106774</v>
      </c>
    </row>
    <row r="54" spans="1:17" ht="15.95" customHeight="1">
      <c r="A54" s="98">
        <f t="shared" si="11"/>
        <v>47</v>
      </c>
      <c r="B54" s="525" t="s">
        <v>510</v>
      </c>
      <c r="C54" s="848" t="str">
        <f>C159</f>
        <v>01-03-2023</v>
      </c>
      <c r="D54" s="499">
        <v>1950889</v>
      </c>
      <c r="E54" s="62">
        <v>1947943</v>
      </c>
      <c r="F54" s="69"/>
      <c r="G54" s="500"/>
      <c r="H54" s="500"/>
      <c r="I54" s="500">
        <f t="shared" si="8"/>
        <v>0</v>
      </c>
      <c r="J54" s="62">
        <f t="shared" si="9"/>
        <v>1947943</v>
      </c>
      <c r="K54" s="62">
        <f t="shared" si="10"/>
        <v>48698.574999999997</v>
      </c>
      <c r="L54" s="524">
        <v>752157</v>
      </c>
      <c r="M54" s="502"/>
      <c r="N54" s="516"/>
    </row>
    <row r="55" spans="1:17" ht="15.95" customHeight="1">
      <c r="A55" s="98">
        <f t="shared" si="11"/>
        <v>48</v>
      </c>
      <c r="B55" s="525" t="s">
        <v>511</v>
      </c>
      <c r="C55" s="848" t="s">
        <v>512</v>
      </c>
      <c r="D55" s="499">
        <v>1866287</v>
      </c>
      <c r="E55" s="62">
        <v>1476437</v>
      </c>
      <c r="F55" s="69"/>
      <c r="G55" s="500"/>
      <c r="H55" s="500"/>
      <c r="I55" s="500">
        <f t="shared" si="8"/>
        <v>0</v>
      </c>
      <c r="J55" s="62">
        <f t="shared" si="9"/>
        <v>1476437</v>
      </c>
      <c r="K55" s="62">
        <f t="shared" si="10"/>
        <v>36910.925000000003</v>
      </c>
      <c r="L55" s="501">
        <v>36911</v>
      </c>
      <c r="M55" s="502"/>
      <c r="N55" s="516"/>
      <c r="O55" s="516">
        <f>K55+L55</f>
        <v>73821.925000000003</v>
      </c>
      <c r="P55">
        <f>100000-O55</f>
        <v>26178.075000000001</v>
      </c>
      <c r="Q55" s="85"/>
    </row>
    <row r="56" spans="1:17" ht="15.95" customHeight="1">
      <c r="A56" s="98">
        <f t="shared" si="11"/>
        <v>49</v>
      </c>
      <c r="B56" s="525" t="s">
        <v>513</v>
      </c>
      <c r="C56" s="848" t="str">
        <f>C55</f>
        <v>10-04-2023</v>
      </c>
      <c r="D56" s="499">
        <v>1813568</v>
      </c>
      <c r="E56" s="62">
        <v>1472963</v>
      </c>
      <c r="F56" s="849" t="s">
        <v>363</v>
      </c>
      <c r="G56" s="500">
        <v>13176</v>
      </c>
      <c r="H56" s="500">
        <v>36824</v>
      </c>
      <c r="I56" s="500">
        <f t="shared" si="8"/>
        <v>50000</v>
      </c>
      <c r="J56" s="62">
        <f t="shared" si="9"/>
        <v>1459787</v>
      </c>
      <c r="K56" s="62">
        <f t="shared" si="10"/>
        <v>36494.675000000003</v>
      </c>
      <c r="L56" s="501"/>
      <c r="M56" s="502"/>
      <c r="N56" s="516"/>
      <c r="O56" s="516">
        <f>50000-H56</f>
        <v>13176</v>
      </c>
      <c r="P56" s="516">
        <f>50000-O56</f>
        <v>36824</v>
      </c>
    </row>
    <row r="57" spans="1:17" ht="15.95" customHeight="1">
      <c r="A57" s="98">
        <f t="shared" si="11"/>
        <v>50</v>
      </c>
      <c r="B57" s="525" t="s">
        <v>514</v>
      </c>
      <c r="C57" s="848" t="str">
        <f>C56</f>
        <v>10-04-2023</v>
      </c>
      <c r="D57" s="499">
        <v>1511972</v>
      </c>
      <c r="E57" s="62">
        <v>1105064</v>
      </c>
      <c r="F57" s="69"/>
      <c r="G57" s="500"/>
      <c r="H57" s="500"/>
      <c r="I57" s="500">
        <f t="shared" si="8"/>
        <v>0</v>
      </c>
      <c r="J57" s="62">
        <f t="shared" si="9"/>
        <v>1105064</v>
      </c>
      <c r="K57" s="62">
        <f t="shared" si="10"/>
        <v>27626.6</v>
      </c>
      <c r="L57" s="524">
        <v>276270</v>
      </c>
      <c r="M57" s="502"/>
      <c r="N57" s="516"/>
      <c r="O57" s="516"/>
    </row>
    <row r="58" spans="1:17" ht="15.95" customHeight="1">
      <c r="A58" s="98">
        <f t="shared" si="11"/>
        <v>51</v>
      </c>
      <c r="B58" s="525" t="s">
        <v>515</v>
      </c>
      <c r="C58" s="851" t="str">
        <f>C57</f>
        <v>10-04-2023</v>
      </c>
      <c r="D58" s="499">
        <v>8759699</v>
      </c>
      <c r="E58" s="508">
        <v>5399948</v>
      </c>
      <c r="F58" s="850" t="s">
        <v>363</v>
      </c>
      <c r="G58" s="509">
        <v>100000</v>
      </c>
      <c r="H58" s="509"/>
      <c r="I58" s="500">
        <f t="shared" si="8"/>
        <v>100000</v>
      </c>
      <c r="J58" s="508">
        <f t="shared" si="9"/>
        <v>5299948</v>
      </c>
      <c r="K58" s="62"/>
      <c r="L58" s="501"/>
      <c r="M58" s="529" t="s">
        <v>478</v>
      </c>
      <c r="O58" s="85"/>
    </row>
    <row r="59" spans="1:17" ht="15.95" customHeight="1">
      <c r="A59" s="98">
        <f t="shared" si="11"/>
        <v>52</v>
      </c>
      <c r="B59" s="525" t="s">
        <v>516</v>
      </c>
      <c r="C59" s="851" t="str">
        <f t="shared" ref="C59:C67" si="13">C58</f>
        <v>10-04-2023</v>
      </c>
      <c r="D59" s="499">
        <v>3917101</v>
      </c>
      <c r="E59" s="62">
        <v>3381292</v>
      </c>
      <c r="F59" s="849" t="s">
        <v>300</v>
      </c>
      <c r="G59" s="500">
        <v>50936</v>
      </c>
      <c r="H59" s="500">
        <v>169064</v>
      </c>
      <c r="I59" s="500">
        <f t="shared" ref="I59:I86" si="14">G59+H59</f>
        <v>220000</v>
      </c>
      <c r="J59" s="62">
        <f t="shared" ref="J59:J86" si="15">SUM(E59-G59)</f>
        <v>3330356</v>
      </c>
      <c r="K59" s="62">
        <f t="shared" ref="K59:K66" si="16">SUM(J59*2.5%)</f>
        <v>83258.899999999994</v>
      </c>
      <c r="L59" s="501"/>
      <c r="M59" s="502"/>
      <c r="N59" s="85"/>
      <c r="O59" s="85">
        <f>120000-H59</f>
        <v>-49064</v>
      </c>
      <c r="P59" s="85">
        <f>H59-K59</f>
        <v>85805.1</v>
      </c>
      <c r="Q59">
        <f>120000-L59</f>
        <v>120000</v>
      </c>
    </row>
    <row r="60" spans="1:17" ht="15.95" customHeight="1">
      <c r="A60" s="98">
        <f t="shared" si="11"/>
        <v>53</v>
      </c>
      <c r="B60" s="525" t="s">
        <v>517</v>
      </c>
      <c r="C60" s="851" t="str">
        <f t="shared" si="13"/>
        <v>10-04-2023</v>
      </c>
      <c r="D60" s="499">
        <v>1595827</v>
      </c>
      <c r="E60" s="62">
        <v>1053542</v>
      </c>
      <c r="F60" s="849" t="s">
        <v>363</v>
      </c>
      <c r="G60" s="500">
        <v>23661</v>
      </c>
      <c r="H60" s="500">
        <v>26339</v>
      </c>
      <c r="I60" s="500">
        <f t="shared" si="14"/>
        <v>50000</v>
      </c>
      <c r="J60" s="62">
        <f t="shared" si="15"/>
        <v>1029881</v>
      </c>
      <c r="K60" s="62">
        <f t="shared" si="16"/>
        <v>25747.025000000001</v>
      </c>
      <c r="L60" s="524">
        <v>29017</v>
      </c>
      <c r="M60" s="502"/>
      <c r="N60" s="516"/>
      <c r="O60">
        <f>50000-K60</f>
        <v>24252.974999999999</v>
      </c>
      <c r="P60">
        <f>L59-P59</f>
        <v>-85805.1</v>
      </c>
    </row>
    <row r="61" spans="1:17" ht="15.95" customHeight="1">
      <c r="A61" s="98">
        <f t="shared" si="11"/>
        <v>54</v>
      </c>
      <c r="B61" s="525" t="s">
        <v>518</v>
      </c>
      <c r="C61" s="851" t="str">
        <f t="shared" si="13"/>
        <v>10-04-2023</v>
      </c>
      <c r="D61" s="499">
        <v>4432396</v>
      </c>
      <c r="E61" s="62">
        <v>1630500</v>
      </c>
      <c r="F61" s="69"/>
      <c r="G61" s="500"/>
      <c r="H61" s="531"/>
      <c r="I61" s="500">
        <f t="shared" si="14"/>
        <v>0</v>
      </c>
      <c r="J61" s="62">
        <f t="shared" si="15"/>
        <v>1630500</v>
      </c>
      <c r="K61" s="62">
        <f t="shared" si="16"/>
        <v>40762.5</v>
      </c>
      <c r="L61" s="501">
        <v>40763</v>
      </c>
      <c r="M61" s="502"/>
      <c r="N61" s="516"/>
      <c r="O61" s="516">
        <f>200000-H61</f>
        <v>200000</v>
      </c>
      <c r="P61" s="516"/>
    </row>
    <row r="62" spans="1:17" ht="15.95" customHeight="1">
      <c r="A62" s="98">
        <f t="shared" ref="A62:A85" si="17">A61+1</f>
        <v>55</v>
      </c>
      <c r="B62" s="525" t="s">
        <v>519</v>
      </c>
      <c r="C62" s="851" t="str">
        <f t="shared" si="13"/>
        <v>10-04-2023</v>
      </c>
      <c r="D62" s="499">
        <v>1619583</v>
      </c>
      <c r="E62" s="62">
        <v>1086842</v>
      </c>
      <c r="F62" s="69"/>
      <c r="G62" s="500"/>
      <c r="H62" s="500"/>
      <c r="I62" s="500">
        <f t="shared" si="14"/>
        <v>0</v>
      </c>
      <c r="J62" s="62">
        <f t="shared" si="15"/>
        <v>1086842</v>
      </c>
      <c r="K62" s="62">
        <f t="shared" si="16"/>
        <v>27171.05</v>
      </c>
      <c r="L62" s="501">
        <v>276052</v>
      </c>
      <c r="M62" s="502"/>
      <c r="N62" s="516"/>
    </row>
    <row r="63" spans="1:17" ht="15.95" customHeight="1">
      <c r="A63" s="98">
        <f t="shared" si="17"/>
        <v>56</v>
      </c>
      <c r="B63" s="525" t="s">
        <v>520</v>
      </c>
      <c r="C63" s="851" t="str">
        <f t="shared" si="13"/>
        <v>10-04-2023</v>
      </c>
      <c r="D63" s="499">
        <v>8653118</v>
      </c>
      <c r="E63" s="62">
        <v>5136688</v>
      </c>
      <c r="F63" s="849" t="s">
        <v>363</v>
      </c>
      <c r="G63" s="500">
        <v>14749</v>
      </c>
      <c r="H63" s="500">
        <v>185251</v>
      </c>
      <c r="I63" s="500">
        <f t="shared" si="14"/>
        <v>200000</v>
      </c>
      <c r="J63" s="62">
        <f t="shared" si="15"/>
        <v>5121939</v>
      </c>
      <c r="K63" s="62">
        <f t="shared" si="16"/>
        <v>128048.47500000001</v>
      </c>
      <c r="L63" s="501">
        <v>56834</v>
      </c>
      <c r="M63" s="502"/>
      <c r="N63" s="85"/>
      <c r="O63" s="85">
        <f>200000-H63</f>
        <v>14749</v>
      </c>
      <c r="P63">
        <f>K63+L63</f>
        <v>184882.47500000001</v>
      </c>
    </row>
    <row r="64" spans="1:17" ht="15.95" customHeight="1">
      <c r="A64" s="98">
        <f t="shared" si="17"/>
        <v>57</v>
      </c>
      <c r="B64" s="525" t="s">
        <v>521</v>
      </c>
      <c r="C64" s="851" t="str">
        <f t="shared" si="13"/>
        <v>10-04-2023</v>
      </c>
      <c r="D64" s="499">
        <v>7330110</v>
      </c>
      <c r="E64" s="62">
        <v>4839121</v>
      </c>
      <c r="F64" s="849" t="s">
        <v>300</v>
      </c>
      <c r="G64" s="500"/>
      <c r="H64" s="500">
        <v>150000</v>
      </c>
      <c r="I64" s="500">
        <f t="shared" si="14"/>
        <v>150000</v>
      </c>
      <c r="J64" s="62">
        <f t="shared" si="15"/>
        <v>4839121</v>
      </c>
      <c r="K64" s="62">
        <f t="shared" si="16"/>
        <v>120978.02499999999</v>
      </c>
      <c r="L64" s="524">
        <v>92934</v>
      </c>
      <c r="M64" s="529"/>
      <c r="N64" s="516"/>
      <c r="O64" s="516">
        <f>H64-K64</f>
        <v>29021.974999999999</v>
      </c>
    </row>
    <row r="65" spans="1:16" ht="15.95" customHeight="1">
      <c r="A65" s="98">
        <f t="shared" si="17"/>
        <v>58</v>
      </c>
      <c r="B65" s="525" t="s">
        <v>522</v>
      </c>
      <c r="C65" s="851" t="str">
        <f t="shared" si="13"/>
        <v>10-04-2023</v>
      </c>
      <c r="D65" s="499">
        <v>2343250</v>
      </c>
      <c r="E65" s="62">
        <v>2156192</v>
      </c>
      <c r="F65" s="849" t="s">
        <v>363</v>
      </c>
      <c r="G65" s="500"/>
      <c r="H65" s="500">
        <v>100000</v>
      </c>
      <c r="I65" s="500">
        <f t="shared" si="14"/>
        <v>100000</v>
      </c>
      <c r="J65" s="62">
        <f t="shared" si="15"/>
        <v>2156192</v>
      </c>
      <c r="K65" s="62">
        <f t="shared" si="16"/>
        <v>53904.800000000003</v>
      </c>
      <c r="L65" s="501">
        <v>404670</v>
      </c>
      <c r="M65" s="502"/>
      <c r="N65" s="516"/>
      <c r="O65">
        <f>L64-O64</f>
        <v>63912.025000000001</v>
      </c>
      <c r="P65">
        <f>H65-K65</f>
        <v>46095.199999999997</v>
      </c>
    </row>
    <row r="66" spans="1:16" ht="15.95" customHeight="1">
      <c r="A66" s="98">
        <f t="shared" si="17"/>
        <v>59</v>
      </c>
      <c r="B66" s="525" t="s">
        <v>523</v>
      </c>
      <c r="C66" s="851" t="str">
        <f t="shared" si="13"/>
        <v>10-04-2023</v>
      </c>
      <c r="D66" s="499">
        <v>1799283</v>
      </c>
      <c r="E66" s="62">
        <v>1285871</v>
      </c>
      <c r="F66" s="69"/>
      <c r="G66" s="500"/>
      <c r="H66" s="500"/>
      <c r="I66" s="500">
        <f t="shared" si="14"/>
        <v>0</v>
      </c>
      <c r="J66" s="62">
        <f t="shared" si="15"/>
        <v>1285871</v>
      </c>
      <c r="K66" s="62">
        <f t="shared" si="16"/>
        <v>32146.775000000001</v>
      </c>
      <c r="L66" s="501">
        <v>192176</v>
      </c>
      <c r="M66" s="529"/>
      <c r="N66" s="516"/>
      <c r="O66" s="516"/>
      <c r="P66">
        <f>L65-P65</f>
        <v>358574.8</v>
      </c>
    </row>
    <row r="67" spans="1:16" ht="15.95" customHeight="1">
      <c r="A67" s="98">
        <f t="shared" si="17"/>
        <v>60</v>
      </c>
      <c r="B67" s="525" t="s">
        <v>524</v>
      </c>
      <c r="C67" s="851" t="str">
        <f t="shared" si="13"/>
        <v>10-04-2023</v>
      </c>
      <c r="D67" s="499">
        <v>2422728</v>
      </c>
      <c r="E67" s="62">
        <v>2422728</v>
      </c>
      <c r="F67" s="69"/>
      <c r="G67" s="500"/>
      <c r="H67" s="500"/>
      <c r="I67" s="500">
        <f t="shared" si="14"/>
        <v>0</v>
      </c>
      <c r="J67" s="62">
        <f t="shared" si="15"/>
        <v>2422728</v>
      </c>
      <c r="K67" s="62"/>
      <c r="L67" s="501"/>
      <c r="M67" s="529" t="s">
        <v>467</v>
      </c>
      <c r="N67" s="516"/>
      <c r="O67" s="85"/>
    </row>
    <row r="68" spans="1:16" ht="15.95" customHeight="1">
      <c r="A68" s="98">
        <f t="shared" si="17"/>
        <v>61</v>
      </c>
      <c r="B68" s="525" t="s">
        <v>525</v>
      </c>
      <c r="C68" s="848" t="str">
        <f>C69</f>
        <v>11-04-2023</v>
      </c>
      <c r="D68" s="499">
        <v>4950000</v>
      </c>
      <c r="E68" s="62">
        <v>4382265</v>
      </c>
      <c r="F68" s="849" t="s">
        <v>346</v>
      </c>
      <c r="G68" s="500">
        <v>40443</v>
      </c>
      <c r="H68" s="500">
        <v>109557</v>
      </c>
      <c r="I68" s="500">
        <f t="shared" si="14"/>
        <v>150000</v>
      </c>
      <c r="J68" s="62">
        <f t="shared" si="15"/>
        <v>4341822</v>
      </c>
      <c r="K68" s="62">
        <f t="shared" ref="K68:K73" si="18">SUM(J68*2.5%)</f>
        <v>108545.55</v>
      </c>
      <c r="L68" s="501"/>
      <c r="M68" s="529"/>
      <c r="N68" s="516"/>
      <c r="O68" s="85">
        <f>150000-H68</f>
        <v>40443</v>
      </c>
      <c r="P68" s="85"/>
    </row>
    <row r="69" spans="1:16" ht="15.95" customHeight="1">
      <c r="A69" s="98">
        <f t="shared" si="17"/>
        <v>62</v>
      </c>
      <c r="B69" s="525" t="s">
        <v>526</v>
      </c>
      <c r="C69" s="851" t="str">
        <f>C70</f>
        <v>11-04-2023</v>
      </c>
      <c r="D69" s="499">
        <v>2395410</v>
      </c>
      <c r="E69" s="508">
        <v>1122805</v>
      </c>
      <c r="F69" s="850" t="s">
        <v>363</v>
      </c>
      <c r="G69" s="509">
        <v>71930</v>
      </c>
      <c r="H69" s="509">
        <v>28070</v>
      </c>
      <c r="I69" s="500">
        <f t="shared" si="14"/>
        <v>100000</v>
      </c>
      <c r="J69" s="508">
        <f t="shared" si="15"/>
        <v>1050875</v>
      </c>
      <c r="K69" s="62">
        <f t="shared" si="18"/>
        <v>26271.875</v>
      </c>
      <c r="L69" s="524"/>
      <c r="M69" s="502"/>
      <c r="N69" s="85"/>
      <c r="O69" s="85">
        <f>100000-H69</f>
        <v>71930</v>
      </c>
      <c r="P69" s="85">
        <f>100000-H69</f>
        <v>71930</v>
      </c>
    </row>
    <row r="70" spans="1:16" ht="15.95" customHeight="1">
      <c r="A70" s="98">
        <f t="shared" si="17"/>
        <v>63</v>
      </c>
      <c r="B70" s="525" t="s">
        <v>527</v>
      </c>
      <c r="C70" s="848" t="s">
        <v>528</v>
      </c>
      <c r="D70" s="499">
        <v>23570404</v>
      </c>
      <c r="E70" s="62">
        <v>16649473</v>
      </c>
      <c r="F70" s="849" t="s">
        <v>363</v>
      </c>
      <c r="G70" s="509">
        <v>333763</v>
      </c>
      <c r="H70" s="500">
        <v>416237</v>
      </c>
      <c r="I70" s="500">
        <f t="shared" si="14"/>
        <v>750000</v>
      </c>
      <c r="J70" s="508">
        <f t="shared" si="15"/>
        <v>16315710</v>
      </c>
      <c r="K70" s="62">
        <f t="shared" si="18"/>
        <v>407892.75</v>
      </c>
      <c r="L70" s="501"/>
      <c r="M70" s="65"/>
      <c r="N70" s="85"/>
      <c r="O70" s="516">
        <f>I70-500000</f>
        <v>250000</v>
      </c>
      <c r="P70" s="85">
        <f>750000-H70</f>
        <v>333763</v>
      </c>
    </row>
    <row r="71" spans="1:16" ht="15.95" customHeight="1">
      <c r="A71" s="98">
        <f t="shared" si="17"/>
        <v>64</v>
      </c>
      <c r="B71" s="525" t="s">
        <v>529</v>
      </c>
      <c r="C71" s="848" t="str">
        <f>C72</f>
        <v>14-04-2023</v>
      </c>
      <c r="D71" s="499">
        <v>2000000</v>
      </c>
      <c r="E71" s="62">
        <v>1979824</v>
      </c>
      <c r="F71" s="69"/>
      <c r="G71" s="500"/>
      <c r="H71" s="500"/>
      <c r="I71" s="500">
        <f t="shared" si="14"/>
        <v>0</v>
      </c>
      <c r="J71" s="62">
        <f t="shared" si="15"/>
        <v>1979824</v>
      </c>
      <c r="K71" s="62">
        <f t="shared" si="18"/>
        <v>49495.6</v>
      </c>
      <c r="L71" s="501">
        <v>49496</v>
      </c>
      <c r="M71" s="502"/>
      <c r="N71" s="85"/>
      <c r="O71" s="85">
        <f>50000-H71</f>
        <v>50000</v>
      </c>
      <c r="P71">
        <f>75000-H71</f>
        <v>75000</v>
      </c>
    </row>
    <row r="72" spans="1:16" ht="15.95" customHeight="1">
      <c r="A72" s="98">
        <f t="shared" si="17"/>
        <v>65</v>
      </c>
      <c r="B72" s="525" t="s">
        <v>530</v>
      </c>
      <c r="C72" s="851" t="s">
        <v>531</v>
      </c>
      <c r="D72" s="499">
        <v>9730001</v>
      </c>
      <c r="E72" s="508">
        <v>9269496</v>
      </c>
      <c r="F72" s="84"/>
      <c r="G72" s="509"/>
      <c r="H72" s="509"/>
      <c r="I72" s="500">
        <f t="shared" si="14"/>
        <v>0</v>
      </c>
      <c r="J72" s="508">
        <f t="shared" si="15"/>
        <v>9269496</v>
      </c>
      <c r="K72" s="62">
        <f t="shared" si="18"/>
        <v>231737.4</v>
      </c>
      <c r="L72" s="501">
        <v>638440</v>
      </c>
      <c r="M72" s="529"/>
      <c r="N72" s="516"/>
      <c r="O72" s="85">
        <f>H72-K72</f>
        <v>-231737.4</v>
      </c>
    </row>
    <row r="73" spans="1:16" ht="15.95" customHeight="1">
      <c r="A73" s="98">
        <f t="shared" si="17"/>
        <v>66</v>
      </c>
      <c r="B73" s="525" t="s">
        <v>532</v>
      </c>
      <c r="C73" s="848" t="s">
        <v>533</v>
      </c>
      <c r="D73" s="499">
        <v>2859818</v>
      </c>
      <c r="E73" s="62">
        <v>2731782</v>
      </c>
      <c r="F73" s="69"/>
      <c r="G73" s="500"/>
      <c r="H73" s="500"/>
      <c r="I73" s="500">
        <f t="shared" si="14"/>
        <v>0</v>
      </c>
      <c r="J73" s="62">
        <f t="shared" si="15"/>
        <v>2731782</v>
      </c>
      <c r="K73" s="62">
        <f t="shared" si="18"/>
        <v>68294.55</v>
      </c>
      <c r="L73" s="501">
        <v>497613</v>
      </c>
      <c r="M73" s="502"/>
      <c r="N73" s="85"/>
      <c r="O73" s="516">
        <f>L72-O72</f>
        <v>870177.4</v>
      </c>
      <c r="P73">
        <f>L73+K73</f>
        <v>565907.55000000005</v>
      </c>
    </row>
    <row r="74" spans="1:16" ht="15.95" customHeight="1">
      <c r="A74" s="98">
        <f t="shared" si="17"/>
        <v>67</v>
      </c>
      <c r="B74" s="525" t="s">
        <v>534</v>
      </c>
      <c r="C74" s="498"/>
      <c r="D74" s="499">
        <v>13000000</v>
      </c>
      <c r="E74" s="62">
        <v>11055597</v>
      </c>
      <c r="F74" s="69"/>
      <c r="G74" s="500"/>
      <c r="H74" s="531"/>
      <c r="I74" s="500">
        <f t="shared" si="14"/>
        <v>0</v>
      </c>
      <c r="J74" s="62">
        <f t="shared" si="15"/>
        <v>11055597</v>
      </c>
      <c r="K74" s="62"/>
      <c r="L74" s="501"/>
      <c r="M74" s="529" t="s">
        <v>478</v>
      </c>
      <c r="P74">
        <f>P73+J73</f>
        <v>3297689.55</v>
      </c>
    </row>
    <row r="75" spans="1:16" ht="15.95" customHeight="1">
      <c r="A75" s="98">
        <f t="shared" si="17"/>
        <v>68</v>
      </c>
      <c r="B75" s="525" t="s">
        <v>535</v>
      </c>
      <c r="C75" s="848" t="s">
        <v>536</v>
      </c>
      <c r="D75" s="499">
        <v>2392272</v>
      </c>
      <c r="E75" s="62">
        <v>2183315</v>
      </c>
      <c r="F75" s="69"/>
      <c r="G75" s="500"/>
      <c r="H75" s="500"/>
      <c r="I75" s="500">
        <f t="shared" si="14"/>
        <v>0</v>
      </c>
      <c r="J75" s="62">
        <f t="shared" si="15"/>
        <v>2183315</v>
      </c>
      <c r="K75" s="62">
        <f>SUM(J75*2.5%)</f>
        <v>54582.875</v>
      </c>
      <c r="L75" s="501">
        <v>364162</v>
      </c>
      <c r="M75" s="502"/>
      <c r="N75" s="516"/>
    </row>
    <row r="76" spans="1:16" ht="15.95" customHeight="1">
      <c r="A76" s="98">
        <f t="shared" si="17"/>
        <v>69</v>
      </c>
      <c r="B76" s="525" t="s">
        <v>537</v>
      </c>
      <c r="C76" s="851" t="s">
        <v>538</v>
      </c>
      <c r="D76" s="499">
        <v>1709300</v>
      </c>
      <c r="E76" s="508">
        <v>1650728</v>
      </c>
      <c r="F76" s="84"/>
      <c r="G76" s="509"/>
      <c r="H76" s="509"/>
      <c r="I76" s="500">
        <f t="shared" si="14"/>
        <v>0</v>
      </c>
      <c r="J76" s="508">
        <f t="shared" si="15"/>
        <v>1650728</v>
      </c>
      <c r="K76" s="62"/>
      <c r="L76" s="501"/>
      <c r="M76" s="529" t="s">
        <v>461</v>
      </c>
      <c r="N76" s="516"/>
    </row>
    <row r="77" spans="1:16" ht="15.95" customHeight="1">
      <c r="A77" s="98">
        <f t="shared" si="17"/>
        <v>70</v>
      </c>
      <c r="B77" s="525" t="s">
        <v>539</v>
      </c>
      <c r="C77" s="506"/>
      <c r="D77" s="499">
        <v>9484820</v>
      </c>
      <c r="E77" s="508">
        <v>6670534</v>
      </c>
      <c r="F77" s="850" t="s">
        <v>336</v>
      </c>
      <c r="G77" s="509"/>
      <c r="H77" s="509">
        <v>500000</v>
      </c>
      <c r="I77" s="500">
        <f t="shared" si="14"/>
        <v>500000</v>
      </c>
      <c r="J77" s="508">
        <f t="shared" si="15"/>
        <v>6670534</v>
      </c>
      <c r="K77" s="62">
        <f>SUM(J77*2.5%)</f>
        <v>166763.35</v>
      </c>
      <c r="L77" s="501">
        <v>579</v>
      </c>
      <c r="M77" s="502"/>
      <c r="N77" s="85"/>
      <c r="O77" s="85"/>
      <c r="P77" s="516"/>
    </row>
    <row r="78" spans="1:16" ht="15.95" customHeight="1">
      <c r="A78" s="98">
        <f t="shared" si="17"/>
        <v>71</v>
      </c>
      <c r="B78" s="525" t="s">
        <v>540</v>
      </c>
      <c r="C78" s="848" t="s">
        <v>541</v>
      </c>
      <c r="D78" s="499">
        <v>2742730</v>
      </c>
      <c r="E78" s="62">
        <v>992595</v>
      </c>
      <c r="F78" s="69"/>
      <c r="G78" s="500"/>
      <c r="H78" s="500"/>
      <c r="I78" s="500">
        <f t="shared" si="14"/>
        <v>0</v>
      </c>
      <c r="J78" s="508">
        <f t="shared" si="15"/>
        <v>992595</v>
      </c>
      <c r="K78" s="62">
        <f>SUM(J78*2.5%)</f>
        <v>24814.875</v>
      </c>
      <c r="L78" s="501">
        <v>124075</v>
      </c>
      <c r="M78" s="502"/>
      <c r="N78" s="85"/>
      <c r="O78" s="516">
        <f>L78+K78</f>
        <v>148889.875</v>
      </c>
      <c r="P78">
        <f>O78/K78</f>
        <v>6.0000251865060799</v>
      </c>
    </row>
    <row r="79" spans="1:16" ht="15.95" customHeight="1">
      <c r="A79" s="98">
        <f t="shared" si="17"/>
        <v>72</v>
      </c>
      <c r="B79" s="525" t="s">
        <v>542</v>
      </c>
      <c r="C79" s="848" t="str">
        <f>C78</f>
        <v>15-09-2023</v>
      </c>
      <c r="D79" s="499">
        <v>5959400</v>
      </c>
      <c r="E79" s="62">
        <v>4472131</v>
      </c>
      <c r="F79" s="69"/>
      <c r="G79" s="500"/>
      <c r="H79" s="500"/>
      <c r="I79" s="500">
        <f t="shared" si="14"/>
        <v>0</v>
      </c>
      <c r="J79" s="508">
        <f t="shared" si="15"/>
        <v>4472131</v>
      </c>
      <c r="K79" s="62">
        <f>SUM(J79*2.5%)</f>
        <v>111803.27499999999</v>
      </c>
      <c r="L79" s="524">
        <v>116003</v>
      </c>
      <c r="M79" s="502"/>
      <c r="N79" s="85"/>
      <c r="O79" s="516">
        <f>200000-H79</f>
        <v>200000</v>
      </c>
    </row>
    <row r="80" spans="1:16" ht="15.95" customHeight="1">
      <c r="A80" s="98">
        <f t="shared" si="17"/>
        <v>73</v>
      </c>
      <c r="B80" s="525" t="s">
        <v>543</v>
      </c>
      <c r="C80" s="498" t="e">
        <f>#REF!</f>
        <v>#REF!</v>
      </c>
      <c r="D80" s="499">
        <v>750000</v>
      </c>
      <c r="E80" s="62">
        <v>67500</v>
      </c>
      <c r="F80" s="69"/>
      <c r="G80" s="500"/>
      <c r="H80" s="500"/>
      <c r="I80" s="500">
        <f t="shared" si="14"/>
        <v>0</v>
      </c>
      <c r="J80" s="62">
        <f t="shared" si="15"/>
        <v>67500</v>
      </c>
      <c r="K80" s="62"/>
      <c r="L80" s="524"/>
      <c r="M80" s="502"/>
    </row>
    <row r="81" spans="1:17" ht="15.95" customHeight="1">
      <c r="A81" s="98">
        <f t="shared" si="17"/>
        <v>74</v>
      </c>
      <c r="B81" s="525" t="s">
        <v>544</v>
      </c>
      <c r="C81" s="848" t="s">
        <v>545</v>
      </c>
      <c r="D81" s="499">
        <v>2276550</v>
      </c>
      <c r="E81" s="62">
        <v>300432</v>
      </c>
      <c r="F81" s="69"/>
      <c r="G81" s="500"/>
      <c r="H81" s="500"/>
      <c r="I81" s="500">
        <f t="shared" si="14"/>
        <v>0</v>
      </c>
      <c r="J81" s="62">
        <f t="shared" si="15"/>
        <v>300432</v>
      </c>
      <c r="K81" s="62">
        <f t="shared" ref="K81:K88" si="19">SUM(J81*2.5%)</f>
        <v>7510.8</v>
      </c>
      <c r="L81" s="501">
        <v>22533</v>
      </c>
      <c r="M81" s="502"/>
      <c r="N81" s="516"/>
      <c r="O81" s="85"/>
      <c r="P81" s="85"/>
    </row>
    <row r="82" spans="1:17" ht="15.95" customHeight="1">
      <c r="A82" s="98">
        <f t="shared" si="17"/>
        <v>75</v>
      </c>
      <c r="B82" s="525" t="s">
        <v>546</v>
      </c>
      <c r="C82" s="848" t="str">
        <f>C83</f>
        <v>02-11-2023</v>
      </c>
      <c r="D82" s="499">
        <v>9797000</v>
      </c>
      <c r="E82" s="62">
        <v>7843242</v>
      </c>
      <c r="F82" s="849" t="s">
        <v>363</v>
      </c>
      <c r="G82" s="500">
        <v>53919</v>
      </c>
      <c r="H82" s="500">
        <v>196081</v>
      </c>
      <c r="I82" s="500">
        <f t="shared" si="14"/>
        <v>250000</v>
      </c>
      <c r="J82" s="62">
        <f t="shared" si="15"/>
        <v>7789323</v>
      </c>
      <c r="K82" s="62">
        <f t="shared" si="19"/>
        <v>194733.07500000001</v>
      </c>
      <c r="L82" s="524"/>
      <c r="M82" s="502"/>
      <c r="N82" s="85"/>
      <c r="O82" s="85">
        <f>250000-H82</f>
        <v>53919</v>
      </c>
    </row>
    <row r="83" spans="1:17" ht="15.95" customHeight="1">
      <c r="A83" s="98">
        <f t="shared" si="17"/>
        <v>76</v>
      </c>
      <c r="B83" s="525" t="s">
        <v>547</v>
      </c>
      <c r="C83" s="848" t="s">
        <v>548</v>
      </c>
      <c r="D83" s="499">
        <v>1959200</v>
      </c>
      <c r="E83" s="62">
        <v>925130</v>
      </c>
      <c r="F83" s="69"/>
      <c r="G83" s="500"/>
      <c r="H83" s="500"/>
      <c r="I83" s="500">
        <f t="shared" si="14"/>
        <v>0</v>
      </c>
      <c r="J83" s="62">
        <f t="shared" si="15"/>
        <v>925130</v>
      </c>
      <c r="K83" s="62">
        <f t="shared" si="19"/>
        <v>23128.25</v>
      </c>
      <c r="L83" s="501">
        <v>23128</v>
      </c>
      <c r="M83" s="502"/>
      <c r="N83" s="516"/>
      <c r="O83" s="85"/>
      <c r="P83" s="85"/>
    </row>
    <row r="84" spans="1:17" ht="15.95" customHeight="1">
      <c r="A84" s="98">
        <f t="shared" si="17"/>
        <v>77</v>
      </c>
      <c r="B84" s="525" t="s">
        <v>549</v>
      </c>
      <c r="C84" s="848" t="s">
        <v>550</v>
      </c>
      <c r="D84" s="499">
        <v>2000000</v>
      </c>
      <c r="E84" s="62">
        <v>1807838</v>
      </c>
      <c r="F84" s="69"/>
      <c r="G84" s="500"/>
      <c r="H84" s="500"/>
      <c r="I84" s="500">
        <f t="shared" si="14"/>
        <v>0</v>
      </c>
      <c r="J84" s="62">
        <f t="shared" si="15"/>
        <v>1807838</v>
      </c>
      <c r="K84" s="62">
        <f t="shared" si="19"/>
        <v>45195.95</v>
      </c>
      <c r="L84" s="501">
        <v>723136</v>
      </c>
      <c r="M84" s="502"/>
      <c r="N84" s="516"/>
      <c r="P84" s="85"/>
    </row>
    <row r="85" spans="1:17" ht="15.95" customHeight="1">
      <c r="A85" s="98">
        <f t="shared" si="17"/>
        <v>78</v>
      </c>
      <c r="B85" s="525" t="s">
        <v>551</v>
      </c>
      <c r="C85" s="848" t="s">
        <v>552</v>
      </c>
      <c r="D85" s="499">
        <v>2000000</v>
      </c>
      <c r="E85" s="62">
        <v>4134898</v>
      </c>
      <c r="F85" s="69"/>
      <c r="G85" s="500"/>
      <c r="H85" s="500"/>
      <c r="I85" s="500">
        <f t="shared" si="14"/>
        <v>0</v>
      </c>
      <c r="J85" s="62">
        <f t="shared" si="15"/>
        <v>4134898</v>
      </c>
      <c r="K85" s="62">
        <f t="shared" si="19"/>
        <v>103372.45</v>
      </c>
      <c r="L85" s="524">
        <v>1147208</v>
      </c>
      <c r="M85" s="502"/>
      <c r="N85" s="85"/>
      <c r="O85" s="516"/>
    </row>
    <row r="86" spans="1:17" ht="15.95" customHeight="1">
      <c r="A86" s="98">
        <f t="shared" ref="A86:A123" si="20">A85+1</f>
        <v>79</v>
      </c>
      <c r="B86" s="525" t="s">
        <v>423</v>
      </c>
      <c r="C86" s="848" t="s">
        <v>553</v>
      </c>
      <c r="D86" s="499">
        <v>5000000</v>
      </c>
      <c r="E86" s="62">
        <v>1385449</v>
      </c>
      <c r="F86" s="849" t="s">
        <v>363</v>
      </c>
      <c r="G86" s="509">
        <v>15364</v>
      </c>
      <c r="H86" s="500">
        <v>34636</v>
      </c>
      <c r="I86" s="500">
        <f t="shared" si="14"/>
        <v>50000</v>
      </c>
      <c r="J86" s="62">
        <f t="shared" si="15"/>
        <v>1370085</v>
      </c>
      <c r="K86" s="62">
        <f t="shared" si="19"/>
        <v>34252.125</v>
      </c>
      <c r="L86" s="524"/>
      <c r="M86" s="502"/>
      <c r="N86" s="516"/>
      <c r="O86" s="516">
        <f>50000-H86</f>
        <v>15364</v>
      </c>
    </row>
    <row r="87" spans="1:17" ht="15.95" customHeight="1">
      <c r="A87" s="98">
        <f t="shared" si="20"/>
        <v>80</v>
      </c>
      <c r="B87" s="532" t="s">
        <v>554</v>
      </c>
      <c r="C87" s="853" t="s">
        <v>555</v>
      </c>
      <c r="D87" s="533">
        <v>1500000</v>
      </c>
      <c r="E87" s="534">
        <v>1338790</v>
      </c>
      <c r="F87" s="535"/>
      <c r="G87" s="536"/>
      <c r="H87" s="536"/>
      <c r="I87" s="500">
        <f t="shared" ref="I87:I108" si="21">G87+H87</f>
        <v>0</v>
      </c>
      <c r="J87" s="534">
        <f t="shared" ref="J87:J132" si="22">SUM(E87-G87)</f>
        <v>1338790</v>
      </c>
      <c r="K87" s="62">
        <f t="shared" si="19"/>
        <v>33469.75</v>
      </c>
      <c r="L87" s="537">
        <v>334700</v>
      </c>
      <c r="M87" s="529"/>
      <c r="N87" s="516"/>
    </row>
    <row r="88" spans="1:17" ht="15.95" customHeight="1">
      <c r="A88" s="98">
        <f t="shared" si="20"/>
        <v>81</v>
      </c>
      <c r="B88" s="532" t="s">
        <v>556</v>
      </c>
      <c r="C88" s="853" t="s">
        <v>557</v>
      </c>
      <c r="D88" s="533">
        <v>1500000</v>
      </c>
      <c r="E88" s="534">
        <v>724319</v>
      </c>
      <c r="F88" s="535"/>
      <c r="G88" s="536"/>
      <c r="H88" s="538"/>
      <c r="I88" s="500">
        <f t="shared" si="21"/>
        <v>0</v>
      </c>
      <c r="J88" s="534">
        <f t="shared" si="22"/>
        <v>724319</v>
      </c>
      <c r="K88" s="62">
        <f t="shared" si="19"/>
        <v>18107.974999999999</v>
      </c>
      <c r="L88" s="537">
        <v>188673</v>
      </c>
      <c r="M88" s="502"/>
      <c r="N88" s="516"/>
      <c r="O88" s="85"/>
    </row>
    <row r="89" spans="1:17" ht="15.95" customHeight="1">
      <c r="A89" s="98">
        <f t="shared" si="20"/>
        <v>82</v>
      </c>
      <c r="B89" s="539" t="s">
        <v>558</v>
      </c>
      <c r="C89" s="854" t="s">
        <v>559</v>
      </c>
      <c r="D89" s="533">
        <v>5000000</v>
      </c>
      <c r="E89" s="534">
        <v>623292</v>
      </c>
      <c r="F89" s="855" t="s">
        <v>363</v>
      </c>
      <c r="G89" s="536">
        <v>184418</v>
      </c>
      <c r="H89" s="536">
        <v>15582</v>
      </c>
      <c r="I89" s="500">
        <f t="shared" si="21"/>
        <v>200000</v>
      </c>
      <c r="J89" s="534">
        <f t="shared" si="22"/>
        <v>438874</v>
      </c>
      <c r="K89" s="62">
        <f t="shared" ref="K89:K130" si="23">SUM(J89*2.5%)</f>
        <v>10971.85</v>
      </c>
      <c r="L89" s="537"/>
      <c r="M89" s="502"/>
      <c r="N89" s="85"/>
      <c r="O89" s="516">
        <f>200000-H89</f>
        <v>184418</v>
      </c>
      <c r="P89" s="54">
        <f>J89+K89</f>
        <v>449845.85</v>
      </c>
      <c r="Q89">
        <f>P89-200000</f>
        <v>249845.85</v>
      </c>
    </row>
    <row r="90" spans="1:17" ht="15.95" customHeight="1">
      <c r="A90" s="98">
        <f t="shared" si="20"/>
        <v>83</v>
      </c>
      <c r="B90" s="539" t="s">
        <v>560</v>
      </c>
      <c r="C90" s="854" t="s">
        <v>561</v>
      </c>
      <c r="D90" s="533">
        <v>30000000</v>
      </c>
      <c r="E90" s="534">
        <v>28500000</v>
      </c>
      <c r="F90" s="535"/>
      <c r="G90" s="536"/>
      <c r="H90" s="536"/>
      <c r="I90" s="500">
        <f t="shared" si="21"/>
        <v>0</v>
      </c>
      <c r="J90" s="534">
        <f t="shared" si="22"/>
        <v>28500000</v>
      </c>
      <c r="K90" s="62"/>
      <c r="L90" s="537"/>
      <c r="M90" s="502"/>
    </row>
    <row r="91" spans="1:17" ht="15.95" customHeight="1">
      <c r="A91" s="98">
        <f t="shared" si="20"/>
        <v>84</v>
      </c>
      <c r="B91" s="540" t="s">
        <v>562</v>
      </c>
      <c r="C91" s="856" t="s">
        <v>563</v>
      </c>
      <c r="D91" s="499">
        <v>2500000</v>
      </c>
      <c r="E91" s="62">
        <v>1042193</v>
      </c>
      <c r="F91" s="849" t="s">
        <v>363</v>
      </c>
      <c r="G91" s="500">
        <v>23945</v>
      </c>
      <c r="H91" s="500">
        <v>26055</v>
      </c>
      <c r="I91" s="500">
        <f t="shared" si="21"/>
        <v>50000</v>
      </c>
      <c r="J91" s="62">
        <f t="shared" si="22"/>
        <v>1018248</v>
      </c>
      <c r="K91" s="62">
        <f t="shared" si="23"/>
        <v>25456.2</v>
      </c>
      <c r="L91" s="541"/>
      <c r="M91" s="502"/>
      <c r="N91" s="85"/>
      <c r="O91" s="85">
        <f>50000-H91</f>
        <v>23945</v>
      </c>
      <c r="P91" s="85">
        <f>100000-H91</f>
        <v>73945</v>
      </c>
    </row>
    <row r="92" spans="1:17" ht="15.95" customHeight="1">
      <c r="A92" s="98">
        <f t="shared" si="20"/>
        <v>85</v>
      </c>
      <c r="B92" s="539" t="s">
        <v>564</v>
      </c>
      <c r="C92" s="854" t="s">
        <v>565</v>
      </c>
      <c r="D92" s="533">
        <v>2900000</v>
      </c>
      <c r="E92" s="534">
        <v>2038326</v>
      </c>
      <c r="F92" s="855" t="s">
        <v>346</v>
      </c>
      <c r="G92" s="536">
        <v>49042</v>
      </c>
      <c r="H92" s="536">
        <v>50958</v>
      </c>
      <c r="I92" s="500">
        <f t="shared" si="21"/>
        <v>100000</v>
      </c>
      <c r="J92" s="534">
        <f t="shared" si="22"/>
        <v>1989284</v>
      </c>
      <c r="K92" s="62">
        <f t="shared" si="23"/>
        <v>49732.1</v>
      </c>
      <c r="L92" s="537"/>
      <c r="M92" s="502"/>
      <c r="N92" s="85"/>
      <c r="O92" s="85">
        <f>H93-K93</f>
        <v>382897.42499999999</v>
      </c>
      <c r="P92" s="85">
        <f>100000-H92</f>
        <v>49042</v>
      </c>
      <c r="Q92">
        <f>L93-350000</f>
        <v>196029</v>
      </c>
    </row>
    <row r="93" spans="1:17" ht="15.95" customHeight="1">
      <c r="A93" s="98">
        <f t="shared" si="20"/>
        <v>86</v>
      </c>
      <c r="B93" s="539" t="s">
        <v>566</v>
      </c>
      <c r="C93" s="854" t="s">
        <v>567</v>
      </c>
      <c r="D93" s="533">
        <v>13000000</v>
      </c>
      <c r="E93" s="534">
        <v>11684103</v>
      </c>
      <c r="F93" s="855" t="s">
        <v>363</v>
      </c>
      <c r="G93" s="536"/>
      <c r="H93" s="536">
        <v>675000</v>
      </c>
      <c r="I93" s="500">
        <f t="shared" si="21"/>
        <v>675000</v>
      </c>
      <c r="J93" s="534">
        <f t="shared" si="22"/>
        <v>11684103</v>
      </c>
      <c r="K93" s="62">
        <f t="shared" si="23"/>
        <v>292102.57500000001</v>
      </c>
      <c r="L93" s="537">
        <v>546029</v>
      </c>
      <c r="M93" s="502"/>
      <c r="N93" s="516"/>
      <c r="O93" s="516">
        <f>L93-O92</f>
        <v>163131.57500000001</v>
      </c>
      <c r="P93" s="516">
        <f>H93-K93</f>
        <v>382897.42499999999</v>
      </c>
      <c r="Q93">
        <f>L93-P93</f>
        <v>163131.57500000001</v>
      </c>
    </row>
    <row r="94" spans="1:17" ht="15.95" customHeight="1">
      <c r="A94" s="98">
        <f t="shared" si="20"/>
        <v>87</v>
      </c>
      <c r="B94" s="525" t="s">
        <v>568</v>
      </c>
      <c r="C94" s="856" t="s">
        <v>567</v>
      </c>
      <c r="D94" s="499">
        <v>7500000</v>
      </c>
      <c r="E94" s="62">
        <v>6419180</v>
      </c>
      <c r="F94" s="849" t="s">
        <v>336</v>
      </c>
      <c r="G94" s="500">
        <v>129000</v>
      </c>
      <c r="H94" s="500">
        <v>321000</v>
      </c>
      <c r="I94" s="500">
        <f t="shared" si="21"/>
        <v>450000</v>
      </c>
      <c r="J94" s="62">
        <f t="shared" si="22"/>
        <v>6290180</v>
      </c>
      <c r="K94" s="62">
        <f t="shared" si="23"/>
        <v>157254.5</v>
      </c>
      <c r="L94" s="524"/>
      <c r="M94" s="502"/>
      <c r="N94" s="85"/>
      <c r="O94" s="85">
        <f>225000-H94</f>
        <v>-96000</v>
      </c>
      <c r="P94">
        <f>L94+K94</f>
        <v>157254.5</v>
      </c>
      <c r="Q94">
        <f>450000-H94</f>
        <v>129000</v>
      </c>
    </row>
    <row r="95" spans="1:17" ht="15.95" customHeight="1">
      <c r="A95" s="98">
        <f t="shared" si="20"/>
        <v>88</v>
      </c>
      <c r="B95" s="138" t="s">
        <v>569</v>
      </c>
      <c r="C95" s="856" t="s">
        <v>567</v>
      </c>
      <c r="D95" s="511">
        <v>22000000</v>
      </c>
      <c r="E95" s="542">
        <v>6863017</v>
      </c>
      <c r="F95" s="857" t="s">
        <v>363</v>
      </c>
      <c r="G95" s="500">
        <v>328425</v>
      </c>
      <c r="H95" s="500">
        <v>171575</v>
      </c>
      <c r="I95" s="500">
        <f t="shared" si="21"/>
        <v>500000</v>
      </c>
      <c r="J95" s="542">
        <f t="shared" si="22"/>
        <v>6534592</v>
      </c>
      <c r="K95" s="62">
        <f t="shared" si="23"/>
        <v>163364.79999999999</v>
      </c>
      <c r="L95" s="524"/>
      <c r="M95" s="502"/>
      <c r="N95" s="516"/>
      <c r="O95" s="85">
        <f>200000-H95</f>
        <v>28425</v>
      </c>
      <c r="P95">
        <f>500000-H95</f>
        <v>328425</v>
      </c>
    </row>
    <row r="96" spans="1:17" ht="15.95" customHeight="1">
      <c r="A96" s="98">
        <f t="shared" si="20"/>
        <v>89</v>
      </c>
      <c r="B96" s="539" t="s">
        <v>570</v>
      </c>
      <c r="C96" s="856" t="s">
        <v>571</v>
      </c>
      <c r="D96" s="499">
        <v>2000000</v>
      </c>
      <c r="E96" s="62">
        <v>1931341</v>
      </c>
      <c r="F96" s="69"/>
      <c r="G96" s="500"/>
      <c r="H96" s="500"/>
      <c r="I96" s="500">
        <f t="shared" si="21"/>
        <v>0</v>
      </c>
      <c r="J96" s="62">
        <f t="shared" si="22"/>
        <v>1931341</v>
      </c>
      <c r="K96" s="62">
        <f t="shared" si="23"/>
        <v>48283.525000000001</v>
      </c>
      <c r="L96" s="524">
        <v>570828</v>
      </c>
      <c r="M96" s="502"/>
      <c r="N96" s="516"/>
      <c r="P96">
        <f>H96-K96</f>
        <v>-48283.525000000001</v>
      </c>
      <c r="Q96">
        <f>L96-P96</f>
        <v>619111.52500000002</v>
      </c>
    </row>
    <row r="97" spans="1:18" ht="15.95" customHeight="1">
      <c r="A97" s="98">
        <f t="shared" si="20"/>
        <v>90</v>
      </c>
      <c r="B97" s="539" t="s">
        <v>572</v>
      </c>
      <c r="C97" s="858" t="s">
        <v>573</v>
      </c>
      <c r="D97" s="533">
        <v>6000000</v>
      </c>
      <c r="E97" s="534">
        <v>4354844</v>
      </c>
      <c r="F97" s="855" t="s">
        <v>346</v>
      </c>
      <c r="G97" s="536">
        <v>91129</v>
      </c>
      <c r="H97" s="536">
        <v>108871</v>
      </c>
      <c r="I97" s="500">
        <f t="shared" si="21"/>
        <v>200000</v>
      </c>
      <c r="J97" s="62">
        <f t="shared" si="22"/>
        <v>4263715</v>
      </c>
      <c r="K97" s="534">
        <f t="shared" si="23"/>
        <v>106592.875</v>
      </c>
      <c r="L97" s="537"/>
      <c r="M97" s="502"/>
      <c r="O97" s="85">
        <f>K97*2</f>
        <v>213185.75</v>
      </c>
      <c r="P97" s="85">
        <f>200000-H97</f>
        <v>91129</v>
      </c>
    </row>
    <row r="98" spans="1:18" ht="15.95" customHeight="1">
      <c r="A98" s="98">
        <f t="shared" si="20"/>
        <v>91</v>
      </c>
      <c r="B98" s="539" t="s">
        <v>574</v>
      </c>
      <c r="C98" s="858" t="s">
        <v>573</v>
      </c>
      <c r="D98" s="533">
        <v>2900000</v>
      </c>
      <c r="E98" s="534">
        <v>2452418</v>
      </c>
      <c r="F98" s="855" t="s">
        <v>272</v>
      </c>
      <c r="G98" s="536">
        <v>38690</v>
      </c>
      <c r="H98" s="536">
        <v>61310</v>
      </c>
      <c r="I98" s="500">
        <f t="shared" si="21"/>
        <v>100000</v>
      </c>
      <c r="J98" s="534">
        <f t="shared" si="22"/>
        <v>2413728</v>
      </c>
      <c r="K98" s="534">
        <f t="shared" si="23"/>
        <v>60343.199999999997</v>
      </c>
      <c r="L98" s="537"/>
      <c r="M98" s="502"/>
      <c r="N98" s="516"/>
      <c r="O98" s="516">
        <f>100000-H98</f>
        <v>38690</v>
      </c>
      <c r="P98" s="516">
        <f>200000-K98</f>
        <v>139656.79999999999</v>
      </c>
      <c r="Q98">
        <f>K98+H98</f>
        <v>121653.2</v>
      </c>
      <c r="R98">
        <f>100000-K98</f>
        <v>39656.800000000003</v>
      </c>
    </row>
    <row r="99" spans="1:18" ht="15.95" customHeight="1">
      <c r="A99" s="98">
        <f t="shared" si="20"/>
        <v>92</v>
      </c>
      <c r="B99" s="539" t="s">
        <v>575</v>
      </c>
      <c r="C99" s="858" t="s">
        <v>576</v>
      </c>
      <c r="D99" s="533">
        <v>5000000</v>
      </c>
      <c r="E99" s="534">
        <v>4645401</v>
      </c>
      <c r="F99" s="855" t="s">
        <v>363</v>
      </c>
      <c r="G99" s="536"/>
      <c r="H99" s="536">
        <v>150000</v>
      </c>
      <c r="I99" s="500">
        <f t="shared" si="21"/>
        <v>150000</v>
      </c>
      <c r="J99" s="534">
        <f t="shared" si="22"/>
        <v>4645401</v>
      </c>
      <c r="K99" s="534">
        <f t="shared" si="23"/>
        <v>116135.02499999999</v>
      </c>
      <c r="L99" s="537">
        <v>14540</v>
      </c>
      <c r="M99" s="502"/>
      <c r="N99" s="516"/>
      <c r="O99" s="85">
        <f>H99-K99</f>
        <v>33864.974999999999</v>
      </c>
      <c r="P99" s="527">
        <f>K99+L99</f>
        <v>130675.02499999999</v>
      </c>
      <c r="Q99">
        <f>P99-H99</f>
        <v>-19324.974999999999</v>
      </c>
      <c r="R99">
        <f>J98-R98</f>
        <v>2374071.2000000002</v>
      </c>
    </row>
    <row r="100" spans="1:18" ht="15.95" customHeight="1">
      <c r="A100" s="98">
        <f t="shared" si="20"/>
        <v>93</v>
      </c>
      <c r="B100" s="539" t="s">
        <v>577</v>
      </c>
      <c r="C100" s="858" t="s">
        <v>578</v>
      </c>
      <c r="D100" s="533">
        <v>5000000</v>
      </c>
      <c r="E100" s="534">
        <v>4026576</v>
      </c>
      <c r="F100" s="855" t="s">
        <v>363</v>
      </c>
      <c r="G100" s="536">
        <v>199336</v>
      </c>
      <c r="H100" s="536">
        <v>100664</v>
      </c>
      <c r="I100" s="500">
        <f t="shared" si="21"/>
        <v>300000</v>
      </c>
      <c r="J100" s="534">
        <f t="shared" si="22"/>
        <v>3827240</v>
      </c>
      <c r="K100" s="534">
        <f t="shared" si="23"/>
        <v>95681</v>
      </c>
      <c r="L100" s="537"/>
      <c r="M100" s="502"/>
      <c r="N100" s="516"/>
      <c r="O100" s="85">
        <f>150000-H100</f>
        <v>49336</v>
      </c>
      <c r="P100">
        <f>300000-H100</f>
        <v>199336</v>
      </c>
    </row>
    <row r="101" spans="1:18" ht="15.95" customHeight="1">
      <c r="A101" s="98">
        <f t="shared" si="20"/>
        <v>94</v>
      </c>
      <c r="B101" s="539" t="s">
        <v>579</v>
      </c>
      <c r="C101" s="858" t="s">
        <v>580</v>
      </c>
      <c r="D101" s="533">
        <v>2000000</v>
      </c>
      <c r="E101" s="534">
        <v>3880595</v>
      </c>
      <c r="F101" s="535"/>
      <c r="G101" s="536"/>
      <c r="H101" s="536"/>
      <c r="I101" s="500">
        <f t="shared" si="21"/>
        <v>0</v>
      </c>
      <c r="J101" s="534">
        <f t="shared" si="22"/>
        <v>3880595</v>
      </c>
      <c r="K101" s="534">
        <f t="shared" si="23"/>
        <v>97014.875</v>
      </c>
      <c r="L101" s="537">
        <v>97105</v>
      </c>
      <c r="M101" s="529"/>
      <c r="N101" s="516"/>
      <c r="O101" s="516">
        <f>200000-H101</f>
        <v>200000</v>
      </c>
      <c r="Q101" s="85"/>
    </row>
    <row r="102" spans="1:18" ht="15.95" customHeight="1">
      <c r="A102" s="98">
        <f t="shared" si="20"/>
        <v>95</v>
      </c>
      <c r="B102" s="539" t="s">
        <v>581</v>
      </c>
      <c r="C102" s="858" t="s">
        <v>582</v>
      </c>
      <c r="D102" s="533">
        <v>1000000</v>
      </c>
      <c r="E102" s="534">
        <v>993761</v>
      </c>
      <c r="F102" s="535"/>
      <c r="G102" s="536"/>
      <c r="H102" s="536"/>
      <c r="I102" s="500">
        <f t="shared" si="21"/>
        <v>0</v>
      </c>
      <c r="J102" s="534">
        <f t="shared" si="22"/>
        <v>993761</v>
      </c>
      <c r="K102" s="534">
        <f t="shared" si="23"/>
        <v>24844.025000000001</v>
      </c>
      <c r="L102" s="537">
        <v>74532</v>
      </c>
      <c r="M102" s="529"/>
      <c r="N102" s="85"/>
      <c r="O102" s="85"/>
      <c r="P102" s="85"/>
    </row>
    <row r="103" spans="1:18" ht="15.95" customHeight="1">
      <c r="A103" s="98">
        <f t="shared" si="20"/>
        <v>96</v>
      </c>
      <c r="B103" s="539" t="s">
        <v>583</v>
      </c>
      <c r="C103" s="858" t="s">
        <v>584</v>
      </c>
      <c r="D103" s="533">
        <v>15000000</v>
      </c>
      <c r="E103" s="534">
        <v>15289337</v>
      </c>
      <c r="F103" s="855" t="s">
        <v>363</v>
      </c>
      <c r="G103" s="536">
        <v>117767</v>
      </c>
      <c r="H103" s="536">
        <v>382233</v>
      </c>
      <c r="I103" s="500">
        <f t="shared" si="21"/>
        <v>500000</v>
      </c>
      <c r="J103" s="534">
        <f t="shared" si="22"/>
        <v>15171570</v>
      </c>
      <c r="K103" s="534">
        <f t="shared" si="23"/>
        <v>379289.25</v>
      </c>
      <c r="L103" s="537"/>
      <c r="M103" s="529"/>
      <c r="N103" s="516"/>
      <c r="O103" s="85">
        <f>500000-H103</f>
        <v>117767</v>
      </c>
      <c r="P103" s="85"/>
    </row>
    <row r="104" spans="1:18" ht="15.95" customHeight="1">
      <c r="A104" s="98">
        <f t="shared" si="20"/>
        <v>97</v>
      </c>
      <c r="B104" s="539" t="s">
        <v>381</v>
      </c>
      <c r="C104" s="858" t="s">
        <v>584</v>
      </c>
      <c r="D104" s="533">
        <v>10000000</v>
      </c>
      <c r="E104" s="534">
        <v>8048375</v>
      </c>
      <c r="F104" s="855" t="s">
        <v>363</v>
      </c>
      <c r="G104" s="536">
        <v>48791</v>
      </c>
      <c r="H104" s="536">
        <v>201209</v>
      </c>
      <c r="I104" s="500">
        <f t="shared" si="21"/>
        <v>250000</v>
      </c>
      <c r="J104" s="534">
        <f t="shared" si="22"/>
        <v>7999584</v>
      </c>
      <c r="K104" s="534">
        <f t="shared" si="23"/>
        <v>199989.6</v>
      </c>
      <c r="L104" s="537"/>
      <c r="M104" s="502"/>
      <c r="N104" s="85"/>
      <c r="O104" s="85">
        <f>250000-H104</f>
        <v>48791</v>
      </c>
    </row>
    <row r="105" spans="1:18" ht="15.95" customHeight="1">
      <c r="A105" s="98">
        <f t="shared" si="20"/>
        <v>98</v>
      </c>
      <c r="B105" s="539" t="s">
        <v>585</v>
      </c>
      <c r="C105" s="858" t="s">
        <v>586</v>
      </c>
      <c r="D105" s="533">
        <v>5000000</v>
      </c>
      <c r="E105" s="534">
        <v>5000000</v>
      </c>
      <c r="F105" s="535"/>
      <c r="G105" s="536"/>
      <c r="H105" s="536"/>
      <c r="I105" s="500">
        <f t="shared" si="21"/>
        <v>0</v>
      </c>
      <c r="J105" s="534">
        <f t="shared" si="22"/>
        <v>5000000</v>
      </c>
      <c r="K105" s="534">
        <f t="shared" si="23"/>
        <v>125000</v>
      </c>
      <c r="L105" s="537">
        <v>500000</v>
      </c>
      <c r="M105" s="502"/>
      <c r="N105" s="85"/>
      <c r="O105" s="516">
        <f>L105+K105</f>
        <v>625000</v>
      </c>
    </row>
    <row r="106" spans="1:18" ht="15.95" customHeight="1">
      <c r="A106" s="98">
        <f t="shared" si="20"/>
        <v>99</v>
      </c>
      <c r="B106" s="525" t="s">
        <v>587</v>
      </c>
      <c r="C106" s="859" t="s">
        <v>588</v>
      </c>
      <c r="D106" s="499">
        <v>2900000</v>
      </c>
      <c r="E106" s="62">
        <v>2360391</v>
      </c>
      <c r="F106" s="849" t="s">
        <v>363</v>
      </c>
      <c r="G106" s="500">
        <v>40990</v>
      </c>
      <c r="H106" s="500">
        <v>59010</v>
      </c>
      <c r="I106" s="500">
        <f t="shared" si="21"/>
        <v>100000</v>
      </c>
      <c r="J106" s="62">
        <f t="shared" si="22"/>
        <v>2319401</v>
      </c>
      <c r="K106" s="62">
        <f t="shared" si="23"/>
        <v>57985.025000000001</v>
      </c>
      <c r="L106" s="524"/>
      <c r="M106" s="502"/>
      <c r="N106" s="85"/>
      <c r="O106" s="85">
        <f>100000-H106</f>
        <v>40990</v>
      </c>
      <c r="P106" s="85"/>
    </row>
    <row r="107" spans="1:18" ht="15.95" customHeight="1">
      <c r="A107" s="98">
        <f t="shared" si="20"/>
        <v>100</v>
      </c>
      <c r="B107" s="525" t="s">
        <v>380</v>
      </c>
      <c r="C107" s="859" t="s">
        <v>589</v>
      </c>
      <c r="D107" s="499">
        <v>2900000</v>
      </c>
      <c r="E107" s="62">
        <v>2412078</v>
      </c>
      <c r="F107" s="849" t="s">
        <v>363</v>
      </c>
      <c r="G107" s="500"/>
      <c r="H107" s="500">
        <v>60000</v>
      </c>
      <c r="I107" s="500">
        <f t="shared" si="21"/>
        <v>60000</v>
      </c>
      <c r="J107" s="62">
        <f t="shared" si="22"/>
        <v>2412078</v>
      </c>
      <c r="K107" s="62">
        <f t="shared" si="23"/>
        <v>60301.95</v>
      </c>
      <c r="L107" s="524">
        <v>302</v>
      </c>
      <c r="M107" s="502"/>
      <c r="N107" s="85"/>
      <c r="O107" s="85">
        <f>K107+L107</f>
        <v>60603.95</v>
      </c>
      <c r="P107">
        <f>150000-H107</f>
        <v>90000</v>
      </c>
    </row>
    <row r="108" spans="1:18" ht="15.95" customHeight="1">
      <c r="A108" s="98">
        <f t="shared" si="20"/>
        <v>101</v>
      </c>
      <c r="B108" s="539" t="s">
        <v>275</v>
      </c>
      <c r="C108" s="543"/>
      <c r="D108" s="533">
        <v>2000000</v>
      </c>
      <c r="E108" s="534">
        <v>1638656</v>
      </c>
      <c r="F108" s="855" t="s">
        <v>272</v>
      </c>
      <c r="G108" s="536">
        <v>59034</v>
      </c>
      <c r="H108" s="536">
        <v>40966</v>
      </c>
      <c r="I108" s="500">
        <f t="shared" si="21"/>
        <v>100000</v>
      </c>
      <c r="J108" s="62">
        <f t="shared" si="22"/>
        <v>1579622</v>
      </c>
      <c r="K108" s="534">
        <f t="shared" si="23"/>
        <v>39490.550000000003</v>
      </c>
      <c r="L108" s="537"/>
      <c r="M108" s="502"/>
      <c r="N108" s="85"/>
      <c r="O108" s="85">
        <f>100000-H108</f>
        <v>59034</v>
      </c>
    </row>
    <row r="109" spans="1:18" ht="15.95" customHeight="1">
      <c r="A109" s="98">
        <f t="shared" si="20"/>
        <v>102</v>
      </c>
      <c r="B109" s="539" t="s">
        <v>364</v>
      </c>
      <c r="C109" s="858" t="s">
        <v>590</v>
      </c>
      <c r="D109" s="533">
        <v>3000000</v>
      </c>
      <c r="E109" s="534">
        <v>2973750</v>
      </c>
      <c r="F109" s="855" t="s">
        <v>363</v>
      </c>
      <c r="G109" s="544"/>
      <c r="H109" s="536">
        <v>100000</v>
      </c>
      <c r="I109" s="500">
        <f t="shared" ref="I109:I132" si="24">G109+H109</f>
        <v>100000</v>
      </c>
      <c r="J109" s="534">
        <f t="shared" si="22"/>
        <v>2973750</v>
      </c>
      <c r="K109" s="534">
        <f t="shared" si="23"/>
        <v>74343.75</v>
      </c>
      <c r="L109" s="537">
        <v>45472</v>
      </c>
      <c r="M109" s="502"/>
      <c r="N109" s="85"/>
      <c r="O109" s="516">
        <f>L109+K109</f>
        <v>119815.75</v>
      </c>
      <c r="P109" s="516">
        <f>H109-K109</f>
        <v>25656.25</v>
      </c>
      <c r="Q109" s="516">
        <f>H109-K109</f>
        <v>25656.25</v>
      </c>
    </row>
    <row r="110" spans="1:18" ht="15.95" customHeight="1">
      <c r="A110" s="98">
        <f t="shared" si="20"/>
        <v>103</v>
      </c>
      <c r="B110" s="539" t="s">
        <v>591</v>
      </c>
      <c r="C110" s="543"/>
      <c r="D110" s="533">
        <v>1000000</v>
      </c>
      <c r="E110" s="534">
        <v>933103</v>
      </c>
      <c r="F110" s="535"/>
      <c r="G110" s="536"/>
      <c r="H110" s="536"/>
      <c r="I110" s="500">
        <f t="shared" si="24"/>
        <v>0</v>
      </c>
      <c r="J110" s="534">
        <f t="shared" si="22"/>
        <v>933103</v>
      </c>
      <c r="K110" s="534">
        <f t="shared" si="23"/>
        <v>23327.575000000001</v>
      </c>
      <c r="L110" s="537">
        <v>136576</v>
      </c>
      <c r="M110" s="502"/>
      <c r="N110" s="516"/>
      <c r="O110" s="516"/>
      <c r="P110" s="516">
        <f>L109-P109</f>
        <v>19815.75</v>
      </c>
      <c r="Q110" s="516">
        <f>L109-Q109</f>
        <v>19815.75</v>
      </c>
    </row>
    <row r="111" spans="1:18" ht="15.95" customHeight="1">
      <c r="A111" s="98">
        <f t="shared" si="20"/>
        <v>104</v>
      </c>
      <c r="B111" s="539" t="s">
        <v>404</v>
      </c>
      <c r="C111" s="858" t="s">
        <v>592</v>
      </c>
      <c r="D111" s="533">
        <v>2000000</v>
      </c>
      <c r="E111" s="534">
        <v>1594237</v>
      </c>
      <c r="F111" s="855" t="s">
        <v>363</v>
      </c>
      <c r="G111" s="536">
        <v>60144</v>
      </c>
      <c r="H111" s="536">
        <v>39856</v>
      </c>
      <c r="I111" s="500">
        <f t="shared" si="24"/>
        <v>100000</v>
      </c>
      <c r="J111" s="534">
        <f t="shared" si="22"/>
        <v>1534093</v>
      </c>
      <c r="K111" s="534">
        <f t="shared" si="23"/>
        <v>38352.324999999997</v>
      </c>
      <c r="L111" s="537"/>
      <c r="M111" s="529"/>
      <c r="N111" s="85"/>
      <c r="O111" s="516">
        <f>50000-H111</f>
        <v>10144</v>
      </c>
      <c r="P111">
        <f>100000-H111</f>
        <v>60144</v>
      </c>
    </row>
    <row r="112" spans="1:18" ht="15.95" customHeight="1">
      <c r="A112" s="98">
        <f t="shared" si="20"/>
        <v>105</v>
      </c>
      <c r="B112" s="539" t="s">
        <v>593</v>
      </c>
      <c r="C112" s="858" t="s">
        <v>594</v>
      </c>
      <c r="D112" s="533">
        <v>3750000</v>
      </c>
      <c r="E112" s="534">
        <v>3782124</v>
      </c>
      <c r="F112" s="535"/>
      <c r="G112" s="536"/>
      <c r="H112" s="536"/>
      <c r="I112" s="500">
        <f t="shared" si="24"/>
        <v>0</v>
      </c>
      <c r="J112" s="534">
        <f t="shared" si="22"/>
        <v>3782124</v>
      </c>
      <c r="K112" s="534">
        <f t="shared" si="23"/>
        <v>94553.1</v>
      </c>
      <c r="L112" s="537"/>
      <c r="M112" s="502"/>
      <c r="N112" s="85"/>
      <c r="O112">
        <f>100000-H112</f>
        <v>100000</v>
      </c>
    </row>
    <row r="113" spans="1:19" ht="15.95" customHeight="1">
      <c r="A113" s="98">
        <f t="shared" si="20"/>
        <v>106</v>
      </c>
      <c r="B113" s="539" t="s">
        <v>595</v>
      </c>
      <c r="C113" s="543"/>
      <c r="D113" s="533">
        <v>5000000</v>
      </c>
      <c r="E113" s="534">
        <v>5000000</v>
      </c>
      <c r="F113" s="535"/>
      <c r="G113" s="536"/>
      <c r="H113" s="536"/>
      <c r="I113" s="500">
        <f t="shared" si="24"/>
        <v>0</v>
      </c>
      <c r="J113" s="534">
        <f t="shared" si="22"/>
        <v>5000000</v>
      </c>
      <c r="K113" s="534">
        <f t="shared" si="23"/>
        <v>125000</v>
      </c>
      <c r="L113" s="537">
        <v>1000000</v>
      </c>
      <c r="M113" s="502"/>
      <c r="O113" s="85"/>
    </row>
    <row r="114" spans="1:19" ht="15.95" customHeight="1">
      <c r="A114" s="98">
        <f t="shared" si="20"/>
        <v>107</v>
      </c>
      <c r="B114" s="539" t="s">
        <v>596</v>
      </c>
      <c r="C114" s="858" t="s">
        <v>597</v>
      </c>
      <c r="D114" s="533">
        <v>15000000</v>
      </c>
      <c r="E114" s="534">
        <v>12781476</v>
      </c>
      <c r="F114" s="855" t="s">
        <v>272</v>
      </c>
      <c r="G114" s="536">
        <v>180463</v>
      </c>
      <c r="H114" s="536">
        <v>319537</v>
      </c>
      <c r="I114" s="500">
        <f t="shared" si="24"/>
        <v>500000</v>
      </c>
      <c r="J114" s="534">
        <f t="shared" si="22"/>
        <v>12601013</v>
      </c>
      <c r="K114" s="534">
        <f t="shared" si="23"/>
        <v>315025.32500000001</v>
      </c>
      <c r="L114" s="537"/>
      <c r="M114" s="502"/>
      <c r="N114" s="85"/>
      <c r="O114" s="85">
        <f>500000-H114</f>
        <v>180463</v>
      </c>
    </row>
    <row r="115" spans="1:19" ht="15.95" customHeight="1">
      <c r="A115" s="98">
        <f t="shared" si="20"/>
        <v>108</v>
      </c>
      <c r="B115" s="539" t="s">
        <v>598</v>
      </c>
      <c r="C115" s="858" t="s">
        <v>599</v>
      </c>
      <c r="D115" s="533">
        <v>1500000</v>
      </c>
      <c r="E115" s="534">
        <v>383871</v>
      </c>
      <c r="F115" s="535"/>
      <c r="G115" s="536"/>
      <c r="H115" s="536"/>
      <c r="I115" s="500">
        <f t="shared" si="24"/>
        <v>0</v>
      </c>
      <c r="J115" s="534">
        <f t="shared" si="22"/>
        <v>383871</v>
      </c>
      <c r="K115" s="534">
        <f t="shared" si="23"/>
        <v>9596.7749999999996</v>
      </c>
      <c r="L115" s="537"/>
      <c r="M115" s="529" t="s">
        <v>458</v>
      </c>
      <c r="N115" s="85"/>
      <c r="O115" s="85">
        <f>50000-H115</f>
        <v>50000</v>
      </c>
      <c r="P115">
        <f>12000-H115</f>
        <v>12000</v>
      </c>
      <c r="Q115">
        <f>50000-H115</f>
        <v>50000</v>
      </c>
      <c r="R115">
        <f>H115+K115</f>
        <v>9596.7749999999996</v>
      </c>
      <c r="S115">
        <f>50000-K115</f>
        <v>40403.224999999999</v>
      </c>
    </row>
    <row r="116" spans="1:19" ht="15.95" customHeight="1">
      <c r="A116" s="98">
        <f t="shared" si="20"/>
        <v>109</v>
      </c>
      <c r="B116" s="545" t="s">
        <v>600</v>
      </c>
      <c r="C116" s="853" t="s">
        <v>601</v>
      </c>
      <c r="D116" s="546">
        <v>10000000</v>
      </c>
      <c r="E116" s="534">
        <v>1866722</v>
      </c>
      <c r="F116" s="855" t="s">
        <v>318</v>
      </c>
      <c r="G116" s="536">
        <v>1866722</v>
      </c>
      <c r="H116" s="536">
        <v>46668</v>
      </c>
      <c r="I116" s="500">
        <f t="shared" si="24"/>
        <v>1913390</v>
      </c>
      <c r="J116" s="534">
        <f t="shared" si="22"/>
        <v>0</v>
      </c>
      <c r="K116" s="534">
        <f t="shared" si="23"/>
        <v>0</v>
      </c>
      <c r="L116" s="547"/>
      <c r="M116" s="548"/>
      <c r="N116" s="85"/>
      <c r="O116" s="85"/>
      <c r="P116">
        <f>1000000-H116</f>
        <v>953332</v>
      </c>
      <c r="Q116" s="85">
        <f>1000000-H116</f>
        <v>953332</v>
      </c>
      <c r="S116">
        <f>S115+G115</f>
        <v>40403.224999999999</v>
      </c>
    </row>
    <row r="117" spans="1:19" ht="15.95" customHeight="1">
      <c r="A117" s="98">
        <f t="shared" si="20"/>
        <v>110</v>
      </c>
      <c r="B117" s="545" t="s">
        <v>400</v>
      </c>
      <c r="C117" s="853" t="s">
        <v>601</v>
      </c>
      <c r="D117" s="546">
        <v>3000000</v>
      </c>
      <c r="E117" s="534">
        <v>2177014</v>
      </c>
      <c r="F117" s="855" t="s">
        <v>363</v>
      </c>
      <c r="G117" s="536">
        <v>65575</v>
      </c>
      <c r="H117" s="536">
        <v>54425</v>
      </c>
      <c r="I117" s="500">
        <f t="shared" si="24"/>
        <v>120000</v>
      </c>
      <c r="J117" s="534">
        <f t="shared" si="22"/>
        <v>2111439</v>
      </c>
      <c r="K117" s="534">
        <f t="shared" si="23"/>
        <v>52785.974999999999</v>
      </c>
      <c r="L117" s="547"/>
      <c r="M117" s="512"/>
      <c r="N117" s="85"/>
      <c r="O117" s="85">
        <f>150000-H117</f>
        <v>95575</v>
      </c>
      <c r="P117" s="527">
        <f>120000-K117</f>
        <v>67214.024999999994</v>
      </c>
    </row>
    <row r="118" spans="1:19" ht="15.95" customHeight="1">
      <c r="A118" s="98">
        <f t="shared" si="20"/>
        <v>111</v>
      </c>
      <c r="B118" s="545" t="s">
        <v>602</v>
      </c>
      <c r="C118" s="853" t="s">
        <v>603</v>
      </c>
      <c r="D118" s="546">
        <v>10000000</v>
      </c>
      <c r="E118" s="534">
        <v>12758867</v>
      </c>
      <c r="F118" s="855" t="s">
        <v>363</v>
      </c>
      <c r="G118" s="536">
        <v>31028</v>
      </c>
      <c r="H118" s="536">
        <v>318972</v>
      </c>
      <c r="I118" s="500">
        <f t="shared" si="24"/>
        <v>350000</v>
      </c>
      <c r="J118" s="534">
        <f t="shared" si="22"/>
        <v>12727839</v>
      </c>
      <c r="K118" s="534">
        <f t="shared" si="23"/>
        <v>318195.97499999998</v>
      </c>
      <c r="L118" s="547"/>
      <c r="M118" s="512"/>
      <c r="N118" s="85"/>
      <c r="O118" s="85">
        <f>350000-H118</f>
        <v>31028</v>
      </c>
      <c r="P118" s="85"/>
      <c r="Q118" s="54">
        <f>J116+K116</f>
        <v>0</v>
      </c>
    </row>
    <row r="119" spans="1:19" ht="15.95" customHeight="1">
      <c r="A119" s="98">
        <f t="shared" si="20"/>
        <v>112</v>
      </c>
      <c r="B119" s="545" t="s">
        <v>604</v>
      </c>
      <c r="C119" s="853" t="s">
        <v>605</v>
      </c>
      <c r="D119" s="546">
        <v>3000000</v>
      </c>
      <c r="E119" s="534">
        <v>2375873</v>
      </c>
      <c r="F119" s="535"/>
      <c r="G119" s="536"/>
      <c r="H119" s="536"/>
      <c r="I119" s="500">
        <f t="shared" si="24"/>
        <v>0</v>
      </c>
      <c r="J119" s="534">
        <f t="shared" si="22"/>
        <v>2375873</v>
      </c>
      <c r="K119" s="534">
        <f t="shared" si="23"/>
        <v>59396.824999999997</v>
      </c>
      <c r="L119" s="547">
        <v>59397</v>
      </c>
      <c r="M119" s="512"/>
      <c r="N119" s="85"/>
      <c r="O119" s="85">
        <f>200000-K119</f>
        <v>140603.17499999999</v>
      </c>
      <c r="Q119" s="54">
        <f>10000000-Q118</f>
        <v>10000000</v>
      </c>
    </row>
    <row r="120" spans="1:19" ht="15.95" customHeight="1">
      <c r="A120" s="98">
        <f t="shared" si="20"/>
        <v>113</v>
      </c>
      <c r="B120" s="545" t="s">
        <v>334</v>
      </c>
      <c r="C120" s="853" t="s">
        <v>605</v>
      </c>
      <c r="D120" s="546">
        <v>3500000</v>
      </c>
      <c r="E120" s="534">
        <v>2825216</v>
      </c>
      <c r="F120" s="855" t="s">
        <v>333</v>
      </c>
      <c r="G120" s="536">
        <v>179370</v>
      </c>
      <c r="H120" s="536">
        <v>70630</v>
      </c>
      <c r="I120" s="500">
        <f t="shared" si="24"/>
        <v>250000</v>
      </c>
      <c r="J120" s="534">
        <f t="shared" si="22"/>
        <v>2645846</v>
      </c>
      <c r="K120" s="534">
        <f t="shared" si="23"/>
        <v>66146.149999999994</v>
      </c>
      <c r="L120" s="547"/>
      <c r="M120" s="512"/>
      <c r="N120" s="85"/>
      <c r="O120" s="85">
        <f>250000-H120</f>
        <v>179370</v>
      </c>
    </row>
    <row r="121" spans="1:19" ht="15.95" customHeight="1">
      <c r="A121" s="98">
        <f t="shared" si="20"/>
        <v>114</v>
      </c>
      <c r="B121" s="545" t="s">
        <v>606</v>
      </c>
      <c r="C121" s="853" t="s">
        <v>607</v>
      </c>
      <c r="D121" s="546">
        <v>3000000</v>
      </c>
      <c r="E121" s="534">
        <v>3500000</v>
      </c>
      <c r="F121" s="535"/>
      <c r="G121" s="536"/>
      <c r="H121" s="536"/>
      <c r="I121" s="500">
        <f t="shared" si="24"/>
        <v>0</v>
      </c>
      <c r="J121" s="534">
        <f t="shared" si="22"/>
        <v>3500000</v>
      </c>
      <c r="K121" s="534">
        <f t="shared" si="23"/>
        <v>87500</v>
      </c>
      <c r="L121" s="547">
        <v>87500</v>
      </c>
      <c r="M121" s="512"/>
      <c r="O121" s="85"/>
    </row>
    <row r="122" spans="1:19" ht="15.95" customHeight="1">
      <c r="A122" s="98">
        <f t="shared" si="20"/>
        <v>115</v>
      </c>
      <c r="B122" s="545" t="s">
        <v>389</v>
      </c>
      <c r="C122" s="853" t="s">
        <v>608</v>
      </c>
      <c r="D122" s="546">
        <v>3000000</v>
      </c>
      <c r="E122" s="534">
        <v>2896187</v>
      </c>
      <c r="F122" s="855" t="s">
        <v>363</v>
      </c>
      <c r="G122" s="536">
        <v>27595</v>
      </c>
      <c r="H122" s="536">
        <v>72405</v>
      </c>
      <c r="I122" s="500">
        <f t="shared" si="24"/>
        <v>100000</v>
      </c>
      <c r="J122" s="534">
        <f t="shared" si="22"/>
        <v>2868592</v>
      </c>
      <c r="K122" s="534">
        <f t="shared" si="23"/>
        <v>71714.8</v>
      </c>
      <c r="L122" s="547"/>
      <c r="M122" s="512"/>
      <c r="O122" s="85">
        <f>100000-H122</f>
        <v>27595</v>
      </c>
      <c r="P122" s="85"/>
    </row>
    <row r="123" spans="1:19" ht="15.95" customHeight="1">
      <c r="A123" s="98">
        <f t="shared" si="20"/>
        <v>116</v>
      </c>
      <c r="B123" s="545" t="s">
        <v>609</v>
      </c>
      <c r="C123" s="853" t="s">
        <v>610</v>
      </c>
      <c r="D123" s="546">
        <v>6000000</v>
      </c>
      <c r="E123" s="534">
        <v>1000000</v>
      </c>
      <c r="F123" s="855" t="s">
        <v>346</v>
      </c>
      <c r="G123" s="536"/>
      <c r="H123" s="536">
        <v>50000</v>
      </c>
      <c r="I123" s="500">
        <f t="shared" si="24"/>
        <v>50000</v>
      </c>
      <c r="J123" s="534">
        <f t="shared" si="22"/>
        <v>1000000</v>
      </c>
      <c r="K123" s="534">
        <f t="shared" si="23"/>
        <v>25000</v>
      </c>
      <c r="L123" s="547"/>
      <c r="M123" s="512"/>
      <c r="O123" s="85"/>
    </row>
    <row r="124" spans="1:19" ht="15.95" customHeight="1">
      <c r="A124" s="98">
        <f t="shared" ref="A124:A161" si="25">A123+1</f>
        <v>117</v>
      </c>
      <c r="B124" s="545" t="s">
        <v>611</v>
      </c>
      <c r="C124" s="853" t="s">
        <v>612</v>
      </c>
      <c r="D124" s="546">
        <v>5000000</v>
      </c>
      <c r="E124" s="534">
        <v>5000000</v>
      </c>
      <c r="F124" s="535"/>
      <c r="G124" s="536"/>
      <c r="H124" s="536"/>
      <c r="I124" s="500">
        <f t="shared" si="24"/>
        <v>0</v>
      </c>
      <c r="J124" s="534">
        <f t="shared" si="22"/>
        <v>5000000</v>
      </c>
      <c r="K124" s="534">
        <f t="shared" si="23"/>
        <v>125000</v>
      </c>
      <c r="L124" s="547">
        <v>375000</v>
      </c>
      <c r="M124" s="512"/>
      <c r="O124" s="85"/>
    </row>
    <row r="125" spans="1:19" ht="15.95" customHeight="1">
      <c r="A125" s="98">
        <f t="shared" si="25"/>
        <v>118</v>
      </c>
      <c r="B125" s="545" t="s">
        <v>613</v>
      </c>
      <c r="C125" s="853" t="s">
        <v>614</v>
      </c>
      <c r="D125" s="546">
        <v>1500000</v>
      </c>
      <c r="E125" s="534">
        <v>500000</v>
      </c>
      <c r="F125" s="535"/>
      <c r="G125" s="536"/>
      <c r="H125" s="536"/>
      <c r="I125" s="500">
        <f t="shared" si="24"/>
        <v>0</v>
      </c>
      <c r="J125" s="534">
        <f t="shared" si="22"/>
        <v>500000</v>
      </c>
      <c r="K125" s="534">
        <f t="shared" si="23"/>
        <v>12500</v>
      </c>
      <c r="L125" s="547">
        <v>12500</v>
      </c>
      <c r="M125" s="512"/>
      <c r="O125" s="85">
        <f>L125+K125</f>
        <v>25000</v>
      </c>
    </row>
    <row r="126" spans="1:19" ht="15.95" customHeight="1">
      <c r="A126" s="98">
        <f t="shared" si="25"/>
        <v>119</v>
      </c>
      <c r="B126" s="545" t="s">
        <v>394</v>
      </c>
      <c r="C126" s="853" t="s">
        <v>615</v>
      </c>
      <c r="D126" s="546">
        <v>2000000</v>
      </c>
      <c r="E126" s="534">
        <v>1800000</v>
      </c>
      <c r="F126" s="855" t="s">
        <v>363</v>
      </c>
      <c r="G126" s="536">
        <v>205000</v>
      </c>
      <c r="H126" s="536">
        <v>45000</v>
      </c>
      <c r="I126" s="500">
        <f t="shared" si="24"/>
        <v>250000</v>
      </c>
      <c r="J126" s="534">
        <f t="shared" si="22"/>
        <v>1595000</v>
      </c>
      <c r="K126" s="534">
        <f t="shared" si="23"/>
        <v>39875</v>
      </c>
      <c r="L126" s="547"/>
      <c r="M126" s="512"/>
    </row>
    <row r="127" spans="1:19" ht="15.95" customHeight="1">
      <c r="A127" s="98">
        <f t="shared" si="25"/>
        <v>120</v>
      </c>
      <c r="B127" s="545" t="s">
        <v>368</v>
      </c>
      <c r="C127" s="853" t="s">
        <v>616</v>
      </c>
      <c r="D127" s="546">
        <v>2000000</v>
      </c>
      <c r="E127" s="534">
        <v>2000000</v>
      </c>
      <c r="F127" s="855" t="s">
        <v>363</v>
      </c>
      <c r="G127" s="536">
        <v>2000000</v>
      </c>
      <c r="H127" s="536">
        <v>50000</v>
      </c>
      <c r="I127" s="500">
        <f t="shared" si="24"/>
        <v>2050000</v>
      </c>
      <c r="J127" s="534">
        <f t="shared" si="22"/>
        <v>0</v>
      </c>
      <c r="K127" s="534">
        <f t="shared" si="23"/>
        <v>0</v>
      </c>
      <c r="L127" s="547"/>
      <c r="M127" s="512"/>
    </row>
    <row r="128" spans="1:19" ht="15.95" customHeight="1">
      <c r="A128" s="98">
        <f t="shared" si="25"/>
        <v>121</v>
      </c>
      <c r="B128" s="545" t="s">
        <v>316</v>
      </c>
      <c r="C128" s="853" t="s">
        <v>318</v>
      </c>
      <c r="D128" s="546">
        <v>5000000</v>
      </c>
      <c r="E128" s="534">
        <v>5000000</v>
      </c>
      <c r="F128" s="535"/>
      <c r="G128" s="536"/>
      <c r="H128" s="536"/>
      <c r="I128" s="500">
        <f t="shared" si="24"/>
        <v>0</v>
      </c>
      <c r="J128" s="534">
        <f t="shared" si="22"/>
        <v>5000000</v>
      </c>
      <c r="K128" s="534">
        <f t="shared" si="23"/>
        <v>125000</v>
      </c>
      <c r="L128" s="547"/>
      <c r="M128" s="512"/>
    </row>
    <row r="129" spans="1:13" ht="15.95" customHeight="1">
      <c r="A129" s="98">
        <f t="shared" si="25"/>
        <v>122</v>
      </c>
      <c r="B129" s="545" t="s">
        <v>600</v>
      </c>
      <c r="C129" s="853" t="s">
        <v>318</v>
      </c>
      <c r="D129" s="546">
        <v>10000000</v>
      </c>
      <c r="E129" s="534">
        <v>10000000</v>
      </c>
      <c r="F129" s="535"/>
      <c r="G129" s="536"/>
      <c r="H129" s="536"/>
      <c r="I129" s="500">
        <f t="shared" si="24"/>
        <v>0</v>
      </c>
      <c r="J129" s="534">
        <f t="shared" si="22"/>
        <v>10000000</v>
      </c>
      <c r="K129" s="534">
        <f t="shared" si="23"/>
        <v>250000</v>
      </c>
      <c r="L129" s="547"/>
      <c r="M129" s="512"/>
    </row>
    <row r="130" spans="1:13" ht="15.95" customHeight="1">
      <c r="A130" s="98">
        <f t="shared" si="25"/>
        <v>123</v>
      </c>
      <c r="B130" s="545" t="s">
        <v>485</v>
      </c>
      <c r="C130" s="853" t="s">
        <v>346</v>
      </c>
      <c r="D130" s="546">
        <v>15000000</v>
      </c>
      <c r="E130" s="534">
        <v>15000000</v>
      </c>
      <c r="F130" s="535"/>
      <c r="G130" s="536"/>
      <c r="H130" s="536"/>
      <c r="I130" s="500">
        <f t="shared" si="24"/>
        <v>0</v>
      </c>
      <c r="J130" s="534">
        <f t="shared" si="22"/>
        <v>15000000</v>
      </c>
      <c r="K130" s="534">
        <f t="shared" si="23"/>
        <v>375000</v>
      </c>
      <c r="L130" s="547"/>
      <c r="M130" s="512"/>
    </row>
    <row r="131" spans="1:13" ht="15.95" customHeight="1">
      <c r="A131" s="98">
        <f t="shared" si="25"/>
        <v>124</v>
      </c>
      <c r="B131" s="549" t="s">
        <v>617</v>
      </c>
      <c r="C131" s="498"/>
      <c r="D131" s="511">
        <v>11500000</v>
      </c>
      <c r="E131" s="62">
        <v>11000000</v>
      </c>
      <c r="F131" s="69"/>
      <c r="G131" s="500"/>
      <c r="H131" s="500"/>
      <c r="I131" s="500">
        <f t="shared" si="24"/>
        <v>0</v>
      </c>
      <c r="J131" s="534">
        <f t="shared" si="22"/>
        <v>11000000</v>
      </c>
      <c r="K131" s="534"/>
      <c r="L131" s="62"/>
      <c r="M131" s="512"/>
    </row>
    <row r="132" spans="1:13" ht="15.95" customHeight="1">
      <c r="A132" s="98">
        <f t="shared" si="25"/>
        <v>125</v>
      </c>
      <c r="B132" s="510" t="s">
        <v>618</v>
      </c>
      <c r="C132" s="498"/>
      <c r="D132" s="511">
        <v>16572000</v>
      </c>
      <c r="E132" s="62">
        <v>15772000</v>
      </c>
      <c r="F132" s="69"/>
      <c r="G132" s="500"/>
      <c r="H132" s="500"/>
      <c r="I132" s="500">
        <f t="shared" si="24"/>
        <v>0</v>
      </c>
      <c r="J132" s="534">
        <f t="shared" si="22"/>
        <v>15772000</v>
      </c>
      <c r="K132" s="534"/>
      <c r="L132" s="518"/>
      <c r="M132" s="519"/>
    </row>
    <row r="133" spans="1:13" ht="15.95" customHeight="1">
      <c r="A133" s="98">
        <f t="shared" si="25"/>
        <v>126</v>
      </c>
      <c r="B133" s="503" t="s">
        <v>619</v>
      </c>
      <c r="C133" s="498"/>
      <c r="D133" s="499">
        <v>4139170</v>
      </c>
      <c r="E133" s="62">
        <v>3389170</v>
      </c>
      <c r="F133" s="69"/>
      <c r="G133" s="500"/>
      <c r="H133" s="500"/>
      <c r="I133" s="500">
        <f t="shared" ref="I133:I161" si="26">G133+H133</f>
        <v>0</v>
      </c>
      <c r="J133" s="62">
        <f t="shared" ref="J133:J161" si="27">SUM(E133-G133)</f>
        <v>3389170</v>
      </c>
      <c r="K133" s="534"/>
      <c r="L133" s="514"/>
      <c r="M133" s="523"/>
    </row>
    <row r="134" spans="1:13" ht="15.95" customHeight="1">
      <c r="A134" s="98">
        <f t="shared" si="25"/>
        <v>127</v>
      </c>
      <c r="B134" s="503" t="s">
        <v>620</v>
      </c>
      <c r="C134" s="498"/>
      <c r="D134" s="499">
        <v>1275846</v>
      </c>
      <c r="E134" s="62">
        <v>975846</v>
      </c>
      <c r="F134" s="69"/>
      <c r="G134" s="500"/>
      <c r="H134" s="500"/>
      <c r="I134" s="500">
        <f t="shared" si="26"/>
        <v>0</v>
      </c>
      <c r="J134" s="62">
        <f t="shared" si="27"/>
        <v>975846</v>
      </c>
      <c r="K134" s="62"/>
      <c r="L134" s="514"/>
      <c r="M134" s="523"/>
    </row>
    <row r="135" spans="1:13" ht="15.95" customHeight="1">
      <c r="A135" s="98">
        <f t="shared" si="25"/>
        <v>128</v>
      </c>
      <c r="B135" s="550" t="s">
        <v>621</v>
      </c>
      <c r="C135" s="498"/>
      <c r="D135" s="499">
        <v>1000000</v>
      </c>
      <c r="E135" s="62">
        <v>850000</v>
      </c>
      <c r="F135" s="69"/>
      <c r="G135" s="500"/>
      <c r="H135" s="500"/>
      <c r="I135" s="500">
        <f t="shared" si="26"/>
        <v>0</v>
      </c>
      <c r="J135" s="62">
        <f t="shared" si="27"/>
        <v>850000</v>
      </c>
      <c r="K135" s="62"/>
      <c r="L135" s="514"/>
      <c r="M135" s="523"/>
    </row>
    <row r="136" spans="1:13" ht="15.95" customHeight="1">
      <c r="A136" s="98">
        <f t="shared" si="25"/>
        <v>129</v>
      </c>
      <c r="B136" s="550" t="s">
        <v>622</v>
      </c>
      <c r="C136" s="498"/>
      <c r="D136" s="499">
        <v>1432233</v>
      </c>
      <c r="E136" s="62">
        <v>1432233</v>
      </c>
      <c r="F136" s="69"/>
      <c r="G136" s="500"/>
      <c r="H136" s="500"/>
      <c r="I136" s="500">
        <f t="shared" si="26"/>
        <v>0</v>
      </c>
      <c r="J136" s="62">
        <f t="shared" si="27"/>
        <v>1432233</v>
      </c>
      <c r="K136" s="62"/>
      <c r="L136" s="504"/>
      <c r="M136" s="505"/>
    </row>
    <row r="137" spans="1:13" ht="15.95" customHeight="1">
      <c r="A137" s="98">
        <f t="shared" si="25"/>
        <v>130</v>
      </c>
      <c r="B137" s="551" t="s">
        <v>623</v>
      </c>
      <c r="C137" s="851" t="str">
        <f>C44</f>
        <v>06-12-2022</v>
      </c>
      <c r="D137" s="499">
        <v>2042787</v>
      </c>
      <c r="E137" s="508">
        <v>1742787</v>
      </c>
      <c r="F137" s="84"/>
      <c r="G137" s="509"/>
      <c r="H137" s="509"/>
      <c r="I137" s="500">
        <f t="shared" si="26"/>
        <v>0</v>
      </c>
      <c r="J137" s="508">
        <f t="shared" si="27"/>
        <v>1742787</v>
      </c>
      <c r="K137" s="508"/>
      <c r="L137" s="501"/>
      <c r="M137" s="529" t="s">
        <v>478</v>
      </c>
    </row>
    <row r="138" spans="1:13" ht="15.95" customHeight="1">
      <c r="A138" s="98">
        <f t="shared" si="25"/>
        <v>131</v>
      </c>
      <c r="B138" s="550" t="s">
        <v>624</v>
      </c>
      <c r="C138" s="498"/>
      <c r="D138" s="499">
        <v>1000000</v>
      </c>
      <c r="E138" s="62">
        <v>1000000</v>
      </c>
      <c r="F138" s="69"/>
      <c r="G138" s="500"/>
      <c r="H138" s="500"/>
      <c r="I138" s="500">
        <f t="shared" si="26"/>
        <v>0</v>
      </c>
      <c r="J138" s="62">
        <f t="shared" si="27"/>
        <v>1000000</v>
      </c>
      <c r="K138" s="62"/>
      <c r="L138" s="552"/>
      <c r="M138" s="553"/>
    </row>
    <row r="139" spans="1:13" ht="15.95" customHeight="1">
      <c r="A139" s="98">
        <f t="shared" si="25"/>
        <v>132</v>
      </c>
      <c r="B139" s="503" t="s">
        <v>625</v>
      </c>
      <c r="C139" s="498"/>
      <c r="D139" s="499">
        <v>980000</v>
      </c>
      <c r="E139" s="62">
        <v>430000</v>
      </c>
      <c r="F139" s="69"/>
      <c r="G139" s="500"/>
      <c r="H139" s="500"/>
      <c r="I139" s="500">
        <f t="shared" si="26"/>
        <v>0</v>
      </c>
      <c r="J139" s="62">
        <f t="shared" si="27"/>
        <v>430000</v>
      </c>
      <c r="K139" s="62"/>
      <c r="L139" s="504"/>
      <c r="M139" s="505"/>
    </row>
    <row r="140" spans="1:13" ht="15.95" customHeight="1">
      <c r="A140" s="98">
        <f t="shared" si="25"/>
        <v>133</v>
      </c>
      <c r="B140" s="503" t="s">
        <v>626</v>
      </c>
      <c r="C140" s="848" t="s">
        <v>627</v>
      </c>
      <c r="D140" s="499">
        <v>4149500</v>
      </c>
      <c r="E140" s="62">
        <v>3599500</v>
      </c>
      <c r="F140" s="69"/>
      <c r="G140" s="500"/>
      <c r="H140" s="500"/>
      <c r="I140" s="500">
        <f t="shared" si="26"/>
        <v>0</v>
      </c>
      <c r="J140" s="62">
        <f t="shared" si="27"/>
        <v>3599500</v>
      </c>
      <c r="K140" s="62"/>
      <c r="L140" s="514"/>
      <c r="M140" s="523"/>
    </row>
    <row r="141" spans="1:13" ht="15.95" customHeight="1">
      <c r="A141" s="98">
        <f t="shared" si="25"/>
        <v>134</v>
      </c>
      <c r="B141" s="503" t="s">
        <v>628</v>
      </c>
      <c r="C141" s="498"/>
      <c r="D141" s="499">
        <v>2000000</v>
      </c>
      <c r="E141" s="62">
        <v>750000</v>
      </c>
      <c r="F141" s="849" t="s">
        <v>363</v>
      </c>
      <c r="G141" s="500">
        <v>100000</v>
      </c>
      <c r="H141" s="500"/>
      <c r="I141" s="500">
        <f t="shared" si="26"/>
        <v>100000</v>
      </c>
      <c r="J141" s="62">
        <f t="shared" si="27"/>
        <v>650000</v>
      </c>
      <c r="K141" s="62"/>
      <c r="L141" s="514"/>
      <c r="M141" s="522" t="s">
        <v>478</v>
      </c>
    </row>
    <row r="142" spans="1:13" ht="15.95" customHeight="1">
      <c r="A142" s="98">
        <f t="shared" si="25"/>
        <v>135</v>
      </c>
      <c r="B142" s="551" t="s">
        <v>629</v>
      </c>
      <c r="C142" s="848" t="str">
        <f>C66</f>
        <v>10-04-2023</v>
      </c>
      <c r="D142" s="499">
        <v>2338380</v>
      </c>
      <c r="E142" s="62">
        <v>2338380</v>
      </c>
      <c r="F142" s="69"/>
      <c r="G142" s="500"/>
      <c r="H142" s="500"/>
      <c r="I142" s="500">
        <f t="shared" si="26"/>
        <v>0</v>
      </c>
      <c r="J142" s="62">
        <f t="shared" si="27"/>
        <v>2338380</v>
      </c>
      <c r="K142" s="62"/>
      <c r="L142" s="501"/>
      <c r="M142" s="502" t="s">
        <v>478</v>
      </c>
    </row>
    <row r="143" spans="1:13" ht="15.95" customHeight="1">
      <c r="A143" s="98">
        <f t="shared" si="25"/>
        <v>136</v>
      </c>
      <c r="B143" s="550" t="s">
        <v>630</v>
      </c>
      <c r="C143" s="498"/>
      <c r="D143" s="499">
        <v>2000000</v>
      </c>
      <c r="E143" s="62">
        <v>1850000</v>
      </c>
      <c r="F143" s="69"/>
      <c r="G143" s="500"/>
      <c r="H143" s="500"/>
      <c r="I143" s="500">
        <f t="shared" si="26"/>
        <v>0</v>
      </c>
      <c r="J143" s="62">
        <f t="shared" si="27"/>
        <v>1850000</v>
      </c>
      <c r="K143" s="62"/>
      <c r="L143" s="501"/>
      <c r="M143" s="502"/>
    </row>
    <row r="144" spans="1:13" ht="15.95" customHeight="1">
      <c r="A144" s="98">
        <f t="shared" si="25"/>
        <v>137</v>
      </c>
      <c r="B144" s="550" t="s">
        <v>631</v>
      </c>
      <c r="C144" s="498"/>
      <c r="D144" s="499">
        <v>5000000</v>
      </c>
      <c r="E144" s="62">
        <v>4500000</v>
      </c>
      <c r="F144" s="69"/>
      <c r="G144" s="500"/>
      <c r="H144" s="500"/>
      <c r="I144" s="500">
        <f t="shared" si="26"/>
        <v>0</v>
      </c>
      <c r="J144" s="62">
        <f t="shared" si="27"/>
        <v>4500000</v>
      </c>
      <c r="K144" s="62"/>
      <c r="L144" s="501"/>
      <c r="M144" s="502"/>
    </row>
    <row r="145" spans="1:13" ht="15.95" customHeight="1">
      <c r="A145" s="98">
        <f t="shared" si="25"/>
        <v>138</v>
      </c>
      <c r="B145" s="550" t="s">
        <v>632</v>
      </c>
      <c r="C145" s="498"/>
      <c r="D145" s="499">
        <v>2000000</v>
      </c>
      <c r="E145" s="62">
        <v>1970000</v>
      </c>
      <c r="F145" s="69"/>
      <c r="G145" s="500"/>
      <c r="H145" s="500"/>
      <c r="I145" s="500">
        <f t="shared" si="26"/>
        <v>0</v>
      </c>
      <c r="J145" s="62">
        <f t="shared" si="27"/>
        <v>1970000</v>
      </c>
      <c r="K145" s="62"/>
      <c r="L145" s="524"/>
      <c r="M145" s="502"/>
    </row>
    <row r="146" spans="1:13" ht="15.95" customHeight="1">
      <c r="A146" s="98">
        <f t="shared" si="25"/>
        <v>139</v>
      </c>
      <c r="B146" s="503" t="s">
        <v>633</v>
      </c>
      <c r="C146" s="498"/>
      <c r="D146" s="507">
        <v>815335</v>
      </c>
      <c r="E146" s="62">
        <v>434000</v>
      </c>
      <c r="F146" s="69"/>
      <c r="G146" s="500"/>
      <c r="H146" s="500"/>
      <c r="I146" s="500">
        <f t="shared" si="26"/>
        <v>0</v>
      </c>
      <c r="J146" s="62">
        <f t="shared" si="27"/>
        <v>434000</v>
      </c>
      <c r="K146" s="62"/>
      <c r="L146" s="501"/>
      <c r="M146" s="502"/>
    </row>
    <row r="147" spans="1:13" ht="15.95" customHeight="1">
      <c r="A147" s="98">
        <f t="shared" si="25"/>
        <v>140</v>
      </c>
      <c r="B147" s="550" t="s">
        <v>634</v>
      </c>
      <c r="C147" s="498"/>
      <c r="D147" s="499">
        <v>2000000</v>
      </c>
      <c r="E147" s="62">
        <v>2000000</v>
      </c>
      <c r="F147" s="69"/>
      <c r="G147" s="500"/>
      <c r="H147" s="500"/>
      <c r="I147" s="500">
        <f t="shared" si="26"/>
        <v>0</v>
      </c>
      <c r="J147" s="62">
        <f t="shared" si="27"/>
        <v>2000000</v>
      </c>
      <c r="K147" s="62"/>
      <c r="L147" s="501"/>
      <c r="M147" s="502"/>
    </row>
    <row r="148" spans="1:13" ht="15.95" customHeight="1">
      <c r="A148" s="98">
        <f t="shared" si="25"/>
        <v>141</v>
      </c>
      <c r="B148" s="550" t="s">
        <v>635</v>
      </c>
      <c r="C148" s="848" t="s">
        <v>636</v>
      </c>
      <c r="D148" s="499">
        <v>6793678</v>
      </c>
      <c r="E148" s="62">
        <v>6793678</v>
      </c>
      <c r="F148" s="69"/>
      <c r="G148" s="500"/>
      <c r="H148" s="500"/>
      <c r="I148" s="500">
        <f t="shared" si="26"/>
        <v>0</v>
      </c>
      <c r="J148" s="62">
        <f t="shared" si="27"/>
        <v>6793678</v>
      </c>
      <c r="K148" s="62"/>
      <c r="L148" s="501"/>
      <c r="M148" s="502"/>
    </row>
    <row r="149" spans="1:13" ht="15.95" customHeight="1">
      <c r="A149" s="98">
        <f t="shared" si="25"/>
        <v>142</v>
      </c>
      <c r="B149" s="554" t="s">
        <v>637</v>
      </c>
      <c r="C149" s="848" t="s">
        <v>636</v>
      </c>
      <c r="D149" s="555">
        <v>500000</v>
      </c>
      <c r="E149" s="62">
        <v>500000</v>
      </c>
      <c r="F149" s="69"/>
      <c r="G149" s="500"/>
      <c r="H149" s="500"/>
      <c r="I149" s="500">
        <f t="shared" si="26"/>
        <v>0</v>
      </c>
      <c r="J149" s="62">
        <f t="shared" si="27"/>
        <v>500000</v>
      </c>
      <c r="K149" s="62"/>
      <c r="L149" s="556"/>
      <c r="M149" s="557"/>
    </row>
    <row r="150" spans="1:13" ht="15.95" customHeight="1">
      <c r="A150" s="98">
        <f t="shared" si="25"/>
        <v>143</v>
      </c>
      <c r="B150" s="550" t="s">
        <v>638</v>
      </c>
      <c r="C150" s="848" t="str">
        <f>C149</f>
        <v>31-01-2019</v>
      </c>
      <c r="D150" s="499">
        <v>1000000</v>
      </c>
      <c r="E150" s="62">
        <v>1000000</v>
      </c>
      <c r="F150" s="69"/>
      <c r="G150" s="500"/>
      <c r="H150" s="500"/>
      <c r="I150" s="500">
        <f t="shared" si="26"/>
        <v>0</v>
      </c>
      <c r="J150" s="62">
        <f t="shared" si="27"/>
        <v>1000000</v>
      </c>
      <c r="K150" s="62"/>
      <c r="L150" s="501"/>
      <c r="M150" s="502"/>
    </row>
    <row r="151" spans="1:13" ht="15.95" customHeight="1">
      <c r="A151" s="98">
        <f t="shared" si="25"/>
        <v>144</v>
      </c>
      <c r="B151" s="550" t="s">
        <v>639</v>
      </c>
      <c r="C151" s="848" t="s">
        <v>640</v>
      </c>
      <c r="D151" s="499">
        <v>3000000</v>
      </c>
      <c r="E151" s="62">
        <v>2700000</v>
      </c>
      <c r="F151" s="69"/>
      <c r="G151" s="500"/>
      <c r="H151" s="500"/>
      <c r="I151" s="500">
        <f t="shared" si="26"/>
        <v>0</v>
      </c>
      <c r="J151" s="62">
        <f t="shared" si="27"/>
        <v>2700000</v>
      </c>
      <c r="K151" s="62"/>
      <c r="L151" s="501"/>
      <c r="M151" s="502"/>
    </row>
    <row r="152" spans="1:13" ht="15.95" customHeight="1">
      <c r="A152" s="98">
        <f t="shared" si="25"/>
        <v>145</v>
      </c>
      <c r="B152" s="497" t="s">
        <v>641</v>
      </c>
      <c r="C152" s="498"/>
      <c r="D152" s="499">
        <v>3500000</v>
      </c>
      <c r="E152" s="62">
        <v>2100000</v>
      </c>
      <c r="F152" s="69"/>
      <c r="G152" s="69"/>
      <c r="H152" s="500"/>
      <c r="I152" s="500">
        <f t="shared" si="26"/>
        <v>0</v>
      </c>
      <c r="J152" s="62">
        <f t="shared" si="27"/>
        <v>2100000</v>
      </c>
      <c r="K152" s="62"/>
      <c r="L152" s="524"/>
      <c r="M152" s="502"/>
    </row>
    <row r="153" spans="1:13" ht="15.95" customHeight="1">
      <c r="A153" s="98">
        <f t="shared" si="25"/>
        <v>146</v>
      </c>
      <c r="B153" s="551" t="s">
        <v>642</v>
      </c>
      <c r="C153" s="848" t="s">
        <v>643</v>
      </c>
      <c r="D153" s="499">
        <v>4842135</v>
      </c>
      <c r="E153" s="62">
        <v>4842135</v>
      </c>
      <c r="F153" s="69"/>
      <c r="G153" s="500"/>
      <c r="H153" s="500"/>
      <c r="I153" s="500">
        <f t="shared" si="26"/>
        <v>0</v>
      </c>
      <c r="J153" s="62">
        <f t="shared" si="27"/>
        <v>4842135</v>
      </c>
      <c r="K153" s="62"/>
      <c r="L153" s="524"/>
      <c r="M153" s="502"/>
    </row>
    <row r="154" spans="1:13" ht="15.95" customHeight="1">
      <c r="A154" s="98">
        <f t="shared" si="25"/>
        <v>147</v>
      </c>
      <c r="B154" s="551" t="s">
        <v>644</v>
      </c>
      <c r="C154" s="498"/>
      <c r="D154" s="499">
        <v>1893910</v>
      </c>
      <c r="E154" s="62">
        <v>1372615</v>
      </c>
      <c r="F154" s="69"/>
      <c r="G154" s="500"/>
      <c r="H154" s="500"/>
      <c r="I154" s="500">
        <f t="shared" si="26"/>
        <v>0</v>
      </c>
      <c r="J154" s="62">
        <f t="shared" si="27"/>
        <v>1372615</v>
      </c>
      <c r="K154" s="62"/>
      <c r="L154" s="501"/>
      <c r="M154" s="502" t="s">
        <v>478</v>
      </c>
    </row>
    <row r="155" spans="1:13" ht="15.95" customHeight="1">
      <c r="A155" s="98">
        <f t="shared" si="25"/>
        <v>148</v>
      </c>
      <c r="B155" s="497" t="s">
        <v>645</v>
      </c>
      <c r="C155" s="506"/>
      <c r="D155" s="499">
        <v>5000000</v>
      </c>
      <c r="E155" s="508">
        <v>4750000</v>
      </c>
      <c r="F155" s="84"/>
      <c r="G155" s="509"/>
      <c r="H155" s="509"/>
      <c r="I155" s="500">
        <f t="shared" si="26"/>
        <v>0</v>
      </c>
      <c r="J155" s="508">
        <f t="shared" si="27"/>
        <v>4750000</v>
      </c>
      <c r="K155" s="508"/>
      <c r="L155" s="501"/>
      <c r="M155" s="502"/>
    </row>
    <row r="156" spans="1:13" ht="15.95" customHeight="1">
      <c r="A156" s="98">
        <f t="shared" si="25"/>
        <v>149</v>
      </c>
      <c r="B156" s="497" t="s">
        <v>646</v>
      </c>
      <c r="C156" s="848" t="s">
        <v>647</v>
      </c>
      <c r="D156" s="499">
        <v>1500000</v>
      </c>
      <c r="E156" s="62">
        <v>1000000</v>
      </c>
      <c r="F156" s="69"/>
      <c r="G156" s="558"/>
      <c r="H156" s="500"/>
      <c r="I156" s="500">
        <f t="shared" si="26"/>
        <v>0</v>
      </c>
      <c r="J156" s="62">
        <f t="shared" si="27"/>
        <v>1000000</v>
      </c>
      <c r="K156" s="62"/>
      <c r="L156" s="501"/>
      <c r="M156" s="502"/>
    </row>
    <row r="157" spans="1:13" ht="15.95" customHeight="1">
      <c r="A157" s="98">
        <f t="shared" si="25"/>
        <v>150</v>
      </c>
      <c r="B157" s="551" t="s">
        <v>648</v>
      </c>
      <c r="C157" s="498"/>
      <c r="D157" s="499">
        <v>36500000</v>
      </c>
      <c r="E157" s="62">
        <v>36050000</v>
      </c>
      <c r="F157" s="69"/>
      <c r="G157" s="500"/>
      <c r="H157" s="500"/>
      <c r="I157" s="500">
        <f t="shared" si="26"/>
        <v>0</v>
      </c>
      <c r="J157" s="62">
        <f t="shared" si="27"/>
        <v>36050000</v>
      </c>
      <c r="K157" s="62"/>
      <c r="L157" s="501"/>
      <c r="M157" s="502"/>
    </row>
    <row r="158" spans="1:13" ht="15.95" customHeight="1">
      <c r="A158" s="98">
        <f t="shared" si="25"/>
        <v>151</v>
      </c>
      <c r="B158" s="551" t="s">
        <v>649</v>
      </c>
      <c r="C158" s="848" t="s">
        <v>650</v>
      </c>
      <c r="D158" s="499">
        <v>1400000</v>
      </c>
      <c r="E158" s="62">
        <v>1300000</v>
      </c>
      <c r="F158" s="69"/>
      <c r="G158" s="500"/>
      <c r="H158" s="500"/>
      <c r="I158" s="500">
        <f t="shared" si="26"/>
        <v>0</v>
      </c>
      <c r="J158" s="62">
        <f t="shared" si="27"/>
        <v>1300000</v>
      </c>
      <c r="K158" s="62"/>
      <c r="L158" s="501"/>
      <c r="M158" s="502"/>
    </row>
    <row r="159" spans="1:13" ht="15.95" customHeight="1">
      <c r="A159" s="98">
        <f t="shared" si="25"/>
        <v>152</v>
      </c>
      <c r="B159" s="551" t="s">
        <v>651</v>
      </c>
      <c r="C159" s="848" t="s">
        <v>652</v>
      </c>
      <c r="D159" s="499">
        <v>2329482</v>
      </c>
      <c r="E159" s="62">
        <v>2149482</v>
      </c>
      <c r="F159" s="849" t="s">
        <v>363</v>
      </c>
      <c r="G159" s="500">
        <v>50000</v>
      </c>
      <c r="H159" s="500"/>
      <c r="I159" s="500">
        <f t="shared" si="26"/>
        <v>50000</v>
      </c>
      <c r="J159" s="62">
        <f t="shared" si="27"/>
        <v>2099482</v>
      </c>
      <c r="K159" s="62"/>
      <c r="L159" s="501"/>
      <c r="M159" s="502"/>
    </row>
    <row r="160" spans="1:13" ht="15.95" customHeight="1">
      <c r="A160" s="98">
        <f t="shared" si="25"/>
        <v>153</v>
      </c>
      <c r="B160" s="497" t="s">
        <v>653</v>
      </c>
      <c r="C160" s="498"/>
      <c r="D160" s="499">
        <v>10000000</v>
      </c>
      <c r="E160" s="62">
        <v>9950000</v>
      </c>
      <c r="F160" s="69"/>
      <c r="G160" s="500"/>
      <c r="H160" s="500"/>
      <c r="I160" s="500">
        <f t="shared" si="26"/>
        <v>0</v>
      </c>
      <c r="J160" s="62">
        <f t="shared" si="27"/>
        <v>9950000</v>
      </c>
      <c r="K160" s="62"/>
      <c r="L160" s="501"/>
      <c r="M160" s="502" t="s">
        <v>478</v>
      </c>
    </row>
    <row r="161" spans="1:13" ht="15.95" customHeight="1">
      <c r="A161" s="98">
        <f t="shared" si="25"/>
        <v>154</v>
      </c>
      <c r="B161" s="551" t="s">
        <v>654</v>
      </c>
      <c r="C161" s="498"/>
      <c r="D161" s="499">
        <v>2897309</v>
      </c>
      <c r="E161" s="62">
        <v>1897309</v>
      </c>
      <c r="F161" s="69"/>
      <c r="G161" s="500"/>
      <c r="H161" s="500"/>
      <c r="I161" s="500">
        <f t="shared" si="26"/>
        <v>0</v>
      </c>
      <c r="J161" s="62">
        <f t="shared" si="27"/>
        <v>1897309</v>
      </c>
      <c r="K161" s="62"/>
      <c r="L161" s="524"/>
      <c r="M161" s="502"/>
    </row>
    <row r="162" spans="1:13" ht="15.95" customHeight="1">
      <c r="A162" s="559" t="s">
        <v>655</v>
      </c>
      <c r="B162" s="560"/>
      <c r="C162" s="561"/>
      <c r="D162" s="562">
        <f>SUM(D14:D102)</f>
        <v>402576270</v>
      </c>
      <c r="E162" s="563">
        <f>SUM(E14:E102)</f>
        <v>302046016</v>
      </c>
      <c r="F162" s="564"/>
      <c r="G162" s="564">
        <f>SUM(G8:G161)</f>
        <v>14465793</v>
      </c>
      <c r="H162" s="564">
        <f>SUM(H8:H161)</f>
        <v>7404097</v>
      </c>
      <c r="I162" s="558">
        <f>SUM(I8:I161)</f>
        <v>21869890</v>
      </c>
      <c r="J162" s="565">
        <f>SUM(J8:J161)</f>
        <v>608776475</v>
      </c>
      <c r="K162" s="565">
        <f>SUM(K14:K159)</f>
        <v>9138819.875</v>
      </c>
      <c r="L162" s="566">
        <f>SUM(L14:L161)</f>
        <v>14729121</v>
      </c>
      <c r="M162" s="502"/>
    </row>
    <row r="163" spans="1:13" ht="15.95" customHeight="1">
      <c r="A163" s="938" t="s">
        <v>656</v>
      </c>
      <c r="B163" s="939"/>
      <c r="C163" s="567"/>
      <c r="D163" s="568">
        <f t="shared" ref="D163:L163" si="28">D162</f>
        <v>402576270</v>
      </c>
      <c r="E163" s="569">
        <f>SUM(E162)</f>
        <v>302046016</v>
      </c>
      <c r="F163" s="570"/>
      <c r="G163" s="571">
        <f t="shared" si="28"/>
        <v>14465793</v>
      </c>
      <c r="H163" s="571">
        <f t="shared" si="28"/>
        <v>7404097</v>
      </c>
      <c r="I163" s="558">
        <f>G163+H163</f>
        <v>21869890</v>
      </c>
      <c r="J163" s="572">
        <f t="shared" si="28"/>
        <v>608776475</v>
      </c>
      <c r="K163" s="572">
        <f t="shared" si="28"/>
        <v>9138819.875</v>
      </c>
      <c r="L163" s="573">
        <f t="shared" si="28"/>
        <v>14729121</v>
      </c>
      <c r="M163" s="574"/>
    </row>
    <row r="164" spans="1:13" ht="15.95" customHeight="1">
      <c r="A164" s="940" t="s">
        <v>657</v>
      </c>
      <c r="B164" s="941"/>
      <c r="C164" s="575"/>
      <c r="D164" s="576">
        <f t="shared" ref="D164:L164" si="29">D163</f>
        <v>402576270</v>
      </c>
      <c r="E164" s="577">
        <f t="shared" si="29"/>
        <v>302046016</v>
      </c>
      <c r="F164" s="578"/>
      <c r="G164" s="578">
        <f t="shared" si="29"/>
        <v>14465793</v>
      </c>
      <c r="H164" s="578">
        <f t="shared" si="29"/>
        <v>7404097</v>
      </c>
      <c r="I164" s="558">
        <f>G164+H164</f>
        <v>21869890</v>
      </c>
      <c r="J164" s="579">
        <f>J163</f>
        <v>608776475</v>
      </c>
      <c r="K164" s="579">
        <f t="shared" si="29"/>
        <v>9138819.875</v>
      </c>
      <c r="L164" s="580">
        <f t="shared" si="29"/>
        <v>14729121</v>
      </c>
      <c r="M164" s="581"/>
    </row>
    <row r="165" spans="1:13">
      <c r="A165" s="49"/>
      <c r="B165" s="582"/>
      <c r="C165" s="583"/>
      <c r="D165" s="584"/>
      <c r="E165" s="583"/>
      <c r="F165" s="886"/>
      <c r="G165" s="886"/>
      <c r="H165" s="516"/>
      <c r="I165" s="516"/>
      <c r="J165" s="583"/>
      <c r="K165" s="583"/>
      <c r="L165" s="74"/>
      <c r="M165" s="585"/>
    </row>
    <row r="166" spans="1:13">
      <c r="A166" s="886" t="s">
        <v>658</v>
      </c>
      <c r="B166" s="886"/>
      <c r="C166" s="886"/>
      <c r="D166" s="934"/>
      <c r="E166" s="886"/>
      <c r="F166" s="886"/>
      <c r="G166" s="886"/>
      <c r="H166" s="886"/>
      <c r="I166" s="886"/>
      <c r="J166" s="886"/>
      <c r="K166" s="886"/>
      <c r="L166" s="886"/>
      <c r="M166" s="886"/>
    </row>
    <row r="167" spans="1:13">
      <c r="A167" s="52"/>
      <c r="B167" s="886" t="s">
        <v>429</v>
      </c>
      <c r="C167" s="886"/>
      <c r="D167" s="73"/>
      <c r="E167" s="74"/>
      <c r="F167" s="886" t="s">
        <v>659</v>
      </c>
      <c r="G167" s="886"/>
      <c r="H167" s="886"/>
      <c r="I167" s="74"/>
      <c r="J167" s="74"/>
      <c r="K167" s="886" t="s">
        <v>428</v>
      </c>
      <c r="L167" s="886"/>
      <c r="M167" s="73"/>
    </row>
    <row r="168" spans="1:13">
      <c r="A168" s="52"/>
      <c r="B168" s="886" t="s">
        <v>660</v>
      </c>
      <c r="C168" s="886"/>
      <c r="D168" s="73"/>
      <c r="E168" s="74"/>
      <c r="F168" s="886" t="s">
        <v>661</v>
      </c>
      <c r="G168" s="886"/>
      <c r="H168" s="886"/>
      <c r="J168" s="74"/>
      <c r="K168" s="886" t="s">
        <v>115</v>
      </c>
      <c r="L168" s="886"/>
      <c r="M168" s="586"/>
    </row>
    <row r="169" spans="1:13">
      <c r="A169" s="52"/>
      <c r="B169" s="74"/>
      <c r="C169" s="75"/>
      <c r="D169" s="76"/>
      <c r="E169" s="77"/>
      <c r="F169" s="78"/>
      <c r="G169" s="75"/>
      <c r="H169" s="75"/>
      <c r="J169" s="51"/>
      <c r="K169" s="51"/>
      <c r="L169" s="51"/>
      <c r="M169" s="586"/>
    </row>
    <row r="170" spans="1:13">
      <c r="A170" s="52"/>
      <c r="B170" s="75"/>
      <c r="C170" s="79"/>
      <c r="D170" s="80"/>
      <c r="E170" s="79"/>
      <c r="G170" s="75"/>
      <c r="H170" s="75"/>
      <c r="J170" s="51"/>
      <c r="K170" s="51"/>
      <c r="L170" s="51"/>
      <c r="M170" s="586"/>
    </row>
    <row r="171" spans="1:13">
      <c r="A171" s="52"/>
      <c r="B171" s="75"/>
      <c r="C171" s="79"/>
      <c r="D171" s="80"/>
      <c r="E171" s="79"/>
      <c r="G171" s="75"/>
      <c r="H171" s="75"/>
      <c r="J171" s="51"/>
      <c r="K171" s="51"/>
      <c r="L171" s="51"/>
      <c r="M171" s="586"/>
    </row>
    <row r="172" spans="1:13">
      <c r="A172" s="52"/>
      <c r="B172" s="942" t="s">
        <v>662</v>
      </c>
      <c r="C172" s="942"/>
      <c r="F172" s="943" t="s">
        <v>177</v>
      </c>
      <c r="G172" s="943"/>
      <c r="H172" s="943"/>
      <c r="I172" s="74"/>
      <c r="K172" s="942" t="s">
        <v>117</v>
      </c>
      <c r="L172" s="942"/>
      <c r="M172" s="587"/>
    </row>
  </sheetData>
  <mergeCells count="29">
    <mergeCell ref="J5:K6"/>
    <mergeCell ref="B168:C168"/>
    <mergeCell ref="F168:H168"/>
    <mergeCell ref="K168:L168"/>
    <mergeCell ref="B172:C172"/>
    <mergeCell ref="F172:H172"/>
    <mergeCell ref="K172:L172"/>
    <mergeCell ref="A164:B164"/>
    <mergeCell ref="F165:G165"/>
    <mergeCell ref="A166:M166"/>
    <mergeCell ref="B167:C167"/>
    <mergeCell ref="F167:H167"/>
    <mergeCell ref="K167:L167"/>
    <mergeCell ref="A2:M2"/>
    <mergeCell ref="A3:M3"/>
    <mergeCell ref="A4:B4"/>
    <mergeCell ref="E5:H5"/>
    <mergeCell ref="A163:B163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</mergeCells>
  <pageMargins left="0.45833333333333298" right="0.75" top="0.66666666666666696" bottom="0.56944444444444398" header="0.5" footer="0.5"/>
  <pageSetup paperSize="5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5"/>
  <sheetViews>
    <sheetView view="pageLayout" topLeftCell="B3" zoomScale="80" zoomScaleNormal="100" zoomScalePageLayoutView="80" workbookViewId="0">
      <selection activeCell="O41" sqref="O41"/>
    </sheetView>
  </sheetViews>
  <sheetFormatPr defaultColWidth="9" defaultRowHeight="15"/>
  <cols>
    <col min="1" max="1" width="3.5703125" style="427" customWidth="1"/>
    <col min="2" max="2" width="9.5703125" style="428" customWidth="1"/>
    <col min="3" max="3" width="16.5703125" style="427" customWidth="1"/>
    <col min="4" max="4" width="15.140625" style="427" customWidth="1"/>
    <col min="5" max="5" width="10.7109375" style="427" customWidth="1"/>
    <col min="6" max="6" width="11.28515625" style="427" customWidth="1"/>
    <col min="7" max="9" width="11.42578125" style="427" customWidth="1"/>
    <col min="10" max="10" width="4.85546875" style="427" customWidth="1"/>
    <col min="11" max="11" width="3.28515625" style="427" customWidth="1"/>
    <col min="12" max="12" width="10" style="427" customWidth="1"/>
    <col min="13" max="13" width="11.140625" style="427" customWidth="1"/>
    <col min="14" max="14" width="10.85546875" style="427" customWidth="1"/>
    <col min="15" max="15" width="11.140625" style="427" customWidth="1"/>
    <col min="16" max="16" width="11.42578125" style="427" customWidth="1"/>
    <col min="17" max="17" width="11.140625" style="427" customWidth="1"/>
    <col min="18" max="18" width="10.7109375" style="427" customWidth="1"/>
    <col min="19" max="19" width="21.7109375" style="427" customWidth="1"/>
    <col min="20" max="20" width="14.28515625" style="427" customWidth="1"/>
    <col min="21" max="21" width="12.140625" style="427" customWidth="1"/>
    <col min="22" max="22" width="14.42578125" style="427" customWidth="1"/>
    <col min="23" max="23" width="12.5703125" style="427" customWidth="1"/>
    <col min="24" max="24" width="14.140625" style="427" customWidth="1"/>
    <col min="25" max="25" width="11.85546875" style="427" customWidth="1"/>
    <col min="26" max="16384" width="9" style="427"/>
  </cols>
  <sheetData>
    <row r="1" spans="1:23">
      <c r="A1" s="957" t="s">
        <v>663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429"/>
      <c r="S1" s="429"/>
      <c r="T1" s="430"/>
      <c r="U1" s="430"/>
      <c r="V1" s="430"/>
      <c r="W1" s="430"/>
    </row>
    <row r="2" spans="1:23">
      <c r="A2" s="958" t="s">
        <v>664</v>
      </c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432"/>
      <c r="S2" s="432"/>
      <c r="T2" s="430"/>
      <c r="U2" s="430"/>
      <c r="V2" s="430"/>
      <c r="W2" s="430"/>
    </row>
    <row r="3" spans="1:23" ht="15.75" customHeight="1">
      <c r="A3" s="965" t="s">
        <v>439</v>
      </c>
      <c r="B3" s="966" t="s">
        <v>665</v>
      </c>
      <c r="C3" s="967" t="s">
        <v>666</v>
      </c>
      <c r="D3" s="967" t="s">
        <v>667</v>
      </c>
      <c r="E3" s="968" t="s">
        <v>668</v>
      </c>
      <c r="F3" s="968" t="s">
        <v>669</v>
      </c>
      <c r="G3" s="970" t="s">
        <v>670</v>
      </c>
      <c r="H3" s="959" t="s">
        <v>443</v>
      </c>
      <c r="I3" s="960"/>
      <c r="J3" s="971" t="s">
        <v>671</v>
      </c>
      <c r="K3" s="961" t="s">
        <v>672</v>
      </c>
      <c r="L3" s="961"/>
      <c r="M3" s="961"/>
      <c r="N3" s="961"/>
      <c r="O3" s="961"/>
      <c r="P3" s="962" t="s">
        <v>673</v>
      </c>
      <c r="Q3" s="962"/>
      <c r="R3" s="430"/>
      <c r="S3" s="430"/>
      <c r="T3" s="430"/>
      <c r="U3" s="430"/>
      <c r="V3" s="430"/>
      <c r="W3" s="430"/>
    </row>
    <row r="4" spans="1:23">
      <c r="A4" s="965"/>
      <c r="B4" s="966"/>
      <c r="C4" s="967"/>
      <c r="D4" s="967"/>
      <c r="E4" s="969"/>
      <c r="F4" s="969"/>
      <c r="G4" s="970"/>
      <c r="H4" s="433" t="s">
        <v>447</v>
      </c>
      <c r="I4" s="436" t="s">
        <v>674</v>
      </c>
      <c r="J4" s="971"/>
      <c r="K4" s="434" t="s">
        <v>675</v>
      </c>
      <c r="L4" s="434" t="s">
        <v>676</v>
      </c>
      <c r="M4" s="434" t="s">
        <v>677</v>
      </c>
      <c r="N4" s="434" t="s">
        <v>678</v>
      </c>
      <c r="O4" s="434" t="s">
        <v>679</v>
      </c>
      <c r="P4" s="435" t="s">
        <v>680</v>
      </c>
      <c r="Q4" s="435" t="s">
        <v>678</v>
      </c>
      <c r="R4" s="437"/>
      <c r="S4" s="430"/>
      <c r="T4" s="430"/>
      <c r="U4" s="430"/>
      <c r="V4" s="430"/>
      <c r="W4" s="430"/>
    </row>
    <row r="5" spans="1:23" ht="15.95" customHeight="1">
      <c r="A5" s="438">
        <v>1</v>
      </c>
      <c r="B5" s="439"/>
      <c r="C5" s="440" t="s">
        <v>633</v>
      </c>
      <c r="D5" s="441" t="s">
        <v>681</v>
      </c>
      <c r="E5" s="442">
        <v>3700000</v>
      </c>
      <c r="F5" s="442">
        <v>800000</v>
      </c>
      <c r="G5" s="442">
        <f t="shared" ref="G5:G34" si="0">SUM(E5+F5)</f>
        <v>4500000</v>
      </c>
      <c r="H5" s="442">
        <v>3125000</v>
      </c>
      <c r="I5" s="442">
        <v>550000</v>
      </c>
      <c r="J5" s="443">
        <v>20</v>
      </c>
      <c r="K5" s="443">
        <v>4</v>
      </c>
      <c r="L5" s="443"/>
      <c r="M5" s="442"/>
      <c r="N5" s="442"/>
      <c r="O5" s="442"/>
      <c r="P5" s="442">
        <f t="shared" ref="P5:P34" si="1">SUM(H5-M5)</f>
        <v>3125000</v>
      </c>
      <c r="Q5" s="442">
        <f t="shared" ref="Q5:Q12" si="2">SUM(I5-N5)</f>
        <v>550000</v>
      </c>
      <c r="R5" s="444"/>
      <c r="S5" s="444"/>
      <c r="T5" s="430"/>
      <c r="U5" s="430"/>
      <c r="V5" s="430"/>
      <c r="W5" s="430"/>
    </row>
    <row r="6" spans="1:23" ht="15.95" customHeight="1">
      <c r="A6" s="438">
        <f t="shared" ref="A6:A42" si="3">A5+1</f>
        <v>2</v>
      </c>
      <c r="B6" s="445"/>
      <c r="C6" s="446" t="s">
        <v>682</v>
      </c>
      <c r="D6" s="446" t="s">
        <v>683</v>
      </c>
      <c r="E6" s="447">
        <v>3000000</v>
      </c>
      <c r="F6" s="447">
        <v>600000</v>
      </c>
      <c r="G6" s="442">
        <f t="shared" si="0"/>
        <v>3600000</v>
      </c>
      <c r="H6" s="447">
        <v>175000</v>
      </c>
      <c r="I6" s="447">
        <v>0</v>
      </c>
      <c r="J6" s="448">
        <v>20</v>
      </c>
      <c r="K6" s="448">
        <v>19</v>
      </c>
      <c r="L6" s="448"/>
      <c r="M6" s="447"/>
      <c r="N6" s="447"/>
      <c r="O6" s="447">
        <f t="shared" ref="O6:O34" si="4">M6+N6</f>
        <v>0</v>
      </c>
      <c r="P6" s="442">
        <f t="shared" si="1"/>
        <v>175000</v>
      </c>
      <c r="Q6" s="442">
        <f t="shared" si="2"/>
        <v>0</v>
      </c>
      <c r="R6" s="444"/>
      <c r="S6" s="437"/>
      <c r="T6" s="430"/>
      <c r="U6" s="430"/>
      <c r="V6" s="430"/>
      <c r="W6" s="430"/>
    </row>
    <row r="7" spans="1:23" ht="15.95" customHeight="1">
      <c r="A7" s="438">
        <f t="shared" si="3"/>
        <v>3</v>
      </c>
      <c r="B7" s="449"/>
      <c r="C7" s="449" t="s">
        <v>684</v>
      </c>
      <c r="D7" s="449" t="s">
        <v>685</v>
      </c>
      <c r="E7" s="450">
        <v>10282500</v>
      </c>
      <c r="F7" s="450">
        <v>1338000</v>
      </c>
      <c r="G7" s="442">
        <f t="shared" si="0"/>
        <v>11620500</v>
      </c>
      <c r="H7" s="447">
        <v>2438106</v>
      </c>
      <c r="I7" s="447">
        <v>0</v>
      </c>
      <c r="J7" s="451">
        <v>30</v>
      </c>
      <c r="K7" s="451">
        <v>21</v>
      </c>
      <c r="L7" s="451"/>
      <c r="M7" s="450"/>
      <c r="N7" s="450"/>
      <c r="O7" s="450">
        <f t="shared" si="4"/>
        <v>0</v>
      </c>
      <c r="P7" s="442">
        <f t="shared" si="1"/>
        <v>2438106</v>
      </c>
      <c r="Q7" s="442">
        <f t="shared" si="2"/>
        <v>0</v>
      </c>
      <c r="R7" s="444">
        <v>639075</v>
      </c>
      <c r="S7" s="437"/>
      <c r="T7" s="437"/>
      <c r="U7" s="452"/>
      <c r="V7" s="430"/>
      <c r="W7" s="430"/>
    </row>
    <row r="8" spans="1:23" ht="15.95" customHeight="1">
      <c r="A8" s="438">
        <f t="shared" si="3"/>
        <v>4</v>
      </c>
      <c r="B8" s="449"/>
      <c r="C8" s="453" t="s">
        <v>379</v>
      </c>
      <c r="D8" s="449" t="s">
        <v>686</v>
      </c>
      <c r="E8" s="450">
        <v>2450000</v>
      </c>
      <c r="F8" s="450">
        <v>298000</v>
      </c>
      <c r="G8" s="442">
        <f t="shared" si="0"/>
        <v>2748000</v>
      </c>
      <c r="H8" s="447">
        <v>942000</v>
      </c>
      <c r="I8" s="447">
        <v>124168</v>
      </c>
      <c r="J8" s="451">
        <v>12</v>
      </c>
      <c r="K8" s="451">
        <v>8</v>
      </c>
      <c r="L8" s="451"/>
      <c r="M8" s="450"/>
      <c r="N8" s="450"/>
      <c r="O8" s="450">
        <f t="shared" si="4"/>
        <v>0</v>
      </c>
      <c r="P8" s="442">
        <f t="shared" si="1"/>
        <v>942000</v>
      </c>
      <c r="Q8" s="442">
        <f t="shared" si="2"/>
        <v>124168</v>
      </c>
      <c r="R8" s="444"/>
      <c r="S8" s="444"/>
      <c r="T8" s="437"/>
      <c r="U8" s="430"/>
      <c r="V8" s="430"/>
      <c r="W8" s="430"/>
    </row>
    <row r="9" spans="1:23" ht="15.95" customHeight="1">
      <c r="A9" s="438">
        <f t="shared" si="3"/>
        <v>5</v>
      </c>
      <c r="B9" s="449"/>
      <c r="C9" s="453" t="s">
        <v>687</v>
      </c>
      <c r="D9" s="449" t="s">
        <v>688</v>
      </c>
      <c r="E9" s="450">
        <v>4000000</v>
      </c>
      <c r="F9" s="450">
        <v>400000</v>
      </c>
      <c r="G9" s="442">
        <f t="shared" si="0"/>
        <v>4400000</v>
      </c>
      <c r="H9" s="447">
        <v>1200000</v>
      </c>
      <c r="I9" s="447">
        <v>120000</v>
      </c>
      <c r="J9" s="451">
        <v>10</v>
      </c>
      <c r="K9" s="451">
        <v>8</v>
      </c>
      <c r="L9" s="451"/>
      <c r="M9" s="450"/>
      <c r="N9" s="450"/>
      <c r="O9" s="450">
        <f t="shared" si="4"/>
        <v>0</v>
      </c>
      <c r="P9" s="442">
        <f t="shared" si="1"/>
        <v>1200000</v>
      </c>
      <c r="Q9" s="442">
        <f t="shared" si="2"/>
        <v>120000</v>
      </c>
      <c r="R9" s="444"/>
      <c r="S9" s="437"/>
      <c r="T9" s="437"/>
      <c r="U9" s="437"/>
      <c r="V9" s="430"/>
      <c r="W9" s="430"/>
    </row>
    <row r="10" spans="1:23" ht="15.95" customHeight="1">
      <c r="A10" s="438">
        <f t="shared" si="3"/>
        <v>6</v>
      </c>
      <c r="B10" s="449"/>
      <c r="C10" s="453" t="s">
        <v>689</v>
      </c>
      <c r="D10" s="449" t="s">
        <v>690</v>
      </c>
      <c r="E10" s="450">
        <v>1650000</v>
      </c>
      <c r="F10" s="450">
        <v>200000</v>
      </c>
      <c r="G10" s="442">
        <f t="shared" si="0"/>
        <v>1850000</v>
      </c>
      <c r="H10" s="447">
        <v>1320000</v>
      </c>
      <c r="I10" s="447">
        <v>160000</v>
      </c>
      <c r="J10" s="451">
        <v>10</v>
      </c>
      <c r="K10" s="451">
        <v>4</v>
      </c>
      <c r="L10" s="451"/>
      <c r="M10" s="450"/>
      <c r="N10" s="450"/>
      <c r="O10" s="450">
        <f t="shared" si="4"/>
        <v>0</v>
      </c>
      <c r="P10" s="442">
        <f t="shared" si="1"/>
        <v>1320000</v>
      </c>
      <c r="Q10" s="442">
        <f t="shared" si="2"/>
        <v>160000</v>
      </c>
      <c r="R10" s="444"/>
      <c r="S10" s="437"/>
      <c r="T10" s="444"/>
      <c r="U10" s="430"/>
      <c r="V10" s="430"/>
      <c r="W10" s="430"/>
    </row>
    <row r="11" spans="1:23" ht="15.95" customHeight="1">
      <c r="A11" s="438">
        <f t="shared" si="3"/>
        <v>7</v>
      </c>
      <c r="B11" s="449"/>
      <c r="C11" s="453" t="s">
        <v>691</v>
      </c>
      <c r="D11" s="449" t="s">
        <v>692</v>
      </c>
      <c r="E11" s="450">
        <v>2900000</v>
      </c>
      <c r="F11" s="450">
        <v>400000</v>
      </c>
      <c r="G11" s="442">
        <f t="shared" si="0"/>
        <v>3300000</v>
      </c>
      <c r="H11" s="447">
        <v>1208332</v>
      </c>
      <c r="I11" s="447">
        <v>166668</v>
      </c>
      <c r="J11" s="451">
        <v>12</v>
      </c>
      <c r="K11" s="451">
        <v>6</v>
      </c>
      <c r="L11" s="451"/>
      <c r="M11" s="450"/>
      <c r="N11" s="450"/>
      <c r="O11" s="450">
        <f t="shared" si="4"/>
        <v>0</v>
      </c>
      <c r="P11" s="442">
        <f t="shared" si="1"/>
        <v>1208332</v>
      </c>
      <c r="Q11" s="442">
        <f t="shared" si="2"/>
        <v>166668</v>
      </c>
      <c r="R11" s="444"/>
      <c r="S11" s="437"/>
      <c r="T11" s="437"/>
      <c r="U11" s="430"/>
      <c r="V11" s="430"/>
      <c r="W11" s="430"/>
    </row>
    <row r="12" spans="1:23" ht="15.95" customHeight="1">
      <c r="A12" s="438">
        <f t="shared" si="3"/>
        <v>8</v>
      </c>
      <c r="B12" s="449"/>
      <c r="C12" s="453" t="s">
        <v>693</v>
      </c>
      <c r="D12" s="449" t="s">
        <v>694</v>
      </c>
      <c r="E12" s="450">
        <v>2250000</v>
      </c>
      <c r="F12" s="450">
        <v>250000</v>
      </c>
      <c r="G12" s="442">
        <f t="shared" si="0"/>
        <v>2500000</v>
      </c>
      <c r="H12" s="447">
        <v>895000</v>
      </c>
      <c r="I12" s="447">
        <v>100000</v>
      </c>
      <c r="J12" s="451">
        <v>10</v>
      </c>
      <c r="K12" s="451">
        <v>6</v>
      </c>
      <c r="L12" s="451"/>
      <c r="M12" s="450"/>
      <c r="N12" s="450"/>
      <c r="O12" s="450">
        <f t="shared" si="4"/>
        <v>0</v>
      </c>
      <c r="P12" s="442">
        <f t="shared" si="1"/>
        <v>895000</v>
      </c>
      <c r="Q12" s="442">
        <f t="shared" si="2"/>
        <v>100000</v>
      </c>
      <c r="R12" s="444"/>
      <c r="S12" s="430"/>
      <c r="T12" s="437"/>
      <c r="U12" s="430"/>
      <c r="V12" s="430"/>
      <c r="W12" s="430"/>
    </row>
    <row r="13" spans="1:23" ht="15.95" customHeight="1">
      <c r="A13" s="438">
        <f t="shared" si="3"/>
        <v>9</v>
      </c>
      <c r="B13" s="453" t="e">
        <f>#REF!</f>
        <v>#REF!</v>
      </c>
      <c r="C13" s="446" t="s">
        <v>695</v>
      </c>
      <c r="D13" s="453" t="s">
        <v>696</v>
      </c>
      <c r="E13" s="454">
        <v>15000000</v>
      </c>
      <c r="F13" s="454">
        <v>6000000</v>
      </c>
      <c r="G13" s="447">
        <f t="shared" si="0"/>
        <v>21000000</v>
      </c>
      <c r="H13" s="454">
        <v>13925000</v>
      </c>
      <c r="I13" s="454"/>
      <c r="J13" s="455">
        <v>40</v>
      </c>
      <c r="K13" s="455">
        <v>2</v>
      </c>
      <c r="L13" s="448"/>
      <c r="M13" s="447"/>
      <c r="N13" s="454"/>
      <c r="O13" s="454">
        <f t="shared" si="4"/>
        <v>0</v>
      </c>
      <c r="P13" s="447">
        <f t="shared" si="1"/>
        <v>13925000</v>
      </c>
      <c r="Q13" s="447"/>
      <c r="R13" s="444"/>
      <c r="S13" s="430"/>
      <c r="T13" s="437"/>
      <c r="U13" s="430"/>
      <c r="V13" s="430"/>
      <c r="W13" s="430"/>
    </row>
    <row r="14" spans="1:23" ht="15.95" customHeight="1">
      <c r="A14" s="438">
        <f t="shared" si="3"/>
        <v>10</v>
      </c>
      <c r="B14" s="860" t="s">
        <v>697</v>
      </c>
      <c r="C14" s="456" t="s">
        <v>698</v>
      </c>
      <c r="D14" s="456" t="s">
        <v>699</v>
      </c>
      <c r="E14" s="457">
        <v>5000000</v>
      </c>
      <c r="F14" s="457">
        <v>450000</v>
      </c>
      <c r="G14" s="458">
        <f t="shared" si="0"/>
        <v>5450000</v>
      </c>
      <c r="H14" s="457">
        <v>5000000</v>
      </c>
      <c r="I14" s="457">
        <v>450000</v>
      </c>
      <c r="J14" s="459">
        <v>3</v>
      </c>
      <c r="K14" s="459">
        <v>3</v>
      </c>
      <c r="L14" s="861" t="s">
        <v>318</v>
      </c>
      <c r="M14" s="458">
        <v>5000000</v>
      </c>
      <c r="N14" s="458"/>
      <c r="O14" s="458">
        <f t="shared" si="4"/>
        <v>5000000</v>
      </c>
      <c r="P14" s="458">
        <f t="shared" si="1"/>
        <v>0</v>
      </c>
      <c r="Q14" s="458"/>
      <c r="R14" s="444"/>
      <c r="S14" s="430"/>
      <c r="T14" s="437"/>
      <c r="U14" s="430"/>
      <c r="V14" s="430"/>
      <c r="W14" s="430"/>
    </row>
    <row r="15" spans="1:23" ht="15.95" customHeight="1">
      <c r="A15" s="461">
        <f t="shared" si="3"/>
        <v>11</v>
      </c>
      <c r="B15" s="449"/>
      <c r="C15" s="462" t="s">
        <v>700</v>
      </c>
      <c r="D15" s="463" t="s">
        <v>690</v>
      </c>
      <c r="E15" s="464">
        <v>1650000</v>
      </c>
      <c r="F15" s="464">
        <v>200000</v>
      </c>
      <c r="G15" s="458">
        <f t="shared" si="0"/>
        <v>1850000</v>
      </c>
      <c r="H15" s="458">
        <v>179000</v>
      </c>
      <c r="I15" s="458">
        <v>0</v>
      </c>
      <c r="J15" s="465">
        <v>10</v>
      </c>
      <c r="K15" s="465">
        <v>8</v>
      </c>
      <c r="L15" s="862" t="s">
        <v>363</v>
      </c>
      <c r="M15" s="464">
        <v>179000</v>
      </c>
      <c r="N15" s="464"/>
      <c r="O15" s="457">
        <f t="shared" si="4"/>
        <v>179000</v>
      </c>
      <c r="P15" s="458">
        <f t="shared" si="1"/>
        <v>0</v>
      </c>
      <c r="Q15" s="458">
        <f t="shared" ref="Q15:Q22" si="5">SUM(I15-N15)</f>
        <v>0</v>
      </c>
      <c r="R15" s="444"/>
      <c r="S15" s="430"/>
      <c r="T15" s="430"/>
      <c r="U15" s="430"/>
      <c r="V15" s="430"/>
      <c r="W15" s="430"/>
    </row>
    <row r="16" spans="1:23" ht="15.95" customHeight="1">
      <c r="A16" s="461">
        <f t="shared" si="3"/>
        <v>12</v>
      </c>
      <c r="B16" s="449"/>
      <c r="C16" s="449" t="s">
        <v>701</v>
      </c>
      <c r="D16" s="449" t="s">
        <v>702</v>
      </c>
      <c r="E16" s="450">
        <v>2875000</v>
      </c>
      <c r="F16" s="450">
        <v>365000</v>
      </c>
      <c r="G16" s="447">
        <f t="shared" si="0"/>
        <v>3240000</v>
      </c>
      <c r="H16" s="447">
        <v>409170</v>
      </c>
      <c r="I16" s="447">
        <v>50832</v>
      </c>
      <c r="J16" s="451">
        <v>12</v>
      </c>
      <c r="K16" s="451">
        <v>11</v>
      </c>
      <c r="L16" s="451"/>
      <c r="M16" s="450"/>
      <c r="N16" s="450"/>
      <c r="O16" s="454">
        <f t="shared" si="4"/>
        <v>0</v>
      </c>
      <c r="P16" s="447">
        <f t="shared" si="1"/>
        <v>409170</v>
      </c>
      <c r="Q16" s="447">
        <f t="shared" si="5"/>
        <v>50832</v>
      </c>
      <c r="R16" s="444"/>
      <c r="S16" s="437"/>
      <c r="T16" s="430"/>
      <c r="U16" s="430"/>
      <c r="V16" s="430"/>
      <c r="W16" s="430"/>
    </row>
    <row r="17" spans="1:23" ht="15.95" customHeight="1">
      <c r="A17" s="461">
        <f t="shared" si="3"/>
        <v>13</v>
      </c>
      <c r="B17" s="449"/>
      <c r="C17" s="449" t="s">
        <v>703</v>
      </c>
      <c r="D17" s="449" t="s">
        <v>704</v>
      </c>
      <c r="E17" s="450">
        <v>3800000</v>
      </c>
      <c r="F17" s="450">
        <v>460000</v>
      </c>
      <c r="G17" s="447">
        <f t="shared" si="0"/>
        <v>4260000</v>
      </c>
      <c r="H17" s="447">
        <v>2381666</v>
      </c>
      <c r="I17" s="447">
        <v>218334</v>
      </c>
      <c r="J17" s="451">
        <v>12</v>
      </c>
      <c r="K17" s="451">
        <v>4</v>
      </c>
      <c r="L17" s="451"/>
      <c r="M17" s="450"/>
      <c r="N17" s="450"/>
      <c r="O17" s="454">
        <f t="shared" si="4"/>
        <v>0</v>
      </c>
      <c r="P17" s="447">
        <f t="shared" si="1"/>
        <v>2381666</v>
      </c>
      <c r="Q17" s="447">
        <f t="shared" si="5"/>
        <v>218334</v>
      </c>
      <c r="R17" s="444"/>
      <c r="S17" s="437"/>
      <c r="T17" s="430"/>
      <c r="U17" s="444"/>
      <c r="V17" s="430"/>
      <c r="W17" s="430"/>
    </row>
    <row r="18" spans="1:23" ht="15.95" customHeight="1">
      <c r="A18" s="461">
        <f t="shared" si="3"/>
        <v>14</v>
      </c>
      <c r="B18" s="449"/>
      <c r="C18" s="446" t="s">
        <v>705</v>
      </c>
      <c r="D18" s="449" t="s">
        <v>706</v>
      </c>
      <c r="E18" s="450">
        <v>2500000</v>
      </c>
      <c r="F18" s="450">
        <v>300000</v>
      </c>
      <c r="G18" s="447">
        <f t="shared" si="0"/>
        <v>2800000</v>
      </c>
      <c r="H18" s="447">
        <v>431333</v>
      </c>
      <c r="I18" s="447">
        <v>0</v>
      </c>
      <c r="J18" s="451">
        <v>12</v>
      </c>
      <c r="K18" s="451">
        <v>8</v>
      </c>
      <c r="L18" s="451"/>
      <c r="M18" s="450"/>
      <c r="N18" s="450"/>
      <c r="O18" s="454">
        <f t="shared" si="4"/>
        <v>0</v>
      </c>
      <c r="P18" s="447">
        <f t="shared" si="1"/>
        <v>431333</v>
      </c>
      <c r="Q18" s="447">
        <f t="shared" si="5"/>
        <v>0</v>
      </c>
      <c r="R18" s="444"/>
      <c r="S18" s="437"/>
      <c r="T18" s="437"/>
      <c r="U18" s="430"/>
      <c r="V18" s="430"/>
      <c r="W18" s="430"/>
    </row>
    <row r="19" spans="1:23" ht="15.95" customHeight="1">
      <c r="A19" s="461">
        <f t="shared" si="3"/>
        <v>15</v>
      </c>
      <c r="B19" s="863" t="s">
        <v>707</v>
      </c>
      <c r="C19" s="446" t="s">
        <v>708</v>
      </c>
      <c r="D19" s="449" t="s">
        <v>709</v>
      </c>
      <c r="E19" s="450">
        <v>2295000</v>
      </c>
      <c r="F19" s="450">
        <v>413100</v>
      </c>
      <c r="G19" s="447">
        <f t="shared" si="0"/>
        <v>2708100</v>
      </c>
      <c r="H19" s="447">
        <v>1094627</v>
      </c>
      <c r="I19" s="447">
        <v>189931</v>
      </c>
      <c r="J19" s="451">
        <v>12</v>
      </c>
      <c r="K19" s="451">
        <v>1</v>
      </c>
      <c r="L19" s="451"/>
      <c r="M19" s="450"/>
      <c r="N19" s="450"/>
      <c r="O19" s="454">
        <f t="shared" si="4"/>
        <v>0</v>
      </c>
      <c r="P19" s="447">
        <f t="shared" si="1"/>
        <v>1094627</v>
      </c>
      <c r="Q19" s="447">
        <f t="shared" si="5"/>
        <v>189931</v>
      </c>
      <c r="R19" s="444"/>
      <c r="S19" s="437">
        <f>P19*1.5%</f>
        <v>16419.404999999999</v>
      </c>
      <c r="T19" s="437">
        <f>P19+Q19</f>
        <v>1284558</v>
      </c>
      <c r="U19" s="430"/>
      <c r="V19" s="430"/>
      <c r="W19" s="430"/>
    </row>
    <row r="20" spans="1:23" ht="15.95" customHeight="1">
      <c r="A20" s="461">
        <f t="shared" si="3"/>
        <v>16</v>
      </c>
      <c r="B20" s="449"/>
      <c r="C20" s="449" t="s">
        <v>710</v>
      </c>
      <c r="D20" s="449" t="s">
        <v>711</v>
      </c>
      <c r="E20" s="450">
        <v>8889100</v>
      </c>
      <c r="F20" s="450">
        <v>3555640</v>
      </c>
      <c r="G20" s="447">
        <f t="shared" si="0"/>
        <v>12444740</v>
      </c>
      <c r="H20" s="447">
        <v>8493073</v>
      </c>
      <c r="I20" s="447">
        <v>0</v>
      </c>
      <c r="J20" s="451">
        <v>40</v>
      </c>
      <c r="K20" s="451">
        <v>6</v>
      </c>
      <c r="L20" s="451"/>
      <c r="M20" s="450"/>
      <c r="N20" s="450"/>
      <c r="O20" s="454">
        <f t="shared" si="4"/>
        <v>0</v>
      </c>
      <c r="P20" s="447">
        <f t="shared" si="1"/>
        <v>8493073</v>
      </c>
      <c r="Q20" s="447">
        <f t="shared" si="5"/>
        <v>0</v>
      </c>
      <c r="R20" s="437"/>
      <c r="S20" s="437">
        <f>S19*12</f>
        <v>197032.86</v>
      </c>
      <c r="T20" s="437">
        <f>100000-S19</f>
        <v>83580.595000000001</v>
      </c>
      <c r="U20" s="430"/>
      <c r="V20" s="430"/>
      <c r="W20" s="430"/>
    </row>
    <row r="21" spans="1:23" ht="15.95" customHeight="1">
      <c r="A21" s="461">
        <f t="shared" si="3"/>
        <v>17</v>
      </c>
      <c r="B21" s="449"/>
      <c r="C21" s="449" t="s">
        <v>712</v>
      </c>
      <c r="D21" s="449" t="s">
        <v>713</v>
      </c>
      <c r="E21" s="450">
        <v>2300000</v>
      </c>
      <c r="F21" s="450">
        <v>276000</v>
      </c>
      <c r="G21" s="447">
        <f t="shared" si="0"/>
        <v>2576000</v>
      </c>
      <c r="H21" s="447">
        <v>536000</v>
      </c>
      <c r="I21" s="447">
        <v>0</v>
      </c>
      <c r="J21" s="451">
        <v>12</v>
      </c>
      <c r="K21" s="451"/>
      <c r="L21" s="451"/>
      <c r="M21" s="450"/>
      <c r="N21" s="450"/>
      <c r="O21" s="454">
        <f t="shared" si="4"/>
        <v>0</v>
      </c>
      <c r="P21" s="447">
        <f t="shared" si="1"/>
        <v>536000</v>
      </c>
      <c r="Q21" s="447">
        <f t="shared" si="5"/>
        <v>0</v>
      </c>
      <c r="R21" s="437"/>
      <c r="S21" s="437"/>
      <c r="T21" s="437"/>
      <c r="U21" s="430"/>
      <c r="V21" s="430"/>
      <c r="W21" s="430"/>
    </row>
    <row r="22" spans="1:23" ht="15.95" customHeight="1">
      <c r="A22" s="461">
        <f t="shared" si="3"/>
        <v>18</v>
      </c>
      <c r="B22" s="863" t="s">
        <v>486</v>
      </c>
      <c r="C22" s="449" t="s">
        <v>377</v>
      </c>
      <c r="D22" s="449" t="s">
        <v>709</v>
      </c>
      <c r="E22" s="450">
        <v>30000000</v>
      </c>
      <c r="F22" s="450">
        <v>12000000</v>
      </c>
      <c r="G22" s="447">
        <f t="shared" si="0"/>
        <v>42000000</v>
      </c>
      <c r="H22" s="447">
        <v>17350000</v>
      </c>
      <c r="I22" s="447">
        <v>0</v>
      </c>
      <c r="J22" s="451">
        <v>40</v>
      </c>
      <c r="K22" s="451"/>
      <c r="L22" s="451"/>
      <c r="M22" s="450"/>
      <c r="N22" s="450"/>
      <c r="O22" s="454">
        <f t="shared" si="4"/>
        <v>0</v>
      </c>
      <c r="P22" s="447">
        <f t="shared" si="1"/>
        <v>17350000</v>
      </c>
      <c r="Q22" s="447">
        <f t="shared" si="5"/>
        <v>0</v>
      </c>
      <c r="R22" s="437"/>
      <c r="S22" s="437"/>
      <c r="T22" s="437"/>
      <c r="U22" s="430"/>
      <c r="V22" s="430"/>
      <c r="W22" s="430"/>
    </row>
    <row r="23" spans="1:23" ht="15.95" customHeight="1">
      <c r="A23" s="461">
        <f t="shared" si="3"/>
        <v>19</v>
      </c>
      <c r="B23" s="863" t="s">
        <v>533</v>
      </c>
      <c r="C23" s="449" t="s">
        <v>714</v>
      </c>
      <c r="D23" s="449" t="s">
        <v>713</v>
      </c>
      <c r="E23" s="450">
        <v>2600000</v>
      </c>
      <c r="F23" s="450">
        <v>260000</v>
      </c>
      <c r="G23" s="447">
        <f t="shared" si="0"/>
        <v>2860000</v>
      </c>
      <c r="H23" s="447">
        <v>1158000</v>
      </c>
      <c r="I23" s="447">
        <v>64000</v>
      </c>
      <c r="J23" s="451">
        <v>10</v>
      </c>
      <c r="K23" s="451">
        <v>7</v>
      </c>
      <c r="L23" s="451"/>
      <c r="M23" s="450"/>
      <c r="N23" s="450"/>
      <c r="O23" s="454">
        <f t="shared" si="4"/>
        <v>0</v>
      </c>
      <c r="P23" s="447">
        <f t="shared" si="1"/>
        <v>1158000</v>
      </c>
      <c r="Q23" s="447">
        <f t="shared" ref="Q23:Q37" si="6">SUM(I23-N23)</f>
        <v>64000</v>
      </c>
      <c r="R23" s="437"/>
      <c r="S23" s="437"/>
      <c r="T23" s="437"/>
      <c r="U23" s="430"/>
      <c r="V23" s="430"/>
      <c r="W23" s="430"/>
    </row>
    <row r="24" spans="1:23" ht="15.95" customHeight="1">
      <c r="A24" s="461">
        <f t="shared" si="3"/>
        <v>20</v>
      </c>
      <c r="B24" s="863" t="s">
        <v>715</v>
      </c>
      <c r="C24" s="446" t="s">
        <v>716</v>
      </c>
      <c r="D24" s="446" t="s">
        <v>717</v>
      </c>
      <c r="E24" s="447">
        <v>25000000</v>
      </c>
      <c r="F24" s="447">
        <v>10000000</v>
      </c>
      <c r="G24" s="447">
        <f t="shared" si="0"/>
        <v>35000000</v>
      </c>
      <c r="H24" s="447">
        <v>18075000</v>
      </c>
      <c r="I24" s="447">
        <v>3500000</v>
      </c>
      <c r="J24" s="448">
        <v>40</v>
      </c>
      <c r="K24" s="448">
        <v>22</v>
      </c>
      <c r="L24" s="448"/>
      <c r="M24" s="447"/>
      <c r="N24" s="447"/>
      <c r="O24" s="454">
        <f t="shared" si="4"/>
        <v>0</v>
      </c>
      <c r="P24" s="447">
        <f t="shared" si="1"/>
        <v>18075000</v>
      </c>
      <c r="Q24" s="447">
        <f t="shared" si="6"/>
        <v>3500000</v>
      </c>
      <c r="R24" s="437"/>
      <c r="S24" s="437">
        <f>F24/J24</f>
        <v>250000</v>
      </c>
      <c r="T24" s="437"/>
      <c r="U24" s="430"/>
      <c r="V24" s="430"/>
      <c r="W24" s="430"/>
    </row>
    <row r="25" spans="1:23" ht="15.95" customHeight="1">
      <c r="A25" s="461">
        <f t="shared" si="3"/>
        <v>21</v>
      </c>
      <c r="B25" s="863" t="s">
        <v>718</v>
      </c>
      <c r="C25" s="463" t="s">
        <v>719</v>
      </c>
      <c r="D25" s="463" t="s">
        <v>720</v>
      </c>
      <c r="E25" s="464">
        <v>15000000</v>
      </c>
      <c r="F25" s="464">
        <v>6000000</v>
      </c>
      <c r="G25" s="458">
        <f t="shared" si="0"/>
        <v>21000000</v>
      </c>
      <c r="H25" s="458">
        <v>5775000</v>
      </c>
      <c r="I25" s="458">
        <v>2800000</v>
      </c>
      <c r="J25" s="465">
        <v>40</v>
      </c>
      <c r="K25" s="465">
        <v>28</v>
      </c>
      <c r="L25" s="862" t="s">
        <v>363</v>
      </c>
      <c r="M25" s="464">
        <v>350000</v>
      </c>
      <c r="N25" s="464">
        <v>150000</v>
      </c>
      <c r="O25" s="457">
        <f t="shared" si="4"/>
        <v>500000</v>
      </c>
      <c r="P25" s="458">
        <f t="shared" si="1"/>
        <v>5425000</v>
      </c>
      <c r="Q25" s="458">
        <f t="shared" si="6"/>
        <v>2650000</v>
      </c>
      <c r="R25" s="437">
        <f>F25/J25</f>
        <v>150000</v>
      </c>
      <c r="S25" s="437">
        <f>F25/J25</f>
        <v>150000</v>
      </c>
      <c r="T25" s="437"/>
      <c r="U25" s="430"/>
      <c r="V25" s="430"/>
      <c r="W25" s="430"/>
    </row>
    <row r="26" spans="1:23" ht="15.95" customHeight="1">
      <c r="A26" s="461">
        <f t="shared" si="3"/>
        <v>22</v>
      </c>
      <c r="B26" s="860" t="s">
        <v>721</v>
      </c>
      <c r="C26" s="463" t="s">
        <v>722</v>
      </c>
      <c r="D26" s="463" t="s">
        <v>723</v>
      </c>
      <c r="E26" s="464">
        <v>14000000</v>
      </c>
      <c r="F26" s="464">
        <v>2520000</v>
      </c>
      <c r="G26" s="458">
        <f t="shared" si="0"/>
        <v>16520000</v>
      </c>
      <c r="H26" s="464">
        <v>6373000</v>
      </c>
      <c r="I26" s="464">
        <v>2240000</v>
      </c>
      <c r="J26" s="465">
        <v>18</v>
      </c>
      <c r="K26" s="465">
        <v>15</v>
      </c>
      <c r="L26" s="862" t="s">
        <v>363</v>
      </c>
      <c r="M26" s="464">
        <v>200000</v>
      </c>
      <c r="N26" s="464">
        <v>140000</v>
      </c>
      <c r="O26" s="457">
        <f t="shared" si="4"/>
        <v>340000</v>
      </c>
      <c r="P26" s="458">
        <f t="shared" si="1"/>
        <v>6173000</v>
      </c>
      <c r="Q26" s="458">
        <f t="shared" si="6"/>
        <v>2100000</v>
      </c>
      <c r="R26" s="437"/>
      <c r="S26" s="437">
        <f>F26/J26</f>
        <v>140000</v>
      </c>
      <c r="T26" s="437">
        <f>500000-S26</f>
        <v>360000</v>
      </c>
      <c r="U26" s="437"/>
      <c r="V26" s="430"/>
      <c r="W26" s="430"/>
    </row>
    <row r="27" spans="1:23" ht="15.95" customHeight="1">
      <c r="A27" s="461">
        <f t="shared" si="3"/>
        <v>23</v>
      </c>
      <c r="B27" s="860" t="s">
        <v>567</v>
      </c>
      <c r="C27" s="463" t="s">
        <v>278</v>
      </c>
      <c r="D27" s="463" t="s">
        <v>724</v>
      </c>
      <c r="E27" s="464">
        <v>28000000</v>
      </c>
      <c r="F27" s="464">
        <v>8680000</v>
      </c>
      <c r="G27" s="458">
        <f t="shared" si="0"/>
        <v>36680000</v>
      </c>
      <c r="H27" s="464">
        <v>8385000</v>
      </c>
      <c r="I27" s="464">
        <v>1960000</v>
      </c>
      <c r="J27" s="465">
        <v>31</v>
      </c>
      <c r="K27" s="465">
        <v>24</v>
      </c>
      <c r="L27" s="862" t="s">
        <v>272</v>
      </c>
      <c r="M27" s="464">
        <v>904000</v>
      </c>
      <c r="N27" s="464">
        <v>280000</v>
      </c>
      <c r="O27" s="457">
        <f t="shared" si="4"/>
        <v>1184000</v>
      </c>
      <c r="P27" s="458">
        <f t="shared" si="1"/>
        <v>7481000</v>
      </c>
      <c r="Q27" s="458">
        <f t="shared" si="6"/>
        <v>1680000</v>
      </c>
      <c r="R27" s="437"/>
      <c r="S27" s="437">
        <f>F27/J27</f>
        <v>280000</v>
      </c>
      <c r="T27" s="437">
        <f>1184000-N27</f>
        <v>904000</v>
      </c>
      <c r="U27" s="430"/>
      <c r="V27" s="430"/>
      <c r="W27" s="430"/>
    </row>
    <row r="28" spans="1:23" ht="15.95" customHeight="1">
      <c r="A28" s="461">
        <f t="shared" si="3"/>
        <v>24</v>
      </c>
      <c r="B28" s="860" t="s">
        <v>567</v>
      </c>
      <c r="C28" s="449" t="s">
        <v>725</v>
      </c>
      <c r="D28" s="449" t="s">
        <v>726</v>
      </c>
      <c r="E28" s="450">
        <v>28000000</v>
      </c>
      <c r="F28" s="450">
        <v>8680000</v>
      </c>
      <c r="G28" s="447">
        <f t="shared" si="0"/>
        <v>36680000</v>
      </c>
      <c r="H28" s="450">
        <v>22416000</v>
      </c>
      <c r="I28" s="450">
        <v>2520000</v>
      </c>
      <c r="J28" s="451">
        <v>31</v>
      </c>
      <c r="K28" s="451">
        <v>22</v>
      </c>
      <c r="L28" s="451"/>
      <c r="M28" s="450"/>
      <c r="N28" s="450"/>
      <c r="O28" s="454">
        <f t="shared" si="4"/>
        <v>0</v>
      </c>
      <c r="P28" s="447">
        <f t="shared" si="1"/>
        <v>22416000</v>
      </c>
      <c r="Q28" s="447">
        <f t="shared" si="6"/>
        <v>2520000</v>
      </c>
      <c r="R28" s="437"/>
      <c r="S28" s="437"/>
      <c r="T28" s="437"/>
      <c r="U28" s="430"/>
      <c r="V28" s="430"/>
      <c r="W28" s="430"/>
    </row>
    <row r="29" spans="1:23" ht="15.95" customHeight="1">
      <c r="A29" s="461">
        <f t="shared" si="3"/>
        <v>25</v>
      </c>
      <c r="B29" s="860" t="s">
        <v>567</v>
      </c>
      <c r="C29" s="463" t="s">
        <v>727</v>
      </c>
      <c r="D29" s="463" t="s">
        <v>728</v>
      </c>
      <c r="E29" s="464">
        <v>28000000</v>
      </c>
      <c r="F29" s="464">
        <v>8680000</v>
      </c>
      <c r="G29" s="458">
        <f t="shared" si="0"/>
        <v>36680000</v>
      </c>
      <c r="H29" s="464">
        <v>13804000</v>
      </c>
      <c r="I29" s="464">
        <v>1960000</v>
      </c>
      <c r="J29" s="465">
        <v>31</v>
      </c>
      <c r="K29" s="465">
        <v>23</v>
      </c>
      <c r="L29" s="862" t="s">
        <v>272</v>
      </c>
      <c r="M29" s="464">
        <v>904000</v>
      </c>
      <c r="N29" s="464">
        <v>280000</v>
      </c>
      <c r="O29" s="457">
        <f t="shared" si="4"/>
        <v>1184000</v>
      </c>
      <c r="P29" s="458">
        <f t="shared" si="1"/>
        <v>12900000</v>
      </c>
      <c r="Q29" s="458">
        <f t="shared" si="6"/>
        <v>1680000</v>
      </c>
      <c r="R29" s="437"/>
      <c r="S29" s="437">
        <f>SUM(P29/M27)</f>
        <v>14.269911504424799</v>
      </c>
      <c r="T29" s="437">
        <f>J29-K29</f>
        <v>8</v>
      </c>
      <c r="U29" s="430"/>
      <c r="V29" s="452"/>
      <c r="W29" s="466"/>
    </row>
    <row r="30" spans="1:23" ht="15.95" customHeight="1">
      <c r="A30" s="461">
        <f t="shared" si="3"/>
        <v>26</v>
      </c>
      <c r="B30" s="860" t="s">
        <v>729</v>
      </c>
      <c r="C30" s="463" t="s">
        <v>730</v>
      </c>
      <c r="D30" s="463" t="s">
        <v>731</v>
      </c>
      <c r="E30" s="464">
        <v>10000000</v>
      </c>
      <c r="F30" s="464">
        <v>6000000</v>
      </c>
      <c r="G30" s="458">
        <f t="shared" si="0"/>
        <v>16000000</v>
      </c>
      <c r="H30" s="464">
        <v>6900000</v>
      </c>
      <c r="I30" s="464">
        <v>3450000</v>
      </c>
      <c r="J30" s="465">
        <v>40</v>
      </c>
      <c r="K30" s="465">
        <v>18</v>
      </c>
      <c r="L30" s="862" t="s">
        <v>272</v>
      </c>
      <c r="M30" s="464">
        <v>350000</v>
      </c>
      <c r="N30" s="464">
        <v>150000</v>
      </c>
      <c r="O30" s="457">
        <f t="shared" si="4"/>
        <v>500000</v>
      </c>
      <c r="P30" s="458">
        <f t="shared" si="1"/>
        <v>6550000</v>
      </c>
      <c r="Q30" s="458">
        <f t="shared" si="6"/>
        <v>3300000</v>
      </c>
      <c r="R30" s="437" t="s">
        <v>732</v>
      </c>
      <c r="S30" s="437">
        <f>F30/J30</f>
        <v>150000</v>
      </c>
      <c r="T30" s="437"/>
      <c r="U30" s="430"/>
      <c r="V30" s="430"/>
      <c r="W30" s="430"/>
    </row>
    <row r="31" spans="1:23" ht="15.95" customHeight="1">
      <c r="A31" s="461">
        <f t="shared" si="3"/>
        <v>27</v>
      </c>
      <c r="B31" s="860" t="s">
        <v>733</v>
      </c>
      <c r="C31" s="449" t="s">
        <v>734</v>
      </c>
      <c r="D31" s="449" t="s">
        <v>735</v>
      </c>
      <c r="E31" s="450">
        <v>8000000</v>
      </c>
      <c r="F31" s="450">
        <v>450000</v>
      </c>
      <c r="G31" s="447">
        <f t="shared" si="0"/>
        <v>8450000</v>
      </c>
      <c r="H31" s="450">
        <v>7112500</v>
      </c>
      <c r="I31" s="450">
        <v>337500</v>
      </c>
      <c r="J31" s="451">
        <v>12</v>
      </c>
      <c r="K31" s="451">
        <v>3</v>
      </c>
      <c r="L31" s="451"/>
      <c r="M31" s="450"/>
      <c r="N31" s="450"/>
      <c r="O31" s="454">
        <f t="shared" si="4"/>
        <v>0</v>
      </c>
      <c r="P31" s="447">
        <f t="shared" si="1"/>
        <v>7112500</v>
      </c>
      <c r="Q31" s="447">
        <f t="shared" si="6"/>
        <v>337500</v>
      </c>
      <c r="R31" s="437">
        <f>F31/J31</f>
        <v>37500</v>
      </c>
      <c r="S31" s="437">
        <f>500000-R31</f>
        <v>462500</v>
      </c>
      <c r="T31" s="437"/>
      <c r="U31" s="430"/>
      <c r="V31" s="430"/>
      <c r="W31" s="430"/>
    </row>
    <row r="32" spans="1:23" ht="15.95" customHeight="1">
      <c r="A32" s="461">
        <f t="shared" si="3"/>
        <v>28</v>
      </c>
      <c r="B32" s="860" t="s">
        <v>584</v>
      </c>
      <c r="C32" s="463" t="s">
        <v>357</v>
      </c>
      <c r="D32" s="463" t="s">
        <v>736</v>
      </c>
      <c r="E32" s="464">
        <v>20550000</v>
      </c>
      <c r="F32" s="464">
        <v>7398000</v>
      </c>
      <c r="G32" s="458">
        <f t="shared" si="0"/>
        <v>27948000</v>
      </c>
      <c r="H32" s="464">
        <v>12986750</v>
      </c>
      <c r="I32" s="464">
        <v>1233000</v>
      </c>
      <c r="J32" s="465">
        <v>24</v>
      </c>
      <c r="K32" s="465">
        <v>21</v>
      </c>
      <c r="L32" s="862" t="s">
        <v>363</v>
      </c>
      <c r="M32" s="464"/>
      <c r="N32" s="464">
        <v>300000</v>
      </c>
      <c r="O32" s="457">
        <f t="shared" si="4"/>
        <v>300000</v>
      </c>
      <c r="P32" s="458">
        <f t="shared" si="1"/>
        <v>12986750</v>
      </c>
      <c r="Q32" s="458">
        <f t="shared" si="6"/>
        <v>933000</v>
      </c>
      <c r="R32" s="437">
        <f>400000-N32</f>
        <v>100000</v>
      </c>
      <c r="S32" s="437">
        <f>F32/J32</f>
        <v>308250</v>
      </c>
      <c r="T32" s="437"/>
      <c r="U32" s="430"/>
      <c r="V32" s="430"/>
      <c r="W32" s="430"/>
    </row>
    <row r="33" spans="1:23" ht="15.95" customHeight="1">
      <c r="A33" s="461">
        <f t="shared" si="3"/>
        <v>29</v>
      </c>
      <c r="B33" s="860" t="s">
        <v>737</v>
      </c>
      <c r="C33" s="463" t="s">
        <v>738</v>
      </c>
      <c r="D33" s="463" t="s">
        <v>736</v>
      </c>
      <c r="E33" s="464">
        <v>25000000</v>
      </c>
      <c r="F33" s="464">
        <v>9375000</v>
      </c>
      <c r="G33" s="458">
        <f t="shared" si="0"/>
        <v>34375000</v>
      </c>
      <c r="H33" s="464">
        <v>16610000</v>
      </c>
      <c r="I33" s="464">
        <v>3375000</v>
      </c>
      <c r="J33" s="465">
        <v>25</v>
      </c>
      <c r="K33" s="465">
        <v>18</v>
      </c>
      <c r="L33" s="862" t="s">
        <v>363</v>
      </c>
      <c r="M33" s="464">
        <v>425000</v>
      </c>
      <c r="N33" s="464">
        <v>375000</v>
      </c>
      <c r="O33" s="457">
        <f t="shared" si="4"/>
        <v>800000</v>
      </c>
      <c r="P33" s="458">
        <f t="shared" si="1"/>
        <v>16185000</v>
      </c>
      <c r="Q33" s="458">
        <f t="shared" si="6"/>
        <v>3000000</v>
      </c>
      <c r="R33" s="437"/>
      <c r="S33" s="437"/>
      <c r="T33" s="437"/>
      <c r="U33" s="430"/>
      <c r="V33" s="430"/>
      <c r="W33" s="430"/>
    </row>
    <row r="34" spans="1:23" ht="15.95" customHeight="1">
      <c r="A34" s="461">
        <f t="shared" si="3"/>
        <v>30</v>
      </c>
      <c r="B34" s="860" t="s">
        <v>739</v>
      </c>
      <c r="C34" s="462" t="s">
        <v>341</v>
      </c>
      <c r="D34" s="462" t="s">
        <v>740</v>
      </c>
      <c r="E34" s="458">
        <v>25000000</v>
      </c>
      <c r="F34" s="458">
        <v>8235000</v>
      </c>
      <c r="G34" s="458">
        <f t="shared" si="0"/>
        <v>33235000</v>
      </c>
      <c r="H34" s="458">
        <v>26671750</v>
      </c>
      <c r="I34" s="458">
        <v>6313250</v>
      </c>
      <c r="J34" s="460">
        <v>60</v>
      </c>
      <c r="K34" s="460">
        <v>18</v>
      </c>
      <c r="L34" s="861" t="s">
        <v>363</v>
      </c>
      <c r="M34" s="458">
        <v>462750</v>
      </c>
      <c r="N34" s="458">
        <v>137250</v>
      </c>
      <c r="O34" s="457">
        <f t="shared" si="4"/>
        <v>600000</v>
      </c>
      <c r="P34" s="458">
        <f t="shared" si="1"/>
        <v>26209000</v>
      </c>
      <c r="Q34" s="458">
        <f t="shared" si="6"/>
        <v>6176000</v>
      </c>
      <c r="R34" s="437">
        <f>600000-N34</f>
        <v>462750</v>
      </c>
      <c r="S34" s="437">
        <f>F34/J34</f>
        <v>137250</v>
      </c>
      <c r="T34" s="437"/>
      <c r="U34" s="430"/>
      <c r="V34" s="430"/>
      <c r="W34" s="430"/>
    </row>
    <row r="35" spans="1:23" ht="15.95" customHeight="1">
      <c r="A35" s="461">
        <f t="shared" si="3"/>
        <v>31</v>
      </c>
      <c r="B35" s="860" t="s">
        <v>741</v>
      </c>
      <c r="C35" s="463" t="s">
        <v>742</v>
      </c>
      <c r="D35" s="463" t="s">
        <v>743</v>
      </c>
      <c r="E35" s="464">
        <v>2100000</v>
      </c>
      <c r="F35" s="464">
        <v>630000</v>
      </c>
      <c r="G35" s="458">
        <f t="shared" ref="G35:G47" si="7">SUM(E35+F35)</f>
        <v>2730000</v>
      </c>
      <c r="H35" s="464">
        <v>142500</v>
      </c>
      <c r="I35" s="464">
        <v>31500</v>
      </c>
      <c r="J35" s="465">
        <v>20</v>
      </c>
      <c r="K35" s="465">
        <v>20</v>
      </c>
      <c r="L35" s="465"/>
      <c r="M35" s="464">
        <v>142500</v>
      </c>
      <c r="N35" s="464">
        <v>31500</v>
      </c>
      <c r="O35" s="457">
        <f t="shared" ref="O35:O46" si="8">M35+N35</f>
        <v>174000</v>
      </c>
      <c r="P35" s="458">
        <f t="shared" ref="P35:P47" si="9">SUM(H35-M35)</f>
        <v>0</v>
      </c>
      <c r="Q35" s="458">
        <f t="shared" si="6"/>
        <v>0</v>
      </c>
      <c r="R35" s="437">
        <f>F35/J35</f>
        <v>31500</v>
      </c>
      <c r="S35" s="437">
        <f>600000-N34</f>
        <v>462750</v>
      </c>
      <c r="T35" s="437">
        <f>137000-N35</f>
        <v>105500</v>
      </c>
      <c r="U35" s="430">
        <f>137000-N35</f>
        <v>105500</v>
      </c>
      <c r="V35" s="430"/>
      <c r="W35" s="430"/>
    </row>
    <row r="36" spans="1:23" ht="15.95" customHeight="1">
      <c r="A36" s="461">
        <f t="shared" si="3"/>
        <v>32</v>
      </c>
      <c r="B36" s="860" t="s">
        <v>744</v>
      </c>
      <c r="C36" s="463" t="s">
        <v>745</v>
      </c>
      <c r="D36" s="463" t="s">
        <v>746</v>
      </c>
      <c r="E36" s="464">
        <v>6000000</v>
      </c>
      <c r="F36" s="464">
        <v>1350000</v>
      </c>
      <c r="G36" s="458">
        <f t="shared" si="7"/>
        <v>7350000</v>
      </c>
      <c r="H36" s="464">
        <v>2300000</v>
      </c>
      <c r="I36" s="464">
        <v>180000</v>
      </c>
      <c r="J36" s="465">
        <v>15</v>
      </c>
      <c r="K36" s="465">
        <v>14</v>
      </c>
      <c r="L36" s="862" t="s">
        <v>300</v>
      </c>
      <c r="M36" s="464">
        <v>410000</v>
      </c>
      <c r="N36" s="464">
        <v>90000</v>
      </c>
      <c r="O36" s="457">
        <f t="shared" si="8"/>
        <v>500000</v>
      </c>
      <c r="P36" s="458">
        <f t="shared" si="9"/>
        <v>1890000</v>
      </c>
      <c r="Q36" s="458">
        <f t="shared" si="6"/>
        <v>90000</v>
      </c>
      <c r="R36" s="437">
        <f>137000-R35</f>
        <v>105500</v>
      </c>
      <c r="S36" s="437">
        <f>E36/J36</f>
        <v>400000</v>
      </c>
      <c r="T36" s="437">
        <f>F36/J36</f>
        <v>90000</v>
      </c>
      <c r="U36" s="430"/>
      <c r="V36" s="430"/>
      <c r="W36" s="430"/>
    </row>
    <row r="37" spans="1:23" ht="15.95" customHeight="1">
      <c r="A37" s="461">
        <f t="shared" si="3"/>
        <v>33</v>
      </c>
      <c r="B37" s="860" t="s">
        <v>747</v>
      </c>
      <c r="C37" s="449" t="s">
        <v>606</v>
      </c>
      <c r="D37" s="449" t="s">
        <v>746</v>
      </c>
      <c r="E37" s="450">
        <v>2700000</v>
      </c>
      <c r="F37" s="450">
        <v>405000</v>
      </c>
      <c r="G37" s="447">
        <f t="shared" si="7"/>
        <v>3105000</v>
      </c>
      <c r="H37" s="450">
        <v>1621500</v>
      </c>
      <c r="I37" s="450">
        <v>243000</v>
      </c>
      <c r="J37" s="451">
        <v>10</v>
      </c>
      <c r="K37" s="451">
        <v>4</v>
      </c>
      <c r="L37" s="451"/>
      <c r="M37" s="450"/>
      <c r="N37" s="450"/>
      <c r="O37" s="454">
        <f t="shared" si="8"/>
        <v>0</v>
      </c>
      <c r="P37" s="447">
        <f t="shared" si="9"/>
        <v>1621500</v>
      </c>
      <c r="Q37" s="447">
        <f t="shared" si="6"/>
        <v>243000</v>
      </c>
      <c r="R37" s="437"/>
      <c r="S37" s="437">
        <f>P36/S36</f>
        <v>4.7249999999999996</v>
      </c>
      <c r="T37" s="437"/>
      <c r="U37" s="430"/>
      <c r="V37" s="430"/>
      <c r="W37" s="430"/>
    </row>
    <row r="38" spans="1:23" ht="15.95" customHeight="1">
      <c r="A38" s="461">
        <f t="shared" si="3"/>
        <v>34</v>
      </c>
      <c r="B38" s="860" t="s">
        <v>748</v>
      </c>
      <c r="C38" s="449" t="s">
        <v>297</v>
      </c>
      <c r="D38" s="449" t="s">
        <v>749</v>
      </c>
      <c r="E38" s="450">
        <v>1800000</v>
      </c>
      <c r="F38" s="450">
        <v>324000</v>
      </c>
      <c r="G38" s="447">
        <f t="shared" si="7"/>
        <v>2124000</v>
      </c>
      <c r="H38" s="450">
        <v>1758169</v>
      </c>
      <c r="I38" s="450"/>
      <c r="J38" s="451">
        <v>12</v>
      </c>
      <c r="K38" s="451">
        <v>6</v>
      </c>
      <c r="L38" s="864" t="s">
        <v>300</v>
      </c>
      <c r="M38" s="450">
        <v>100000</v>
      </c>
      <c r="N38" s="450"/>
      <c r="O38" s="454">
        <f t="shared" si="8"/>
        <v>100000</v>
      </c>
      <c r="P38" s="447">
        <f t="shared" si="9"/>
        <v>1658169</v>
      </c>
      <c r="Q38" s="447"/>
      <c r="R38" s="437">
        <f>F38/J38</f>
        <v>27000</v>
      </c>
      <c r="S38" s="437">
        <f>300000+P38</f>
        <v>1958169</v>
      </c>
      <c r="T38" s="437"/>
      <c r="U38" s="430"/>
      <c r="V38" s="430"/>
      <c r="W38" s="430"/>
    </row>
    <row r="39" spans="1:23" ht="15.95" customHeight="1">
      <c r="A39" s="461">
        <f t="shared" si="3"/>
        <v>35</v>
      </c>
      <c r="B39" s="860" t="s">
        <v>748</v>
      </c>
      <c r="C39" s="463" t="s">
        <v>750</v>
      </c>
      <c r="D39" s="463" t="s">
        <v>751</v>
      </c>
      <c r="E39" s="464">
        <v>30000000</v>
      </c>
      <c r="F39" s="464">
        <v>3600000</v>
      </c>
      <c r="G39" s="458">
        <f t="shared" si="7"/>
        <v>33600000</v>
      </c>
      <c r="H39" s="464">
        <v>12600000</v>
      </c>
      <c r="I39" s="464">
        <v>0</v>
      </c>
      <c r="J39" s="465">
        <v>3</v>
      </c>
      <c r="K39" s="465">
        <v>3</v>
      </c>
      <c r="L39" s="862" t="s">
        <v>330</v>
      </c>
      <c r="M39" s="464">
        <v>12600000</v>
      </c>
      <c r="N39" s="464"/>
      <c r="O39" s="457">
        <f t="shared" si="8"/>
        <v>12600000</v>
      </c>
      <c r="P39" s="458">
        <f t="shared" si="9"/>
        <v>0</v>
      </c>
      <c r="Q39" s="458">
        <f>SUM(I39-N39)</f>
        <v>0</v>
      </c>
      <c r="R39" s="437"/>
      <c r="S39" s="437">
        <f>P38+S38</f>
        <v>3616338</v>
      </c>
      <c r="T39" s="437"/>
      <c r="U39" s="430"/>
      <c r="V39" s="430"/>
      <c r="W39" s="430"/>
    </row>
    <row r="40" spans="1:23" ht="15.95" customHeight="1">
      <c r="A40" s="461">
        <f t="shared" si="3"/>
        <v>36</v>
      </c>
      <c r="B40" s="860" t="s">
        <v>752</v>
      </c>
      <c r="C40" s="463" t="s">
        <v>283</v>
      </c>
      <c r="D40" s="463" t="s">
        <v>753</v>
      </c>
      <c r="E40" s="464">
        <v>58866300</v>
      </c>
      <c r="F40" s="464">
        <v>30022000</v>
      </c>
      <c r="G40" s="458">
        <f t="shared" si="7"/>
        <v>88888300</v>
      </c>
      <c r="H40" s="464">
        <v>63866300</v>
      </c>
      <c r="I40" s="464">
        <v>35333700</v>
      </c>
      <c r="J40" s="465">
        <v>48</v>
      </c>
      <c r="K40" s="465">
        <v>14</v>
      </c>
      <c r="L40" s="862" t="s">
        <v>363</v>
      </c>
      <c r="M40" s="464">
        <v>5717000</v>
      </c>
      <c r="N40" s="464">
        <v>883000</v>
      </c>
      <c r="O40" s="457">
        <f t="shared" si="8"/>
        <v>6600000</v>
      </c>
      <c r="P40" s="458">
        <f t="shared" si="9"/>
        <v>58149300</v>
      </c>
      <c r="Q40" s="458">
        <f>SUM(I40-N40)</f>
        <v>34450700</v>
      </c>
      <c r="R40" s="467"/>
      <c r="S40" s="467">
        <f>1600000-N40</f>
        <v>717000</v>
      </c>
      <c r="T40" s="467">
        <v>883000</v>
      </c>
      <c r="U40" s="468">
        <f>S40+T40</f>
        <v>1600000</v>
      </c>
      <c r="V40" s="437">
        <f>F40/J40</f>
        <v>625458.33333333302</v>
      </c>
      <c r="W40" s="430"/>
    </row>
    <row r="41" spans="1:23" ht="15.95" customHeight="1">
      <c r="A41" s="461">
        <f t="shared" si="3"/>
        <v>37</v>
      </c>
      <c r="B41" s="860" t="s">
        <v>754</v>
      </c>
      <c r="C41" s="463" t="s">
        <v>755</v>
      </c>
      <c r="D41" s="463" t="s">
        <v>756</v>
      </c>
      <c r="E41" s="464">
        <v>2200000</v>
      </c>
      <c r="F41" s="464">
        <v>396000</v>
      </c>
      <c r="G41" s="458">
        <f t="shared" si="7"/>
        <v>2596000</v>
      </c>
      <c r="H41" s="464">
        <v>493000</v>
      </c>
      <c r="I41" s="464">
        <v>66000</v>
      </c>
      <c r="J41" s="465">
        <v>12</v>
      </c>
      <c r="K41" s="465">
        <v>10</v>
      </c>
      <c r="L41" s="862" t="s">
        <v>330</v>
      </c>
      <c r="M41" s="464">
        <v>192000</v>
      </c>
      <c r="N41" s="464">
        <v>33000</v>
      </c>
      <c r="O41" s="457">
        <f t="shared" si="8"/>
        <v>225000</v>
      </c>
      <c r="P41" s="458">
        <f t="shared" si="9"/>
        <v>301000</v>
      </c>
      <c r="Q41" s="458">
        <f>SUM(I41-N41)</f>
        <v>33000</v>
      </c>
      <c r="R41" s="437"/>
      <c r="S41" s="437">
        <f>1600000-N40</f>
        <v>717000</v>
      </c>
      <c r="T41" s="437">
        <f>220000-N41</f>
        <v>187000</v>
      </c>
      <c r="U41" s="430">
        <f>F41/J41</f>
        <v>33000</v>
      </c>
      <c r="V41" s="430">
        <f>225000-N41</f>
        <v>192000</v>
      </c>
      <c r="W41" s="430"/>
    </row>
    <row r="42" spans="1:23">
      <c r="A42" s="461">
        <f t="shared" si="3"/>
        <v>38</v>
      </c>
      <c r="B42" s="865" t="s">
        <v>757</v>
      </c>
      <c r="C42" s="470" t="s">
        <v>758</v>
      </c>
      <c r="D42" s="470" t="s">
        <v>751</v>
      </c>
      <c r="E42" s="471">
        <v>30000000</v>
      </c>
      <c r="F42" s="471">
        <v>3600000</v>
      </c>
      <c r="G42" s="472">
        <f t="shared" si="7"/>
        <v>33600000</v>
      </c>
      <c r="H42" s="471">
        <v>30000000</v>
      </c>
      <c r="I42" s="471">
        <v>3600000</v>
      </c>
      <c r="J42" s="473">
        <v>3</v>
      </c>
      <c r="K42" s="473"/>
      <c r="L42" s="866" t="s">
        <v>300</v>
      </c>
      <c r="M42" s="471">
        <v>30000000</v>
      </c>
      <c r="N42" s="471">
        <v>3600000</v>
      </c>
      <c r="O42" s="457">
        <f t="shared" si="8"/>
        <v>33600000</v>
      </c>
      <c r="P42" s="472">
        <f t="shared" si="9"/>
        <v>0</v>
      </c>
      <c r="Q42" s="472">
        <f t="shared" ref="Q42:Q46" si="10">SUM(I42-N42)</f>
        <v>0</v>
      </c>
      <c r="R42" s="437"/>
      <c r="S42" s="437"/>
      <c r="T42" s="437"/>
      <c r="U42" s="430"/>
      <c r="V42" s="430"/>
      <c r="W42" s="430"/>
    </row>
    <row r="43" spans="1:23">
      <c r="A43" s="461">
        <f t="shared" ref="A43:A66" si="11">A42+1</f>
        <v>39</v>
      </c>
      <c r="B43" s="865" t="s">
        <v>759</v>
      </c>
      <c r="C43" s="470" t="s">
        <v>360</v>
      </c>
      <c r="D43" s="470" t="s">
        <v>760</v>
      </c>
      <c r="E43" s="471">
        <v>2200000</v>
      </c>
      <c r="F43" s="471">
        <v>330000</v>
      </c>
      <c r="G43" s="472">
        <f t="shared" si="7"/>
        <v>2530000</v>
      </c>
      <c r="H43" s="471">
        <v>219000</v>
      </c>
      <c r="I43" s="471">
        <v>33000</v>
      </c>
      <c r="J43" s="473">
        <v>10</v>
      </c>
      <c r="K43" s="473">
        <v>10</v>
      </c>
      <c r="L43" s="867" t="s">
        <v>346</v>
      </c>
      <c r="M43" s="471">
        <v>219000</v>
      </c>
      <c r="N43" s="471">
        <v>33000</v>
      </c>
      <c r="O43" s="457">
        <f t="shared" si="8"/>
        <v>252000</v>
      </c>
      <c r="P43" s="472">
        <f t="shared" si="9"/>
        <v>0</v>
      </c>
      <c r="Q43" s="472">
        <f t="shared" si="10"/>
        <v>0</v>
      </c>
      <c r="R43" s="437">
        <f>250000-S43</f>
        <v>217000</v>
      </c>
      <c r="S43" s="437">
        <f>F43/J43</f>
        <v>33000</v>
      </c>
      <c r="T43" s="437">
        <f>510000-N43</f>
        <v>477000</v>
      </c>
      <c r="U43" s="437">
        <f>P43+Q43</f>
        <v>0</v>
      </c>
      <c r="V43" s="437">
        <f>P43+66000</f>
        <v>66000</v>
      </c>
      <c r="W43" s="437">
        <f>U43/3</f>
        <v>0</v>
      </c>
    </row>
    <row r="44" spans="1:23">
      <c r="A44" s="461">
        <f t="shared" si="11"/>
        <v>40</v>
      </c>
      <c r="B44" s="865" t="s">
        <v>759</v>
      </c>
      <c r="C44" s="469" t="s">
        <v>359</v>
      </c>
      <c r="D44" s="469" t="s">
        <v>760</v>
      </c>
      <c r="E44" s="474">
        <v>2200000</v>
      </c>
      <c r="F44" s="474">
        <v>330000</v>
      </c>
      <c r="G44" s="475">
        <f t="shared" si="7"/>
        <v>2530000</v>
      </c>
      <c r="H44" s="474">
        <v>445000</v>
      </c>
      <c r="I44" s="474">
        <v>66000</v>
      </c>
      <c r="J44" s="476">
        <v>10</v>
      </c>
      <c r="K44" s="476">
        <v>8</v>
      </c>
      <c r="L44" s="469"/>
      <c r="M44" s="474"/>
      <c r="N44" s="474"/>
      <c r="O44" s="454">
        <f t="shared" si="8"/>
        <v>0</v>
      </c>
      <c r="P44" s="475">
        <f t="shared" si="9"/>
        <v>445000</v>
      </c>
      <c r="Q44" s="475">
        <f t="shared" si="10"/>
        <v>66000</v>
      </c>
      <c r="R44" s="437"/>
      <c r="S44" s="437">
        <f>33000*3</f>
        <v>99000</v>
      </c>
      <c r="T44" s="437">
        <f>U44/3</f>
        <v>0</v>
      </c>
      <c r="U44" s="437">
        <f>P43+Q43</f>
        <v>0</v>
      </c>
      <c r="V44" s="430">
        <f>F44/J44</f>
        <v>33000</v>
      </c>
      <c r="W44" s="430">
        <f>760000-N44</f>
        <v>760000</v>
      </c>
    </row>
    <row r="45" spans="1:23">
      <c r="A45" s="461">
        <f t="shared" si="11"/>
        <v>41</v>
      </c>
      <c r="B45" s="865" t="s">
        <v>761</v>
      </c>
      <c r="C45" s="469" t="s">
        <v>265</v>
      </c>
      <c r="D45" s="469" t="s">
        <v>762</v>
      </c>
      <c r="E45" s="474">
        <v>3000000</v>
      </c>
      <c r="F45" s="474">
        <v>900000</v>
      </c>
      <c r="G45" s="475">
        <f t="shared" si="7"/>
        <v>3900000</v>
      </c>
      <c r="H45" s="474">
        <v>2250000</v>
      </c>
      <c r="I45" s="474">
        <v>585000</v>
      </c>
      <c r="J45" s="476">
        <v>20</v>
      </c>
      <c r="K45" s="476">
        <v>8</v>
      </c>
      <c r="L45" s="469"/>
      <c r="M45" s="474"/>
      <c r="N45" s="474"/>
      <c r="O45" s="454">
        <f t="shared" si="8"/>
        <v>0</v>
      </c>
      <c r="P45" s="475">
        <f t="shared" si="9"/>
        <v>2250000</v>
      </c>
      <c r="Q45" s="475">
        <f t="shared" si="10"/>
        <v>585000</v>
      </c>
      <c r="R45" s="437"/>
      <c r="S45" s="437">
        <f>F45/J45</f>
        <v>45000</v>
      </c>
      <c r="T45" s="437">
        <f>G45/J45</f>
        <v>195000</v>
      </c>
      <c r="U45" s="437">
        <f>T45*3</f>
        <v>585000</v>
      </c>
      <c r="V45" s="437">
        <f>T45-S45</f>
        <v>150000</v>
      </c>
      <c r="W45" s="430"/>
    </row>
    <row r="46" spans="1:23">
      <c r="A46" s="461">
        <f t="shared" si="11"/>
        <v>42</v>
      </c>
      <c r="B46" s="865" t="s">
        <v>763</v>
      </c>
      <c r="C46" s="469" t="s">
        <v>764</v>
      </c>
      <c r="D46" s="469" t="s">
        <v>765</v>
      </c>
      <c r="E46" s="474">
        <v>1410000</v>
      </c>
      <c r="F46" s="474">
        <v>35250</v>
      </c>
      <c r="G46" s="475">
        <f t="shared" si="7"/>
        <v>1445250</v>
      </c>
      <c r="H46" s="474">
        <v>1410000</v>
      </c>
      <c r="I46" s="474">
        <v>35250</v>
      </c>
      <c r="J46" s="476">
        <v>1</v>
      </c>
      <c r="K46" s="476"/>
      <c r="L46" s="469"/>
      <c r="M46" s="474"/>
      <c r="N46" s="474"/>
      <c r="O46" s="454">
        <f t="shared" si="8"/>
        <v>0</v>
      </c>
      <c r="P46" s="475">
        <f t="shared" si="9"/>
        <v>1410000</v>
      </c>
      <c r="Q46" s="475">
        <f t="shared" si="10"/>
        <v>35250</v>
      </c>
      <c r="R46" s="477">
        <f>P46+Q46</f>
        <v>1445250</v>
      </c>
      <c r="S46" s="437">
        <f>R46/12</f>
        <v>120437.5</v>
      </c>
      <c r="T46" s="437">
        <f>S46*4</f>
        <v>481750</v>
      </c>
      <c r="U46" s="430"/>
      <c r="V46" s="430"/>
      <c r="W46" s="430"/>
    </row>
    <row r="47" spans="1:23">
      <c r="A47" s="461">
        <f t="shared" si="11"/>
        <v>43</v>
      </c>
      <c r="B47" s="865" t="s">
        <v>763</v>
      </c>
      <c r="C47" s="469" t="s">
        <v>766</v>
      </c>
      <c r="D47" s="469" t="s">
        <v>765</v>
      </c>
      <c r="E47" s="474">
        <v>406000</v>
      </c>
      <c r="F47" s="474">
        <v>50750</v>
      </c>
      <c r="G47" s="475">
        <f t="shared" si="7"/>
        <v>456750</v>
      </c>
      <c r="H47" s="474">
        <v>256750</v>
      </c>
      <c r="I47" s="474">
        <v>0</v>
      </c>
      <c r="J47" s="476">
        <v>5</v>
      </c>
      <c r="K47" s="476"/>
      <c r="L47" s="469"/>
      <c r="M47" s="474"/>
      <c r="N47" s="474"/>
      <c r="O47" s="454">
        <f t="shared" ref="O47:O66" si="12">M47+N47</f>
        <v>0</v>
      </c>
      <c r="P47" s="475">
        <f t="shared" si="9"/>
        <v>256750</v>
      </c>
      <c r="Q47" s="475">
        <f t="shared" ref="Q47:Q66" si="13">SUM(I47-N47)</f>
        <v>0</v>
      </c>
      <c r="R47" s="477">
        <v>92000</v>
      </c>
      <c r="S47" s="437">
        <f>200000-N47</f>
        <v>200000</v>
      </c>
      <c r="T47" s="437" t="e">
        <f>160000-#REF!</f>
        <v>#REF!</v>
      </c>
      <c r="U47" s="430"/>
      <c r="V47" s="430"/>
      <c r="W47" s="430"/>
    </row>
    <row r="48" spans="1:23">
      <c r="A48" s="461">
        <f t="shared" si="11"/>
        <v>44</v>
      </c>
      <c r="B48" s="865" t="s">
        <v>763</v>
      </c>
      <c r="C48" s="470" t="s">
        <v>375</v>
      </c>
      <c r="D48" s="470" t="s">
        <v>767</v>
      </c>
      <c r="E48" s="471">
        <v>2650000</v>
      </c>
      <c r="F48" s="471">
        <v>795000</v>
      </c>
      <c r="G48" s="472">
        <f t="shared" ref="G48:G66" si="14">SUM(E48+F48)</f>
        <v>3445000</v>
      </c>
      <c r="H48" s="471">
        <v>1934750</v>
      </c>
      <c r="I48" s="471">
        <v>596250</v>
      </c>
      <c r="J48" s="473">
        <v>12</v>
      </c>
      <c r="K48" s="473">
        <v>4</v>
      </c>
      <c r="L48" s="866" t="s">
        <v>363</v>
      </c>
      <c r="M48" s="471">
        <v>221750</v>
      </c>
      <c r="N48" s="471">
        <v>66250</v>
      </c>
      <c r="O48" s="457">
        <f t="shared" si="12"/>
        <v>288000</v>
      </c>
      <c r="P48" s="472">
        <f t="shared" ref="P48:P66" si="15">SUM(H48-M48)</f>
        <v>1713000</v>
      </c>
      <c r="Q48" s="472">
        <f t="shared" si="13"/>
        <v>530000</v>
      </c>
      <c r="R48" s="477">
        <v>288000</v>
      </c>
      <c r="S48" s="437">
        <f>F48/J48</f>
        <v>66250</v>
      </c>
      <c r="T48" s="437">
        <f>R48-S48</f>
        <v>221750</v>
      </c>
      <c r="U48" s="430"/>
      <c r="V48" s="430"/>
      <c r="W48" s="430"/>
    </row>
    <row r="49" spans="1:23">
      <c r="A49" s="461">
        <f t="shared" si="11"/>
        <v>45</v>
      </c>
      <c r="B49" s="865" t="str">
        <f>B48</f>
        <v>29-8-2025</v>
      </c>
      <c r="C49" s="470" t="s">
        <v>406</v>
      </c>
      <c r="D49" s="470" t="s">
        <v>767</v>
      </c>
      <c r="E49" s="471">
        <v>2015000</v>
      </c>
      <c r="F49" s="471">
        <v>100750</v>
      </c>
      <c r="G49" s="472">
        <f t="shared" si="14"/>
        <v>2115750</v>
      </c>
      <c r="H49" s="471">
        <v>1730000</v>
      </c>
      <c r="I49" s="471">
        <v>0</v>
      </c>
      <c r="J49" s="473">
        <v>2</v>
      </c>
      <c r="K49" s="473">
        <v>2</v>
      </c>
      <c r="L49" s="470"/>
      <c r="M49" s="471">
        <v>500000</v>
      </c>
      <c r="N49" s="471"/>
      <c r="O49" s="457">
        <f t="shared" si="12"/>
        <v>500000</v>
      </c>
      <c r="P49" s="472">
        <f t="shared" si="15"/>
        <v>1230000</v>
      </c>
      <c r="Q49" s="472">
        <f t="shared" si="13"/>
        <v>0</v>
      </c>
      <c r="R49" s="477">
        <v>1365000</v>
      </c>
      <c r="S49" s="437">
        <f>P49+Q49</f>
        <v>1230000</v>
      </c>
      <c r="T49" s="437">
        <f>S49-R49</f>
        <v>-135000</v>
      </c>
      <c r="U49" s="437">
        <f>350000-N49</f>
        <v>350000</v>
      </c>
      <c r="V49" s="430"/>
      <c r="W49" s="430"/>
    </row>
    <row r="50" spans="1:23">
      <c r="A50" s="461">
        <f t="shared" si="11"/>
        <v>46</v>
      </c>
      <c r="B50" s="865" t="str">
        <f>B49</f>
        <v>29-8-2025</v>
      </c>
      <c r="C50" s="469" t="s">
        <v>768</v>
      </c>
      <c r="D50" s="469" t="s">
        <v>769</v>
      </c>
      <c r="E50" s="474">
        <v>1938000</v>
      </c>
      <c r="F50" s="474">
        <v>581400</v>
      </c>
      <c r="G50" s="475">
        <f t="shared" si="14"/>
        <v>2519400</v>
      </c>
      <c r="H50" s="474">
        <v>1028700</v>
      </c>
      <c r="I50" s="474">
        <v>290700</v>
      </c>
      <c r="J50" s="476">
        <v>12</v>
      </c>
      <c r="K50" s="476">
        <v>6</v>
      </c>
      <c r="L50" s="469"/>
      <c r="M50" s="474"/>
      <c r="N50" s="474"/>
      <c r="O50" s="454">
        <f t="shared" si="12"/>
        <v>0</v>
      </c>
      <c r="P50" s="475">
        <f t="shared" si="15"/>
        <v>1028700</v>
      </c>
      <c r="Q50" s="475">
        <f t="shared" si="13"/>
        <v>290700</v>
      </c>
      <c r="R50" s="477">
        <v>210000</v>
      </c>
      <c r="S50" s="437">
        <f>F50/J50</f>
        <v>48450</v>
      </c>
      <c r="T50" s="437">
        <f>1000000-N50</f>
        <v>1000000</v>
      </c>
      <c r="U50" s="437"/>
      <c r="V50" s="430"/>
      <c r="W50" s="437">
        <f>200000-N50</f>
        <v>200000</v>
      </c>
    </row>
    <row r="51" spans="1:23">
      <c r="A51" s="461">
        <f t="shared" si="11"/>
        <v>47</v>
      </c>
      <c r="B51" s="865" t="str">
        <f>B50</f>
        <v>29-8-2025</v>
      </c>
      <c r="C51" s="469" t="s">
        <v>750</v>
      </c>
      <c r="D51" s="469" t="s">
        <v>765</v>
      </c>
      <c r="E51" s="474">
        <v>604000</v>
      </c>
      <c r="F51" s="474">
        <v>181200</v>
      </c>
      <c r="G51" s="475">
        <f t="shared" si="14"/>
        <v>785200</v>
      </c>
      <c r="H51" s="474">
        <v>604000</v>
      </c>
      <c r="I51" s="474">
        <v>181200</v>
      </c>
      <c r="J51" s="476">
        <v>12</v>
      </c>
      <c r="K51" s="476"/>
      <c r="L51" s="469"/>
      <c r="M51" s="474"/>
      <c r="N51" s="474"/>
      <c r="O51" s="454">
        <f t="shared" si="12"/>
        <v>0</v>
      </c>
      <c r="P51" s="475">
        <f t="shared" si="15"/>
        <v>604000</v>
      </c>
      <c r="Q51" s="475">
        <f t="shared" si="13"/>
        <v>181200</v>
      </c>
      <c r="R51" s="477">
        <v>70000</v>
      </c>
      <c r="S51" s="437">
        <f>P50/J50</f>
        <v>85725</v>
      </c>
      <c r="T51" s="437"/>
      <c r="U51" s="430"/>
      <c r="V51" s="430"/>
      <c r="W51" s="430"/>
    </row>
    <row r="52" spans="1:23">
      <c r="A52" s="461">
        <f t="shared" si="11"/>
        <v>48</v>
      </c>
      <c r="B52" s="865" t="s">
        <v>770</v>
      </c>
      <c r="C52" s="470" t="s">
        <v>771</v>
      </c>
      <c r="D52" s="470" t="s">
        <v>772</v>
      </c>
      <c r="E52" s="478">
        <v>3500000</v>
      </c>
      <c r="F52" s="478">
        <v>1050000</v>
      </c>
      <c r="G52" s="472">
        <f t="shared" si="14"/>
        <v>4550000</v>
      </c>
      <c r="H52" s="471">
        <v>2067500</v>
      </c>
      <c r="I52" s="478">
        <v>682500</v>
      </c>
      <c r="J52" s="473">
        <v>20</v>
      </c>
      <c r="K52" s="473">
        <v>7</v>
      </c>
      <c r="L52" s="868" t="s">
        <v>363</v>
      </c>
      <c r="M52" s="478">
        <v>197500</v>
      </c>
      <c r="N52" s="478">
        <v>52500</v>
      </c>
      <c r="O52" s="457">
        <f t="shared" si="12"/>
        <v>250000</v>
      </c>
      <c r="P52" s="472">
        <f t="shared" si="15"/>
        <v>1870000</v>
      </c>
      <c r="Q52" s="472">
        <f t="shared" si="13"/>
        <v>630000</v>
      </c>
      <c r="R52" s="437">
        <f>F52/J52</f>
        <v>52500</v>
      </c>
      <c r="S52" s="437">
        <f>F52/J52</f>
        <v>52500</v>
      </c>
      <c r="T52" s="437">
        <f>250000-S52</f>
        <v>197500</v>
      </c>
      <c r="U52" s="430"/>
      <c r="V52" s="430"/>
      <c r="W52" s="430"/>
    </row>
    <row r="53" spans="1:23">
      <c r="A53" s="461">
        <f t="shared" si="11"/>
        <v>49</v>
      </c>
      <c r="B53" s="865" t="s">
        <v>773</v>
      </c>
      <c r="C53" s="470" t="s">
        <v>349</v>
      </c>
      <c r="D53" s="470" t="s">
        <v>765</v>
      </c>
      <c r="E53" s="478">
        <v>1645000</v>
      </c>
      <c r="F53" s="478">
        <v>493500</v>
      </c>
      <c r="G53" s="472">
        <f t="shared" si="14"/>
        <v>2138500</v>
      </c>
      <c r="H53" s="471">
        <v>711750</v>
      </c>
      <c r="I53" s="478">
        <v>246750</v>
      </c>
      <c r="J53" s="473">
        <v>12</v>
      </c>
      <c r="K53" s="473">
        <v>7</v>
      </c>
      <c r="L53" s="868" t="s">
        <v>346</v>
      </c>
      <c r="M53" s="478">
        <v>158875</v>
      </c>
      <c r="N53" s="478">
        <v>41125</v>
      </c>
      <c r="O53" s="457">
        <f t="shared" si="12"/>
        <v>200000</v>
      </c>
      <c r="P53" s="472">
        <f t="shared" si="15"/>
        <v>552875</v>
      </c>
      <c r="Q53" s="472">
        <f t="shared" si="13"/>
        <v>205625</v>
      </c>
      <c r="R53" s="477">
        <f>200000-N53</f>
        <v>158875</v>
      </c>
      <c r="S53" s="437">
        <f>F53/J53</f>
        <v>41125</v>
      </c>
      <c r="T53" s="437"/>
      <c r="U53" s="430"/>
      <c r="V53" s="430"/>
      <c r="W53" s="430"/>
    </row>
    <row r="54" spans="1:23">
      <c r="A54" s="461">
        <f t="shared" si="11"/>
        <v>50</v>
      </c>
      <c r="B54" s="869" t="s">
        <v>774</v>
      </c>
      <c r="C54" s="470" t="s">
        <v>378</v>
      </c>
      <c r="D54" s="470" t="s">
        <v>731</v>
      </c>
      <c r="E54" s="478">
        <v>3000000</v>
      </c>
      <c r="F54" s="478">
        <v>450000</v>
      </c>
      <c r="G54" s="472">
        <f t="shared" si="14"/>
        <v>3450000</v>
      </c>
      <c r="H54" s="478">
        <v>2035000</v>
      </c>
      <c r="I54" s="478">
        <v>315000</v>
      </c>
      <c r="J54" s="473">
        <v>10</v>
      </c>
      <c r="K54" s="473">
        <v>7</v>
      </c>
      <c r="L54" s="868" t="s">
        <v>363</v>
      </c>
      <c r="M54" s="478">
        <v>1320000</v>
      </c>
      <c r="N54" s="478">
        <v>180000</v>
      </c>
      <c r="O54" s="457">
        <f t="shared" si="12"/>
        <v>1500000</v>
      </c>
      <c r="P54" s="472">
        <f t="shared" si="15"/>
        <v>715000</v>
      </c>
      <c r="Q54" s="472">
        <f t="shared" si="13"/>
        <v>135000</v>
      </c>
      <c r="R54" s="437">
        <f>400000-N54</f>
        <v>220000</v>
      </c>
      <c r="S54" s="437">
        <f>R48-N48</f>
        <v>221750</v>
      </c>
      <c r="T54" s="437">
        <f>SUM(F54/J54)</f>
        <v>45000</v>
      </c>
      <c r="U54" s="430"/>
      <c r="V54" s="430"/>
      <c r="W54" s="430"/>
    </row>
    <row r="55" spans="1:23">
      <c r="A55" s="461">
        <f t="shared" si="11"/>
        <v>51</v>
      </c>
      <c r="B55" s="870" t="s">
        <v>775</v>
      </c>
      <c r="C55" s="470" t="s">
        <v>776</v>
      </c>
      <c r="D55" s="470" t="s">
        <v>753</v>
      </c>
      <c r="E55" s="478">
        <v>20000000</v>
      </c>
      <c r="F55" s="478">
        <v>18000000</v>
      </c>
      <c r="G55" s="472">
        <f t="shared" si="14"/>
        <v>38000000</v>
      </c>
      <c r="H55" s="478">
        <v>18998000</v>
      </c>
      <c r="I55" s="478">
        <v>17100000</v>
      </c>
      <c r="J55" s="473">
        <v>60</v>
      </c>
      <c r="K55" s="473">
        <v>4</v>
      </c>
      <c r="L55" s="868" t="s">
        <v>285</v>
      </c>
      <c r="M55" s="478">
        <v>334000</v>
      </c>
      <c r="N55" s="478">
        <v>300000</v>
      </c>
      <c r="O55" s="457">
        <f t="shared" si="12"/>
        <v>634000</v>
      </c>
      <c r="P55" s="472">
        <f t="shared" si="15"/>
        <v>18664000</v>
      </c>
      <c r="Q55" s="472">
        <f t="shared" si="13"/>
        <v>16800000</v>
      </c>
      <c r="R55" s="437">
        <f>I55/J55</f>
        <v>285000</v>
      </c>
      <c r="S55" s="437"/>
      <c r="T55" s="437"/>
      <c r="U55" s="430">
        <f>F55/J55</f>
        <v>300000</v>
      </c>
      <c r="V55" s="430"/>
      <c r="W55" s="430"/>
    </row>
    <row r="56" spans="1:23">
      <c r="A56" s="461">
        <f t="shared" si="11"/>
        <v>52</v>
      </c>
      <c r="B56" s="870" t="s">
        <v>777</v>
      </c>
      <c r="C56" s="470" t="s">
        <v>379</v>
      </c>
      <c r="D56" s="470" t="s">
        <v>778</v>
      </c>
      <c r="E56" s="478">
        <v>3500000</v>
      </c>
      <c r="F56" s="478">
        <v>1050000</v>
      </c>
      <c r="G56" s="472">
        <f t="shared" si="14"/>
        <v>4550000</v>
      </c>
      <c r="H56" s="478">
        <v>3105000</v>
      </c>
      <c r="I56" s="478">
        <v>945000</v>
      </c>
      <c r="J56" s="473">
        <v>20</v>
      </c>
      <c r="K56" s="473">
        <v>3</v>
      </c>
      <c r="L56" s="868" t="s">
        <v>363</v>
      </c>
      <c r="M56" s="478">
        <v>197500</v>
      </c>
      <c r="N56" s="478">
        <v>52500</v>
      </c>
      <c r="O56" s="457">
        <f t="shared" si="12"/>
        <v>250000</v>
      </c>
      <c r="P56" s="472">
        <f t="shared" si="15"/>
        <v>2907500</v>
      </c>
      <c r="Q56" s="472">
        <f t="shared" si="13"/>
        <v>892500</v>
      </c>
      <c r="R56" s="437" t="s">
        <v>779</v>
      </c>
      <c r="S56" s="437">
        <f>F56/J56</f>
        <v>52500</v>
      </c>
      <c r="T56" s="437">
        <f>250000-N56</f>
        <v>197500</v>
      </c>
      <c r="U56" s="430"/>
      <c r="V56" s="430"/>
      <c r="W56" s="430"/>
    </row>
    <row r="57" spans="1:23">
      <c r="A57" s="461">
        <f t="shared" si="11"/>
        <v>53</v>
      </c>
      <c r="B57" s="870" t="s">
        <v>780</v>
      </c>
      <c r="C57" s="470" t="s">
        <v>781</v>
      </c>
      <c r="D57" s="470" t="s">
        <v>782</v>
      </c>
      <c r="E57" s="478">
        <v>2200000</v>
      </c>
      <c r="F57" s="478">
        <v>396000</v>
      </c>
      <c r="G57" s="472">
        <f t="shared" si="14"/>
        <v>2596000</v>
      </c>
      <c r="H57" s="478">
        <v>2016000</v>
      </c>
      <c r="I57" s="478">
        <v>363000</v>
      </c>
      <c r="J57" s="473">
        <v>12</v>
      </c>
      <c r="K57" s="473">
        <v>2</v>
      </c>
      <c r="L57" s="868" t="s">
        <v>363</v>
      </c>
      <c r="M57" s="478">
        <v>203875</v>
      </c>
      <c r="N57" s="478">
        <v>13125</v>
      </c>
      <c r="O57" s="457">
        <f t="shared" si="12"/>
        <v>217000</v>
      </c>
      <c r="P57" s="472">
        <f t="shared" si="15"/>
        <v>1812125</v>
      </c>
      <c r="Q57" s="472">
        <f t="shared" si="13"/>
        <v>349875</v>
      </c>
      <c r="R57" s="437"/>
      <c r="S57" s="437">
        <f>G57/J57</f>
        <v>216333.33333333299</v>
      </c>
      <c r="T57" s="437">
        <f>140000-N58</f>
        <v>125000</v>
      </c>
      <c r="U57" s="430"/>
      <c r="V57" s="430"/>
      <c r="W57" s="430"/>
    </row>
    <row r="58" spans="1:23">
      <c r="A58" s="461">
        <f t="shared" si="11"/>
        <v>54</v>
      </c>
      <c r="B58" s="870" t="s">
        <v>783</v>
      </c>
      <c r="C58" s="470" t="s">
        <v>784</v>
      </c>
      <c r="D58" s="470" t="s">
        <v>782</v>
      </c>
      <c r="E58" s="478">
        <v>1000000</v>
      </c>
      <c r="F58" s="478">
        <v>120000</v>
      </c>
      <c r="G58" s="472">
        <f t="shared" si="14"/>
        <v>1120000</v>
      </c>
      <c r="H58" s="478">
        <v>1000000</v>
      </c>
      <c r="I58" s="478">
        <v>120000</v>
      </c>
      <c r="J58" s="473">
        <v>8</v>
      </c>
      <c r="K58" s="480">
        <v>1</v>
      </c>
      <c r="L58" s="868" t="s">
        <v>318</v>
      </c>
      <c r="M58" s="478">
        <v>125000</v>
      </c>
      <c r="N58" s="478">
        <v>15000</v>
      </c>
      <c r="O58" s="457">
        <f t="shared" si="12"/>
        <v>140000</v>
      </c>
      <c r="P58" s="472">
        <f t="shared" si="15"/>
        <v>875000</v>
      </c>
      <c r="Q58" s="472">
        <f t="shared" si="13"/>
        <v>105000</v>
      </c>
      <c r="R58" s="437"/>
      <c r="S58" s="437">
        <f>217000-N57</f>
        <v>203875</v>
      </c>
      <c r="T58" s="437">
        <f>Q58/8</f>
        <v>13125</v>
      </c>
      <c r="U58" s="430"/>
      <c r="V58" s="430"/>
      <c r="W58" s="430"/>
    </row>
    <row r="59" spans="1:23">
      <c r="A59" s="461">
        <f t="shared" si="11"/>
        <v>55</v>
      </c>
      <c r="B59" s="870" t="s">
        <v>783</v>
      </c>
      <c r="C59" s="470" t="s">
        <v>364</v>
      </c>
      <c r="D59" s="470" t="s">
        <v>782</v>
      </c>
      <c r="E59" s="478">
        <v>1100000</v>
      </c>
      <c r="F59" s="478">
        <v>198000</v>
      </c>
      <c r="G59" s="472">
        <f t="shared" si="14"/>
        <v>1298000</v>
      </c>
      <c r="H59" s="478">
        <v>1100000</v>
      </c>
      <c r="I59" s="478">
        <v>198000</v>
      </c>
      <c r="J59" s="473">
        <v>12</v>
      </c>
      <c r="K59" s="473">
        <v>1</v>
      </c>
      <c r="L59" s="868" t="s">
        <v>318</v>
      </c>
      <c r="M59" s="478">
        <v>93500</v>
      </c>
      <c r="N59" s="478">
        <v>16500</v>
      </c>
      <c r="O59" s="457">
        <f t="shared" si="12"/>
        <v>110000</v>
      </c>
      <c r="P59" s="472">
        <f t="shared" si="15"/>
        <v>1006500</v>
      </c>
      <c r="Q59" s="472">
        <f t="shared" si="13"/>
        <v>181500</v>
      </c>
      <c r="R59" s="437"/>
      <c r="S59" s="437">
        <f>110000-N59</f>
        <v>93500</v>
      </c>
      <c r="T59" s="437">
        <f>Q59/12</f>
        <v>15125</v>
      </c>
      <c r="U59" s="430"/>
      <c r="V59" s="430"/>
      <c r="W59" s="430"/>
    </row>
    <row r="60" spans="1:23">
      <c r="A60" s="461">
        <f t="shared" si="11"/>
        <v>56</v>
      </c>
      <c r="B60" s="870" t="s">
        <v>783</v>
      </c>
      <c r="C60" s="470" t="s">
        <v>785</v>
      </c>
      <c r="D60" s="470" t="s">
        <v>782</v>
      </c>
      <c r="E60" s="478">
        <v>900000</v>
      </c>
      <c r="F60" s="478">
        <v>67500</v>
      </c>
      <c r="G60" s="472">
        <f t="shared" si="14"/>
        <v>967500</v>
      </c>
      <c r="H60" s="478">
        <v>720000</v>
      </c>
      <c r="I60" s="478">
        <v>54000</v>
      </c>
      <c r="J60" s="473">
        <v>5</v>
      </c>
      <c r="K60" s="473">
        <v>2</v>
      </c>
      <c r="L60" s="868" t="s">
        <v>318</v>
      </c>
      <c r="M60" s="478">
        <v>186500</v>
      </c>
      <c r="N60" s="478">
        <v>13500</v>
      </c>
      <c r="O60" s="457">
        <f t="shared" si="12"/>
        <v>200000</v>
      </c>
      <c r="P60" s="472">
        <f t="shared" si="15"/>
        <v>533500</v>
      </c>
      <c r="Q60" s="472">
        <f t="shared" si="13"/>
        <v>40500</v>
      </c>
      <c r="R60" s="437"/>
      <c r="S60" s="437">
        <f>Q60/5</f>
        <v>8100</v>
      </c>
      <c r="T60" s="437">
        <f>200000-N60</f>
        <v>186500</v>
      </c>
      <c r="U60" s="430"/>
      <c r="V60" s="430"/>
      <c r="W60" s="430"/>
    </row>
    <row r="61" spans="1:23">
      <c r="A61" s="461">
        <f t="shared" si="11"/>
        <v>57</v>
      </c>
      <c r="B61" s="870" t="s">
        <v>786</v>
      </c>
      <c r="C61" s="470" t="s">
        <v>493</v>
      </c>
      <c r="D61" s="470" t="s">
        <v>787</v>
      </c>
      <c r="E61" s="478">
        <v>2100000</v>
      </c>
      <c r="F61" s="478">
        <v>189000</v>
      </c>
      <c r="G61" s="472">
        <f t="shared" si="14"/>
        <v>2289000</v>
      </c>
      <c r="H61" s="478">
        <v>2100000</v>
      </c>
      <c r="I61" s="478">
        <v>189000</v>
      </c>
      <c r="J61" s="473">
        <v>6</v>
      </c>
      <c r="K61" s="473">
        <v>1</v>
      </c>
      <c r="L61" s="868" t="s">
        <v>330</v>
      </c>
      <c r="M61" s="478">
        <v>358500</v>
      </c>
      <c r="N61" s="478">
        <v>31500</v>
      </c>
      <c r="O61" s="457">
        <f t="shared" si="12"/>
        <v>390000</v>
      </c>
      <c r="P61" s="472">
        <f t="shared" si="15"/>
        <v>1741500</v>
      </c>
      <c r="Q61" s="472">
        <f t="shared" si="13"/>
        <v>157500</v>
      </c>
      <c r="R61" s="437"/>
      <c r="S61" s="437">
        <f>SUM(F60/J60)</f>
        <v>13500</v>
      </c>
      <c r="T61" s="437">
        <f>SUM(G60/J60)</f>
        <v>193500</v>
      </c>
      <c r="U61" s="430"/>
      <c r="V61" s="430"/>
      <c r="W61" s="430"/>
    </row>
    <row r="62" spans="1:23">
      <c r="A62" s="461">
        <f t="shared" si="11"/>
        <v>58</v>
      </c>
      <c r="B62" s="870" t="s">
        <v>788</v>
      </c>
      <c r="C62" s="470" t="s">
        <v>360</v>
      </c>
      <c r="D62" s="470" t="s">
        <v>731</v>
      </c>
      <c r="E62" s="478">
        <v>2600000</v>
      </c>
      <c r="F62" s="478">
        <v>390000</v>
      </c>
      <c r="G62" s="472">
        <f t="shared" si="14"/>
        <v>2990000</v>
      </c>
      <c r="H62" s="478">
        <v>2600000</v>
      </c>
      <c r="I62" s="478">
        <v>390000</v>
      </c>
      <c r="J62" s="473">
        <v>10</v>
      </c>
      <c r="K62" s="473">
        <v>1</v>
      </c>
      <c r="L62" s="868" t="s">
        <v>346</v>
      </c>
      <c r="M62" s="478">
        <v>260000</v>
      </c>
      <c r="N62" s="478">
        <v>39000</v>
      </c>
      <c r="O62" s="457">
        <f t="shared" si="12"/>
        <v>299000</v>
      </c>
      <c r="P62" s="472">
        <f t="shared" si="15"/>
        <v>2340000</v>
      </c>
      <c r="Q62" s="472">
        <f t="shared" si="13"/>
        <v>351000</v>
      </c>
      <c r="R62" s="437">
        <f>299000-N62</f>
        <v>260000</v>
      </c>
      <c r="S62" s="437">
        <f>F62/J62</f>
        <v>39000</v>
      </c>
      <c r="T62" s="437">
        <f>390000-N61</f>
        <v>358500</v>
      </c>
      <c r="U62" s="430"/>
      <c r="V62" s="430"/>
      <c r="W62" s="430"/>
    </row>
    <row r="63" spans="1:23">
      <c r="A63" s="461">
        <f t="shared" si="11"/>
        <v>59</v>
      </c>
      <c r="B63" s="870" t="s">
        <v>788</v>
      </c>
      <c r="C63" s="470" t="s">
        <v>359</v>
      </c>
      <c r="D63" s="470" t="s">
        <v>731</v>
      </c>
      <c r="E63" s="478">
        <v>3100000</v>
      </c>
      <c r="F63" s="478">
        <v>465000</v>
      </c>
      <c r="G63" s="472">
        <f t="shared" si="14"/>
        <v>3565000</v>
      </c>
      <c r="H63" s="478">
        <v>3100000</v>
      </c>
      <c r="I63" s="478">
        <v>465000</v>
      </c>
      <c r="J63" s="473">
        <v>10</v>
      </c>
      <c r="K63" s="473">
        <v>1</v>
      </c>
      <c r="L63" s="868" t="s">
        <v>346</v>
      </c>
      <c r="M63" s="478">
        <v>310000</v>
      </c>
      <c r="N63" s="478">
        <v>46500</v>
      </c>
      <c r="O63" s="457">
        <f t="shared" si="12"/>
        <v>356500</v>
      </c>
      <c r="P63" s="472">
        <f t="shared" si="15"/>
        <v>2790000</v>
      </c>
      <c r="Q63" s="472">
        <f t="shared" si="13"/>
        <v>418500</v>
      </c>
      <c r="R63" s="437">
        <f>356500-46500</f>
        <v>310000</v>
      </c>
      <c r="S63" s="437"/>
      <c r="T63" s="437"/>
      <c r="U63" s="430"/>
      <c r="V63" s="430"/>
      <c r="W63" s="430"/>
    </row>
    <row r="64" spans="1:23">
      <c r="A64" s="461">
        <f t="shared" si="11"/>
        <v>60</v>
      </c>
      <c r="B64" s="870" t="s">
        <v>788</v>
      </c>
      <c r="C64" s="470" t="s">
        <v>324</v>
      </c>
      <c r="D64" s="470" t="s">
        <v>789</v>
      </c>
      <c r="E64" s="478">
        <v>1450000</v>
      </c>
      <c r="F64" s="478">
        <v>261000</v>
      </c>
      <c r="G64" s="472">
        <f t="shared" si="14"/>
        <v>1711000</v>
      </c>
      <c r="H64" s="478">
        <v>1321750</v>
      </c>
      <c r="I64" s="478">
        <v>239250</v>
      </c>
      <c r="J64" s="473">
        <v>12</v>
      </c>
      <c r="K64" s="473">
        <v>2</v>
      </c>
      <c r="L64" s="868" t="s">
        <v>330</v>
      </c>
      <c r="M64" s="478">
        <v>128250</v>
      </c>
      <c r="N64" s="478">
        <v>21750</v>
      </c>
      <c r="O64" s="457">
        <f t="shared" si="12"/>
        <v>150000</v>
      </c>
      <c r="P64" s="472">
        <f t="shared" si="15"/>
        <v>1193500</v>
      </c>
      <c r="Q64" s="472">
        <f t="shared" si="13"/>
        <v>217500</v>
      </c>
      <c r="R64" s="437"/>
      <c r="S64" s="437">
        <f>F64/12</f>
        <v>21750</v>
      </c>
      <c r="T64" s="437">
        <f>150000-N64</f>
        <v>128250</v>
      </c>
      <c r="U64" s="430"/>
      <c r="V64" s="430"/>
      <c r="W64" s="430"/>
    </row>
    <row r="65" spans="1:23">
      <c r="A65" s="461">
        <f t="shared" si="11"/>
        <v>61</v>
      </c>
      <c r="B65" s="870" t="s">
        <v>790</v>
      </c>
      <c r="C65" s="470" t="s">
        <v>377</v>
      </c>
      <c r="D65" s="470" t="s">
        <v>791</v>
      </c>
      <c r="E65" s="478">
        <v>5000000</v>
      </c>
      <c r="F65" s="478">
        <v>750000</v>
      </c>
      <c r="G65" s="472">
        <f t="shared" si="14"/>
        <v>5750000</v>
      </c>
      <c r="H65" s="478">
        <v>5000000</v>
      </c>
      <c r="I65" s="478">
        <v>750000</v>
      </c>
      <c r="J65" s="473">
        <v>10</v>
      </c>
      <c r="K65" s="473">
        <v>1</v>
      </c>
      <c r="L65" s="868" t="s">
        <v>363</v>
      </c>
      <c r="M65" s="478">
        <v>500000</v>
      </c>
      <c r="N65" s="478">
        <v>75000</v>
      </c>
      <c r="O65" s="457">
        <f t="shared" si="12"/>
        <v>575000</v>
      </c>
      <c r="P65" s="472">
        <f t="shared" si="15"/>
        <v>4500000</v>
      </c>
      <c r="Q65" s="472">
        <f t="shared" si="13"/>
        <v>675000</v>
      </c>
      <c r="R65" s="437"/>
      <c r="S65" s="437">
        <f>F65/J65</f>
        <v>75000</v>
      </c>
      <c r="T65" s="437"/>
      <c r="U65" s="430"/>
      <c r="V65" s="430"/>
      <c r="W65" s="430"/>
    </row>
    <row r="66" spans="1:23">
      <c r="A66" s="461">
        <f t="shared" si="11"/>
        <v>62</v>
      </c>
      <c r="B66" s="870" t="s">
        <v>346</v>
      </c>
      <c r="C66" s="481" t="s">
        <v>758</v>
      </c>
      <c r="D66" s="481" t="s">
        <v>751</v>
      </c>
      <c r="E66" s="482">
        <v>30000000</v>
      </c>
      <c r="F66" s="482">
        <v>4500000</v>
      </c>
      <c r="G66" s="475">
        <f t="shared" si="14"/>
        <v>34500000</v>
      </c>
      <c r="H66" s="482">
        <v>30000000</v>
      </c>
      <c r="I66" s="482">
        <v>4500000</v>
      </c>
      <c r="J66" s="479">
        <v>3</v>
      </c>
      <c r="K66" s="479">
        <v>3</v>
      </c>
      <c r="L66" s="479"/>
      <c r="M66" s="482"/>
      <c r="N66" s="482"/>
      <c r="O66" s="454">
        <f t="shared" si="12"/>
        <v>0</v>
      </c>
      <c r="P66" s="475">
        <f t="shared" si="15"/>
        <v>30000000</v>
      </c>
      <c r="Q66" s="475">
        <f t="shared" si="13"/>
        <v>4500000</v>
      </c>
      <c r="R66" s="437"/>
      <c r="S66" s="437"/>
      <c r="T66" s="437"/>
      <c r="U66" s="430"/>
      <c r="V66" s="430"/>
      <c r="W66" s="430"/>
    </row>
    <row r="67" spans="1:23">
      <c r="A67" s="963" t="s">
        <v>792</v>
      </c>
      <c r="B67" s="963"/>
      <c r="C67" s="963"/>
      <c r="D67" s="963"/>
      <c r="E67" s="484">
        <f>SUM(E5:E34)</f>
        <v>333691600</v>
      </c>
      <c r="F67" s="484">
        <f>SUM(F5:F34)</f>
        <v>104583740</v>
      </c>
      <c r="G67" s="484"/>
      <c r="H67" s="484">
        <f>SUM(H5:H41)</f>
        <v>290151776</v>
      </c>
      <c r="I67" s="484"/>
      <c r="J67" s="963"/>
      <c r="K67" s="963"/>
      <c r="L67" s="483"/>
      <c r="M67" s="484">
        <f>SUM(M5:M66)</f>
        <v>63250500</v>
      </c>
      <c r="N67" s="484">
        <f>SUM(N5:N66)</f>
        <v>7447000</v>
      </c>
      <c r="O67" s="484">
        <f>SUM(O6:O66)</f>
        <v>70697500</v>
      </c>
      <c r="P67" s="485">
        <f>SUM(P5:P66)</f>
        <v>342654476</v>
      </c>
      <c r="Q67" s="484">
        <f>SUM(Q6:Q66)</f>
        <v>91234783</v>
      </c>
      <c r="R67" s="437"/>
      <c r="S67" s="437"/>
      <c r="T67" s="437"/>
      <c r="U67" s="430"/>
      <c r="V67" s="430"/>
      <c r="W67" s="430"/>
    </row>
    <row r="68" spans="1:23">
      <c r="E68" s="467"/>
      <c r="F68" s="467"/>
      <c r="L68" s="467"/>
      <c r="P68" s="486"/>
      <c r="Q68" s="487"/>
      <c r="R68" s="437">
        <f>Q40-N40</f>
        <v>33567700</v>
      </c>
      <c r="S68" s="437">
        <f>P40-M40</f>
        <v>52432300</v>
      </c>
      <c r="T68" s="437"/>
      <c r="U68" s="430"/>
      <c r="V68" s="430"/>
      <c r="W68" s="430"/>
    </row>
    <row r="69" spans="1:23">
      <c r="A69" s="958" t="s">
        <v>658</v>
      </c>
      <c r="B69" s="958"/>
      <c r="C69" s="958"/>
      <c r="D69" s="958"/>
      <c r="E69" s="958"/>
      <c r="F69" s="958"/>
      <c r="G69" s="958"/>
      <c r="H69" s="958"/>
      <c r="I69" s="958"/>
      <c r="J69" s="958"/>
      <c r="K69" s="958"/>
      <c r="L69" s="958"/>
      <c r="M69" s="958"/>
      <c r="N69" s="958"/>
      <c r="O69" s="958"/>
      <c r="P69" s="958"/>
      <c r="Q69" s="958"/>
      <c r="R69" s="437"/>
      <c r="S69" s="437"/>
      <c r="T69" s="437"/>
      <c r="U69" s="430"/>
      <c r="V69" s="430"/>
      <c r="W69" s="430"/>
    </row>
    <row r="70" spans="1:23">
      <c r="C70" s="431" t="s">
        <v>429</v>
      </c>
      <c r="D70" s="432"/>
      <c r="G70" s="431"/>
      <c r="H70" s="431"/>
      <c r="I70" s="431"/>
      <c r="J70" s="431"/>
      <c r="N70" s="488"/>
      <c r="O70" s="958" t="s">
        <v>428</v>
      </c>
      <c r="P70" s="958"/>
      <c r="Q70" s="958"/>
      <c r="T70" s="489"/>
      <c r="U70" s="489"/>
      <c r="V70" s="467"/>
    </row>
    <row r="71" spans="1:23">
      <c r="C71" s="431" t="s">
        <v>660</v>
      </c>
      <c r="D71" s="432"/>
      <c r="F71" s="958" t="s">
        <v>661</v>
      </c>
      <c r="G71" s="958"/>
      <c r="H71" s="958"/>
      <c r="I71" s="958"/>
      <c r="J71" s="958"/>
      <c r="K71" s="958"/>
      <c r="L71" s="958"/>
      <c r="N71" s="467"/>
      <c r="O71" s="958" t="s">
        <v>793</v>
      </c>
      <c r="P71" s="958"/>
      <c r="Q71" s="958"/>
      <c r="T71" s="467"/>
      <c r="U71" s="467"/>
    </row>
    <row r="72" spans="1:23">
      <c r="C72" s="432"/>
      <c r="D72" s="489"/>
      <c r="G72" s="490"/>
      <c r="H72" s="490"/>
      <c r="I72" s="490"/>
      <c r="J72" s="489"/>
      <c r="P72" s="429"/>
      <c r="Q72" s="429"/>
      <c r="T72" s="467"/>
    </row>
    <row r="73" spans="1:23">
      <c r="C73" s="489"/>
      <c r="D73" s="491"/>
      <c r="J73" s="489"/>
      <c r="P73" s="429"/>
      <c r="Q73" s="429"/>
      <c r="T73" s="467"/>
    </row>
    <row r="74" spans="1:23">
      <c r="C74" s="491"/>
      <c r="D74" s="491"/>
      <c r="J74" s="489"/>
      <c r="N74" s="467"/>
    </row>
    <row r="75" spans="1:23" ht="17.25">
      <c r="C75" s="492" t="s">
        <v>794</v>
      </c>
      <c r="D75" s="491"/>
      <c r="G75" s="493"/>
      <c r="H75" s="493" t="s">
        <v>431</v>
      </c>
      <c r="I75" s="493"/>
      <c r="J75" s="493"/>
      <c r="O75" s="964" t="s">
        <v>117</v>
      </c>
      <c r="P75" s="964"/>
      <c r="Q75" s="964"/>
    </row>
  </sheetData>
  <mergeCells count="20">
    <mergeCell ref="O75:Q75"/>
    <mergeCell ref="A3:A4"/>
    <mergeCell ref="B3:B4"/>
    <mergeCell ref="C3:C4"/>
    <mergeCell ref="D3:D4"/>
    <mergeCell ref="E3:E4"/>
    <mergeCell ref="F3:F4"/>
    <mergeCell ref="G3:G4"/>
    <mergeCell ref="J3:J4"/>
    <mergeCell ref="A67:D67"/>
    <mergeCell ref="J67:K67"/>
    <mergeCell ref="A69:Q69"/>
    <mergeCell ref="O70:Q70"/>
    <mergeCell ref="F71:L71"/>
    <mergeCell ref="O71:Q71"/>
    <mergeCell ref="A1:Q1"/>
    <mergeCell ref="A2:Q2"/>
    <mergeCell ref="H3:I3"/>
    <mergeCell ref="K3:O3"/>
    <mergeCell ref="P3:Q3"/>
  </mergeCells>
  <pageMargins left="0.31458333333333299" right="0.25" top="0.87916666666666698" bottom="0.75" header="0.3" footer="0.3"/>
  <pageSetup paperSize="5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80"/>
  <sheetViews>
    <sheetView view="pageBreakPreview" topLeftCell="A60" zoomScaleNormal="120" workbookViewId="0">
      <selection activeCell="H66" sqref="H66"/>
    </sheetView>
  </sheetViews>
  <sheetFormatPr defaultColWidth="9" defaultRowHeight="15"/>
  <cols>
    <col min="1" max="1" width="4" style="389" customWidth="1"/>
    <col min="2" max="2" width="21.140625" style="390" customWidth="1"/>
    <col min="3" max="3" width="11.42578125" style="390" customWidth="1"/>
    <col min="4" max="4" width="12" style="390" customWidth="1"/>
    <col min="5" max="7" width="13" style="390" customWidth="1"/>
    <col min="8" max="8" width="12.7109375" style="390" customWidth="1"/>
    <col min="9" max="9" width="11.5703125" style="390" customWidth="1"/>
    <col min="10" max="10" width="13.42578125" style="390" customWidth="1"/>
    <col min="11" max="11" width="12" style="390" customWidth="1"/>
    <col min="12" max="12" width="11.140625" style="390" customWidth="1"/>
    <col min="13" max="13" width="11.42578125" style="390" customWidth="1"/>
    <col min="14" max="19" width="12" style="390" customWidth="1"/>
    <col min="20" max="28" width="11.42578125" style="390" customWidth="1"/>
    <col min="29" max="29" width="19.140625" style="390" customWidth="1"/>
    <col min="30" max="37" width="11.42578125" style="390" customWidth="1"/>
    <col min="38" max="16383" width="9" style="390"/>
  </cols>
  <sheetData>
    <row r="1" spans="1:37" s="384" customFormat="1" ht="13.5" customHeight="1">
      <c r="A1" s="972" t="s">
        <v>795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2"/>
      <c r="S1" s="972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</row>
    <row r="2" spans="1:37" s="384" customFormat="1" ht="13.5" customHeight="1">
      <c r="A2" s="972" t="s">
        <v>796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</row>
    <row r="3" spans="1:37" s="384" customFormat="1" ht="13.5" customHeight="1">
      <c r="A3" s="972" t="s">
        <v>797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</row>
    <row r="5" spans="1:37" s="385" customFormat="1" ht="12.75" customHeight="1">
      <c r="A5" s="981" t="s">
        <v>439</v>
      </c>
      <c r="B5" s="979" t="s">
        <v>798</v>
      </c>
      <c r="C5" s="973" t="s">
        <v>180</v>
      </c>
      <c r="D5" s="974"/>
      <c r="E5" s="974"/>
      <c r="F5" s="974"/>
      <c r="G5" s="974"/>
      <c r="H5" s="974"/>
      <c r="I5" s="973" t="s">
        <v>181</v>
      </c>
      <c r="J5" s="974"/>
      <c r="K5" s="974"/>
      <c r="L5" s="974"/>
      <c r="M5" s="974"/>
      <c r="N5" s="974"/>
      <c r="O5" s="973" t="s">
        <v>799</v>
      </c>
      <c r="P5" s="974"/>
      <c r="Q5" s="974"/>
      <c r="R5" s="974"/>
      <c r="S5" s="974"/>
      <c r="T5" s="975"/>
    </row>
    <row r="6" spans="1:37" s="385" customFormat="1" ht="12.75" customHeight="1">
      <c r="A6" s="982"/>
      <c r="B6" s="984"/>
      <c r="C6" s="981" t="s">
        <v>127</v>
      </c>
      <c r="D6" s="979" t="s">
        <v>209</v>
      </c>
      <c r="E6" s="976" t="s">
        <v>800</v>
      </c>
      <c r="F6" s="976" t="s">
        <v>801</v>
      </c>
      <c r="G6" s="976"/>
      <c r="H6" s="976"/>
      <c r="I6" s="981" t="s">
        <v>127</v>
      </c>
      <c r="J6" s="979" t="s">
        <v>209</v>
      </c>
      <c r="K6" s="976" t="s">
        <v>800</v>
      </c>
      <c r="L6" s="976" t="s">
        <v>801</v>
      </c>
      <c r="M6" s="976"/>
      <c r="N6" s="976"/>
      <c r="O6" s="981" t="s">
        <v>127</v>
      </c>
      <c r="P6" s="979" t="s">
        <v>209</v>
      </c>
      <c r="Q6" s="976" t="s">
        <v>800</v>
      </c>
      <c r="R6" s="974" t="s">
        <v>801</v>
      </c>
      <c r="S6" s="974"/>
      <c r="T6" s="975"/>
    </row>
    <row r="7" spans="1:37" s="385" customFormat="1" ht="12.75" customHeight="1">
      <c r="A7" s="983"/>
      <c r="B7" s="985"/>
      <c r="C7" s="983"/>
      <c r="D7" s="985"/>
      <c r="E7" s="976"/>
      <c r="F7" s="397" t="s">
        <v>802</v>
      </c>
      <c r="G7" s="396" t="s">
        <v>803</v>
      </c>
      <c r="H7" s="398" t="s">
        <v>804</v>
      </c>
      <c r="I7" s="983"/>
      <c r="J7" s="985"/>
      <c r="K7" s="976"/>
      <c r="L7" s="397" t="s">
        <v>802</v>
      </c>
      <c r="M7" s="396" t="s">
        <v>803</v>
      </c>
      <c r="N7" s="395" t="s">
        <v>804</v>
      </c>
      <c r="O7" s="983"/>
      <c r="P7" s="985"/>
      <c r="Q7" s="976"/>
      <c r="R7" s="393" t="s">
        <v>802</v>
      </c>
      <c r="S7" s="394" t="s">
        <v>803</v>
      </c>
      <c r="T7" s="394" t="s">
        <v>804</v>
      </c>
    </row>
    <row r="8" spans="1:37" s="386" customFormat="1" ht="12.75" customHeight="1">
      <c r="A8" s="399">
        <v>1</v>
      </c>
      <c r="B8" s="400" t="s">
        <v>213</v>
      </c>
      <c r="C8" s="401">
        <f>SUM('[45]RUGI LABA '!$C$12)</f>
        <v>3403256</v>
      </c>
      <c r="D8" s="986">
        <f>SUM('[45]RUGI LABA '!$F$26)</f>
        <v>16640029.1666667</v>
      </c>
      <c r="E8" s="986">
        <f>SUM(C16-D8)</f>
        <v>437646.83333330043</v>
      </c>
      <c r="F8" s="986">
        <f>E8*75%</f>
        <v>328235.12499997532</v>
      </c>
      <c r="G8" s="986">
        <f>E8*20%</f>
        <v>87529.366666660091</v>
      </c>
      <c r="H8" s="987">
        <f>SUM(E8*5%)</f>
        <v>21882.341666665023</v>
      </c>
      <c r="I8" s="401">
        <f>SUM([46]REKAP!$I$8)</f>
        <v>4175520</v>
      </c>
      <c r="J8" s="986">
        <f>SUM([46]REKAP!$J$8)</f>
        <v>15945029.1666667</v>
      </c>
      <c r="K8" s="986">
        <f>SUM(I16-J8)</f>
        <v>387492.83333330043</v>
      </c>
      <c r="L8" s="986">
        <f>SUM(K8*75%)</f>
        <v>290619.62499997532</v>
      </c>
      <c r="M8" s="986">
        <f>SUM(K8*20%)</f>
        <v>77498.566666660088</v>
      </c>
      <c r="N8" s="986">
        <f>SUM(K8*5%)</f>
        <v>19374.641666665022</v>
      </c>
      <c r="O8" s="401">
        <f>SUM([47]REKAP!$O$8)</f>
        <v>2957700</v>
      </c>
      <c r="P8" s="986">
        <f>SUM([47]REKAP!$P$8)</f>
        <v>16870029.166666701</v>
      </c>
      <c r="Q8" s="986">
        <f>SUM(O16-P8)</f>
        <v>962846.83333329903</v>
      </c>
      <c r="R8" s="997">
        <f>SUM(Q8*75%)</f>
        <v>722135.12499997404</v>
      </c>
      <c r="S8" s="986">
        <f>SUM(Q8*20%)</f>
        <v>192569.36666666</v>
      </c>
      <c r="T8" s="986">
        <f>SUM(Q8*5%)</f>
        <v>48142.341666664899</v>
      </c>
      <c r="U8" s="403"/>
      <c r="V8" s="403">
        <f>SUM(C8+I8+O8)</f>
        <v>10536476</v>
      </c>
      <c r="W8" s="404">
        <v>8525975</v>
      </c>
    </row>
    <row r="9" spans="1:37" s="386" customFormat="1" ht="12.75" customHeight="1">
      <c r="A9" s="399">
        <v>2</v>
      </c>
      <c r="B9" s="400" t="s">
        <v>211</v>
      </c>
      <c r="C9" s="401">
        <f>SUM('[45]RUGI LABA '!$C$9)</f>
        <v>8815913</v>
      </c>
      <c r="D9" s="986"/>
      <c r="E9" s="986"/>
      <c r="F9" s="986"/>
      <c r="G9" s="986"/>
      <c r="H9" s="987"/>
      <c r="I9" s="401">
        <f>SUM([46]REKAP!$I$9)</f>
        <v>7794055</v>
      </c>
      <c r="J9" s="986"/>
      <c r="K9" s="986"/>
      <c r="L9" s="986"/>
      <c r="M9" s="986"/>
      <c r="N9" s="986"/>
      <c r="O9" s="401">
        <f>SUM([47]REKAP!$O$9)</f>
        <v>7005396</v>
      </c>
      <c r="P9" s="986"/>
      <c r="Q9" s="986"/>
      <c r="R9" s="997"/>
      <c r="S9" s="986"/>
      <c r="T9" s="986"/>
      <c r="U9" s="403"/>
      <c r="V9" s="403">
        <f>C9+I9+O9</f>
        <v>23615364</v>
      </c>
    </row>
    <row r="10" spans="1:37" s="386" customFormat="1" ht="12.75" customHeight="1">
      <c r="A10" s="399">
        <v>3</v>
      </c>
      <c r="B10" s="400" t="s">
        <v>805</v>
      </c>
      <c r="C10" s="401">
        <f>SUM('[45]RUGI LABA '!$C$13)</f>
        <v>3631205</v>
      </c>
      <c r="D10" s="986"/>
      <c r="E10" s="986"/>
      <c r="F10" s="986"/>
      <c r="G10" s="986"/>
      <c r="H10" s="987"/>
      <c r="I10" s="401">
        <f>SUM([46]REKAP!$I$10)</f>
        <v>3306497</v>
      </c>
      <c r="J10" s="986"/>
      <c r="K10" s="986"/>
      <c r="L10" s="986"/>
      <c r="M10" s="986"/>
      <c r="N10" s="986"/>
      <c r="O10" s="401">
        <f>SUM([47]REKAP!$O$10)</f>
        <v>4016780</v>
      </c>
      <c r="P10" s="986"/>
      <c r="Q10" s="986"/>
      <c r="R10" s="997"/>
      <c r="S10" s="986"/>
      <c r="T10" s="986"/>
      <c r="U10" s="403"/>
      <c r="V10" s="403">
        <f>C10+I10+O10</f>
        <v>10954482</v>
      </c>
    </row>
    <row r="11" spans="1:37" s="386" customFormat="1" ht="12.75" customHeight="1">
      <c r="A11" s="399">
        <v>4</v>
      </c>
      <c r="B11" s="400" t="s">
        <v>806</v>
      </c>
      <c r="C11" s="401"/>
      <c r="D11" s="986"/>
      <c r="E11" s="986"/>
      <c r="F11" s="986"/>
      <c r="G11" s="986"/>
      <c r="H11" s="987"/>
      <c r="I11" s="401"/>
      <c r="J11" s="986"/>
      <c r="K11" s="986"/>
      <c r="L11" s="986"/>
      <c r="M11" s="986"/>
      <c r="N11" s="986"/>
      <c r="O11" s="401">
        <f>SUM([47]REKAP!$O$11)</f>
        <v>2675000</v>
      </c>
      <c r="P11" s="986"/>
      <c r="Q11" s="986"/>
      <c r="R11" s="997"/>
      <c r="S11" s="986"/>
      <c r="T11" s="986"/>
      <c r="U11" s="403"/>
      <c r="V11" s="403">
        <f>C11+I11+O11</f>
        <v>2675000</v>
      </c>
    </row>
    <row r="12" spans="1:37" s="386" customFormat="1" ht="12.75" customHeight="1">
      <c r="A12" s="399">
        <v>5</v>
      </c>
      <c r="B12" s="400" t="s">
        <v>807</v>
      </c>
      <c r="C12" s="401">
        <f>SUM('[45]RUGI LABA '!$C$10)</f>
        <v>800000</v>
      </c>
      <c r="D12" s="986"/>
      <c r="E12" s="986"/>
      <c r="F12" s="986"/>
      <c r="G12" s="986"/>
      <c r="H12" s="987"/>
      <c r="I12" s="401">
        <f>SUM([46]REKAP!$I$12)</f>
        <v>800000</v>
      </c>
      <c r="J12" s="986"/>
      <c r="K12" s="986"/>
      <c r="L12" s="986"/>
      <c r="M12" s="986"/>
      <c r="N12" s="986"/>
      <c r="O12" s="401">
        <f>SUM([47]REKAP!$O$12)</f>
        <v>800000</v>
      </c>
      <c r="P12" s="986"/>
      <c r="Q12" s="986"/>
      <c r="R12" s="997"/>
      <c r="S12" s="986"/>
      <c r="T12" s="986"/>
      <c r="U12" s="403"/>
      <c r="V12" s="403">
        <f>C12+I12+O12</f>
        <v>2400000</v>
      </c>
      <c r="Z12" s="403">
        <f>SUM(V8+V22)</f>
        <v>14698616</v>
      </c>
    </row>
    <row r="13" spans="1:37" s="386" customFormat="1" ht="12.75" customHeight="1">
      <c r="A13" s="399">
        <v>6</v>
      </c>
      <c r="B13" s="400" t="s">
        <v>217</v>
      </c>
      <c r="C13" s="401">
        <v>0</v>
      </c>
      <c r="D13" s="986"/>
      <c r="E13" s="986"/>
      <c r="F13" s="986"/>
      <c r="G13" s="986"/>
      <c r="H13" s="987"/>
      <c r="I13" s="401"/>
      <c r="J13" s="986"/>
      <c r="K13" s="986"/>
      <c r="L13" s="986"/>
      <c r="M13" s="986"/>
      <c r="N13" s="986"/>
      <c r="O13" s="401"/>
      <c r="P13" s="986"/>
      <c r="Q13" s="986"/>
      <c r="R13" s="997"/>
      <c r="S13" s="986"/>
      <c r="T13" s="986"/>
      <c r="Z13" s="403">
        <f>V9+V23</f>
        <v>31019461</v>
      </c>
    </row>
    <row r="14" spans="1:37" s="386" customFormat="1" ht="12.75" customHeight="1">
      <c r="A14" s="399">
        <v>7</v>
      </c>
      <c r="B14" s="400" t="s">
        <v>216</v>
      </c>
      <c r="C14" s="401">
        <f>SUM('[45]RUGI LABA '!$C$11)</f>
        <v>195000</v>
      </c>
      <c r="D14" s="986"/>
      <c r="E14" s="986"/>
      <c r="F14" s="986"/>
      <c r="G14" s="986"/>
      <c r="H14" s="987"/>
      <c r="I14" s="401">
        <f>SUM([46]REKAP!$I$14)</f>
        <v>30000</v>
      </c>
      <c r="J14" s="986"/>
      <c r="K14" s="986"/>
      <c r="L14" s="986"/>
      <c r="M14" s="986"/>
      <c r="N14" s="986"/>
      <c r="O14" s="401"/>
      <c r="P14" s="986"/>
      <c r="Q14" s="986"/>
      <c r="R14" s="997"/>
      <c r="S14" s="986"/>
      <c r="T14" s="986"/>
      <c r="Z14" s="403"/>
    </row>
    <row r="15" spans="1:37" s="386" customFormat="1" ht="12.75" customHeight="1">
      <c r="A15" s="399">
        <v>8</v>
      </c>
      <c r="B15" s="400" t="s">
        <v>808</v>
      </c>
      <c r="C15" s="401">
        <f>SUM('[45]RUGI LABA '!$C$16)</f>
        <v>232302</v>
      </c>
      <c r="D15" s="986"/>
      <c r="E15" s="986"/>
      <c r="F15" s="986"/>
      <c r="G15" s="986"/>
      <c r="H15" s="988"/>
      <c r="I15" s="401">
        <f>SUM([46]REKAP!$I$15)</f>
        <v>226450</v>
      </c>
      <c r="J15" s="986"/>
      <c r="K15" s="986"/>
      <c r="L15" s="986"/>
      <c r="M15" s="986"/>
      <c r="N15" s="986"/>
      <c r="O15" s="401">
        <f>SUM([47]REKAP!$O$15)</f>
        <v>378000</v>
      </c>
      <c r="P15" s="986"/>
      <c r="Q15" s="986"/>
      <c r="R15" s="997"/>
      <c r="S15" s="986"/>
      <c r="T15" s="986"/>
      <c r="Z15" s="403"/>
    </row>
    <row r="16" spans="1:37" s="387" customFormat="1" ht="12.75" customHeight="1">
      <c r="A16" s="394"/>
      <c r="B16" s="405" t="s">
        <v>111</v>
      </c>
      <c r="C16" s="406">
        <f>SUM(C8:C15)</f>
        <v>17077676</v>
      </c>
      <c r="D16" s="406"/>
      <c r="E16" s="406"/>
      <c r="F16" s="406"/>
      <c r="G16" s="406"/>
      <c r="H16" s="406"/>
      <c r="I16" s="406">
        <f>SUM(I8:I15)</f>
        <v>16332522</v>
      </c>
      <c r="J16" s="406"/>
      <c r="K16" s="406"/>
      <c r="L16" s="406"/>
      <c r="M16" s="406"/>
      <c r="N16" s="406"/>
      <c r="O16" s="406">
        <f>SUM(O8:O15)</f>
        <v>17832876</v>
      </c>
      <c r="P16" s="406"/>
      <c r="Q16" s="406"/>
      <c r="R16" s="406"/>
      <c r="S16" s="406"/>
      <c r="T16" s="406"/>
      <c r="U16" s="407"/>
      <c r="V16" s="407">
        <f>SUM(V8:V13)</f>
        <v>50181322</v>
      </c>
      <c r="W16" s="407">
        <f>D8+J8+P8</f>
        <v>49455087.500000104</v>
      </c>
      <c r="X16" s="408"/>
      <c r="Y16" s="408"/>
      <c r="Z16" s="408">
        <f>SUM(V10+V24)</f>
        <v>18401482</v>
      </c>
      <c r="AA16" s="408"/>
    </row>
    <row r="17" spans="1:37" s="387" customFormat="1" ht="12.75" customHeight="1">
      <c r="A17" s="409"/>
      <c r="B17" s="410"/>
      <c r="C17" s="411"/>
      <c r="D17" s="411"/>
      <c r="E17" s="411"/>
      <c r="F17" s="411"/>
      <c r="G17" s="411"/>
      <c r="H17" s="411"/>
      <c r="I17" s="411"/>
      <c r="J17" s="411"/>
      <c r="K17" s="411"/>
      <c r="L17" s="411">
        <f>SUM(F8+L8)</f>
        <v>618854.74999995064</v>
      </c>
      <c r="M17" s="411">
        <f>SUM(G8+M8)</f>
        <v>165027.93333332019</v>
      </c>
      <c r="N17" s="411"/>
      <c r="O17" s="411"/>
      <c r="P17" s="411"/>
      <c r="Q17" s="411"/>
      <c r="R17" s="411">
        <f>SUM(L17+R8)</f>
        <v>1340989.8749999246</v>
      </c>
      <c r="S17" s="411">
        <f>SUM(M17+S8)</f>
        <v>357597.2999999802</v>
      </c>
      <c r="W17" s="407">
        <f>E8+K8+Q8</f>
        <v>1787986.4999998999</v>
      </c>
      <c r="X17" s="412">
        <f>W17*75%</f>
        <v>1340989.874999925</v>
      </c>
      <c r="Y17" s="412"/>
      <c r="Z17" s="412">
        <f>SUM(V11+V25)</f>
        <v>5175000</v>
      </c>
      <c r="AA17" s="412"/>
    </row>
    <row r="18" spans="1:37" s="387" customFormat="1" ht="12.75" customHeight="1">
      <c r="A18" s="409"/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W18" s="407">
        <f>V16-W16</f>
        <v>726234.49999989569</v>
      </c>
      <c r="X18" s="412">
        <f>W17*20%</f>
        <v>357597.29999998002</v>
      </c>
      <c r="Y18" s="412">
        <f>F8+L8+R8</f>
        <v>1340989.8749999246</v>
      </c>
      <c r="Z18" s="412">
        <f>SUM(V12+V26)</f>
        <v>3200000</v>
      </c>
      <c r="AA18" s="412">
        <f>W16+W30</f>
        <v>69640116.666666776</v>
      </c>
    </row>
    <row r="19" spans="1:37" s="387" customFormat="1" ht="12.75" customHeight="1">
      <c r="A19" s="981" t="s">
        <v>439</v>
      </c>
      <c r="B19" s="979" t="s">
        <v>798</v>
      </c>
      <c r="C19" s="973" t="s">
        <v>809</v>
      </c>
      <c r="D19" s="974"/>
      <c r="E19" s="974"/>
      <c r="F19" s="974"/>
      <c r="G19" s="975"/>
      <c r="H19" s="392"/>
      <c r="I19" s="973" t="s">
        <v>184</v>
      </c>
      <c r="J19" s="974"/>
      <c r="K19" s="974"/>
      <c r="L19" s="974"/>
      <c r="M19" s="975"/>
      <c r="N19" s="392"/>
      <c r="O19" s="973" t="s">
        <v>810</v>
      </c>
      <c r="P19" s="974"/>
      <c r="Q19" s="974"/>
      <c r="R19" s="974"/>
      <c r="S19" s="974"/>
      <c r="T19" s="975"/>
      <c r="X19" s="407">
        <f>W17*5%</f>
        <v>89399.324999995006</v>
      </c>
      <c r="Z19" s="407">
        <f>SUM(Z12:Z18)</f>
        <v>72494559</v>
      </c>
      <c r="AA19" s="407">
        <f>W17+W31</f>
        <v>4303434.3333332278</v>
      </c>
    </row>
    <row r="20" spans="1:37" s="387" customFormat="1" ht="12.75" customHeight="1">
      <c r="A20" s="982"/>
      <c r="B20" s="984"/>
      <c r="C20" s="981" t="s">
        <v>127</v>
      </c>
      <c r="D20" s="979" t="s">
        <v>209</v>
      </c>
      <c r="E20" s="976" t="s">
        <v>800</v>
      </c>
      <c r="F20" s="977" t="s">
        <v>801</v>
      </c>
      <c r="G20" s="977"/>
      <c r="H20" s="978"/>
      <c r="I20" s="981" t="s">
        <v>127</v>
      </c>
      <c r="J20" s="979" t="s">
        <v>209</v>
      </c>
      <c r="K20" s="976" t="s">
        <v>800</v>
      </c>
      <c r="L20" s="977" t="s">
        <v>801</v>
      </c>
      <c r="M20" s="977"/>
      <c r="N20" s="978"/>
      <c r="O20" s="981" t="s">
        <v>127</v>
      </c>
      <c r="P20" s="979" t="s">
        <v>209</v>
      </c>
      <c r="Q20" s="976" t="s">
        <v>800</v>
      </c>
      <c r="R20" s="413" t="s">
        <v>801</v>
      </c>
      <c r="S20" s="414"/>
      <c r="T20" s="414"/>
      <c r="AA20" s="407">
        <f>AA19*75%</f>
        <v>3227575.7499999208</v>
      </c>
      <c r="AB20" s="407">
        <f>AA19*20%</f>
        <v>860686.86666664563</v>
      </c>
    </row>
    <row r="21" spans="1:37" s="387" customFormat="1" ht="12.75" customHeight="1">
      <c r="A21" s="983"/>
      <c r="B21" s="985"/>
      <c r="C21" s="983"/>
      <c r="D21" s="985"/>
      <c r="E21" s="976"/>
      <c r="F21" s="397" t="s">
        <v>802</v>
      </c>
      <c r="G21" s="396" t="s">
        <v>803</v>
      </c>
      <c r="H21" s="395" t="s">
        <v>804</v>
      </c>
      <c r="I21" s="983"/>
      <c r="J21" s="985"/>
      <c r="K21" s="976"/>
      <c r="L21" s="397" t="s">
        <v>802</v>
      </c>
      <c r="M21" s="396" t="s">
        <v>803</v>
      </c>
      <c r="N21" s="395" t="s">
        <v>804</v>
      </c>
      <c r="O21" s="983"/>
      <c r="P21" s="985"/>
      <c r="Q21" s="976"/>
      <c r="R21" s="393" t="s">
        <v>802</v>
      </c>
      <c r="S21" s="394" t="s">
        <v>803</v>
      </c>
      <c r="T21" s="394" t="s">
        <v>804</v>
      </c>
      <c r="AA21" s="407">
        <f>SUM(AA19*20%)</f>
        <v>860686.86666664563</v>
      </c>
      <c r="AB21" s="407">
        <f>X18+X32</f>
        <v>860686.86666664574</v>
      </c>
    </row>
    <row r="22" spans="1:37" s="387" customFormat="1" ht="12.75" customHeight="1">
      <c r="A22" s="399">
        <v>1</v>
      </c>
      <c r="B22" s="400" t="s">
        <v>213</v>
      </c>
      <c r="C22" s="401">
        <f>SUM('RUGI LABA '!C12)</f>
        <v>4162140</v>
      </c>
      <c r="D22" s="986">
        <f>SUM('RUGI LABA '!F26)</f>
        <v>20185029.166666672</v>
      </c>
      <c r="E22" s="986">
        <f>SUM(C30-D22)</f>
        <v>2515447.8333333284</v>
      </c>
      <c r="F22" s="986">
        <f>SUM(E22*75%)</f>
        <v>1886585.8749999963</v>
      </c>
      <c r="G22" s="986">
        <f>SUM(E22*20%)</f>
        <v>503089.56666666572</v>
      </c>
      <c r="H22" s="986">
        <f>SUM(E22*5%)</f>
        <v>125772.39166666643</v>
      </c>
      <c r="I22" s="401"/>
      <c r="J22" s="986"/>
      <c r="K22" s="986"/>
      <c r="L22" s="986"/>
      <c r="M22" s="986"/>
      <c r="N22" s="986"/>
      <c r="O22" s="401"/>
      <c r="P22" s="986"/>
      <c r="Q22" s="986"/>
      <c r="R22" s="997"/>
      <c r="S22" s="986"/>
      <c r="T22" s="986"/>
      <c r="U22" s="407"/>
      <c r="V22" s="407">
        <f>SUM(C22+I22+O22)</f>
        <v>4162140</v>
      </c>
      <c r="AA22" s="407">
        <f>SUM(AA19*5%)</f>
        <v>215171.71666666141</v>
      </c>
    </row>
    <row r="23" spans="1:37" s="387" customFormat="1" ht="12.75" customHeight="1">
      <c r="A23" s="399">
        <v>2</v>
      </c>
      <c r="B23" s="400" t="s">
        <v>211</v>
      </c>
      <c r="C23" s="401">
        <f>SUM('RUGI LABA '!C9)</f>
        <v>7404097</v>
      </c>
      <c r="D23" s="986"/>
      <c r="E23" s="986"/>
      <c r="F23" s="986"/>
      <c r="G23" s="986"/>
      <c r="H23" s="986"/>
      <c r="I23" s="401"/>
      <c r="J23" s="986"/>
      <c r="K23" s="986"/>
      <c r="L23" s="986"/>
      <c r="M23" s="986"/>
      <c r="N23" s="986"/>
      <c r="O23" s="401"/>
      <c r="P23" s="986"/>
      <c r="Q23" s="986"/>
      <c r="R23" s="997"/>
      <c r="S23" s="986"/>
      <c r="T23" s="986"/>
      <c r="U23" s="407"/>
      <c r="V23" s="407">
        <f>C23+I23+O23</f>
        <v>7404097</v>
      </c>
    </row>
    <row r="24" spans="1:37" s="387" customFormat="1" ht="12.75" customHeight="1">
      <c r="A24" s="399">
        <v>3</v>
      </c>
      <c r="B24" s="400" t="s">
        <v>805</v>
      </c>
      <c r="C24" s="401">
        <f>SUM('RUGI LABA '!C13)</f>
        <v>7447000</v>
      </c>
      <c r="D24" s="986"/>
      <c r="E24" s="986"/>
      <c r="F24" s="986"/>
      <c r="G24" s="986"/>
      <c r="H24" s="986"/>
      <c r="I24" s="401"/>
      <c r="J24" s="986"/>
      <c r="K24" s="986"/>
      <c r="L24" s="986"/>
      <c r="M24" s="986"/>
      <c r="N24" s="986"/>
      <c r="O24" s="401"/>
      <c r="P24" s="986"/>
      <c r="Q24" s="986"/>
      <c r="R24" s="997"/>
      <c r="S24" s="986"/>
      <c r="T24" s="986"/>
      <c r="U24" s="407"/>
      <c r="V24" s="407">
        <f>C24+I24+O24</f>
        <v>7447000</v>
      </c>
    </row>
    <row r="25" spans="1:37" s="387" customFormat="1" ht="12.75" customHeight="1">
      <c r="A25" s="399">
        <v>4</v>
      </c>
      <c r="B25" s="400" t="s">
        <v>806</v>
      </c>
      <c r="C25" s="401">
        <f>SUM('RUGI LABA '!C14)</f>
        <v>2500000</v>
      </c>
      <c r="D25" s="986"/>
      <c r="E25" s="986"/>
      <c r="F25" s="986"/>
      <c r="G25" s="986"/>
      <c r="H25" s="986"/>
      <c r="I25" s="401"/>
      <c r="J25" s="986"/>
      <c r="K25" s="986"/>
      <c r="L25" s="986"/>
      <c r="M25" s="986"/>
      <c r="N25" s="986"/>
      <c r="O25" s="401"/>
      <c r="P25" s="986"/>
      <c r="Q25" s="986"/>
      <c r="R25" s="997"/>
      <c r="S25" s="986"/>
      <c r="T25" s="986"/>
      <c r="U25" s="407"/>
      <c r="V25" s="407">
        <f>C25+I25+O25</f>
        <v>2500000</v>
      </c>
    </row>
    <row r="26" spans="1:37" s="387" customFormat="1" ht="12.75" customHeight="1">
      <c r="A26" s="399">
        <v>5</v>
      </c>
      <c r="B26" s="400" t="s">
        <v>807</v>
      </c>
      <c r="C26" s="401">
        <f>SUM('RUGI LABA '!C10)</f>
        <v>800000</v>
      </c>
      <c r="D26" s="986"/>
      <c r="E26" s="986"/>
      <c r="F26" s="986"/>
      <c r="G26" s="986"/>
      <c r="H26" s="986"/>
      <c r="I26" s="401"/>
      <c r="J26" s="986"/>
      <c r="K26" s="986"/>
      <c r="L26" s="986"/>
      <c r="M26" s="986"/>
      <c r="N26" s="986"/>
      <c r="O26" s="401"/>
      <c r="P26" s="986"/>
      <c r="Q26" s="986"/>
      <c r="R26" s="997"/>
      <c r="S26" s="986"/>
      <c r="T26" s="986"/>
      <c r="U26" s="407"/>
      <c r="V26" s="407">
        <f>C26+I26+O26</f>
        <v>800000</v>
      </c>
    </row>
    <row r="27" spans="1:37" s="387" customFormat="1" ht="12.75" customHeight="1">
      <c r="A27" s="399">
        <v>6</v>
      </c>
      <c r="B27" s="400" t="s">
        <v>217</v>
      </c>
      <c r="C27" s="401"/>
      <c r="D27" s="986"/>
      <c r="E27" s="986"/>
      <c r="F27" s="986"/>
      <c r="G27" s="986"/>
      <c r="H27" s="986"/>
      <c r="I27" s="401"/>
      <c r="J27" s="986"/>
      <c r="K27" s="986"/>
      <c r="L27" s="986"/>
      <c r="M27" s="986"/>
      <c r="N27" s="986"/>
      <c r="O27" s="401"/>
      <c r="P27" s="986"/>
      <c r="Q27" s="986"/>
      <c r="R27" s="997"/>
      <c r="S27" s="986"/>
      <c r="T27" s="986"/>
      <c r="U27" s="407"/>
      <c r="V27" s="407"/>
    </row>
    <row r="28" spans="1:37" s="387" customFormat="1" ht="12.75" customHeight="1">
      <c r="A28" s="399">
        <v>7</v>
      </c>
      <c r="B28" s="400" t="s">
        <v>216</v>
      </c>
      <c r="C28" s="401"/>
      <c r="D28" s="986"/>
      <c r="E28" s="986"/>
      <c r="F28" s="986"/>
      <c r="G28" s="986"/>
      <c r="H28" s="986"/>
      <c r="I28" s="401"/>
      <c r="J28" s="986"/>
      <c r="K28" s="986"/>
      <c r="L28" s="986"/>
      <c r="M28" s="986"/>
      <c r="N28" s="986"/>
      <c r="O28" s="401"/>
      <c r="P28" s="986"/>
      <c r="Q28" s="986"/>
      <c r="R28" s="997"/>
      <c r="S28" s="986"/>
      <c r="T28" s="986"/>
      <c r="U28" s="407"/>
      <c r="V28" s="407"/>
    </row>
    <row r="29" spans="1:37" s="387" customFormat="1" ht="12.75" customHeight="1">
      <c r="A29" s="399">
        <v>8</v>
      </c>
      <c r="B29" s="400" t="s">
        <v>808</v>
      </c>
      <c r="C29" s="401">
        <f>SUM('RUGI LABA '!C16)</f>
        <v>387240</v>
      </c>
      <c r="D29" s="986"/>
      <c r="E29" s="986"/>
      <c r="F29" s="986"/>
      <c r="G29" s="986"/>
      <c r="H29" s="986"/>
      <c r="I29" s="401"/>
      <c r="J29" s="986"/>
      <c r="K29" s="986"/>
      <c r="L29" s="986"/>
      <c r="M29" s="986"/>
      <c r="N29" s="986"/>
      <c r="O29" s="401"/>
      <c r="P29" s="986"/>
      <c r="Q29" s="986"/>
      <c r="R29" s="997"/>
      <c r="S29" s="986"/>
      <c r="T29" s="986"/>
      <c r="AB29" s="387" t="s">
        <v>811</v>
      </c>
      <c r="AC29" s="407">
        <f>Z13+AA45</f>
        <v>31019461</v>
      </c>
    </row>
    <row r="30" spans="1:37" s="387" customFormat="1" ht="12.75" customHeight="1">
      <c r="A30" s="394"/>
      <c r="B30" s="405" t="s">
        <v>111</v>
      </c>
      <c r="C30" s="406">
        <f>SUM(C22:C29)</f>
        <v>22700477</v>
      </c>
      <c r="D30" s="406"/>
      <c r="E30" s="406"/>
      <c r="F30" s="406"/>
      <c r="G30" s="406"/>
      <c r="H30" s="406"/>
      <c r="I30" s="406">
        <f>SUM(I22:I26)</f>
        <v>0</v>
      </c>
      <c r="J30" s="406"/>
      <c r="K30" s="406"/>
      <c r="L30" s="406"/>
      <c r="M30" s="406"/>
      <c r="N30" s="406"/>
      <c r="O30" s="406">
        <f>SUM(O22:O26)</f>
        <v>0</v>
      </c>
      <c r="P30" s="406"/>
      <c r="Q30" s="406"/>
      <c r="R30" s="406"/>
      <c r="S30" s="406"/>
      <c r="T30" s="406"/>
      <c r="U30" s="407"/>
      <c r="V30" s="407">
        <f>C30+I30+O30</f>
        <v>22700477</v>
      </c>
      <c r="W30" s="407">
        <f>D22+J22+P22</f>
        <v>20185029.166666672</v>
      </c>
      <c r="X30" s="407"/>
      <c r="AB30" s="387" t="s">
        <v>812</v>
      </c>
      <c r="AC30" s="407" t="e">
        <f>#REF!+AA46</f>
        <v>#REF!</v>
      </c>
    </row>
    <row r="31" spans="1:37" s="387" customFormat="1" ht="12.75" customHeight="1">
      <c r="A31" s="409"/>
      <c r="B31" s="410"/>
      <c r="C31" s="411"/>
      <c r="D31" s="411"/>
      <c r="E31" s="411"/>
      <c r="F31" s="411">
        <f>SUM(F22+R17)</f>
        <v>3227575.7499999208</v>
      </c>
      <c r="G31" s="411">
        <f>SUM(G22+S17)</f>
        <v>860686.86666664598</v>
      </c>
      <c r="H31" s="411"/>
      <c r="I31" s="411"/>
      <c r="J31" s="411"/>
      <c r="K31" s="411"/>
      <c r="L31" s="411">
        <f>SUM(L22+F31)</f>
        <v>3227575.7499999208</v>
      </c>
      <c r="M31" s="411">
        <f>SUM(M22+G31)</f>
        <v>860686.86666664598</v>
      </c>
      <c r="N31" s="411"/>
      <c r="O31" s="411"/>
      <c r="P31" s="411"/>
      <c r="Q31" s="411"/>
      <c r="R31" s="411">
        <f>SUM(R22+L31)</f>
        <v>3227575.7499999208</v>
      </c>
      <c r="S31" s="411">
        <f>SUM(S22+M31)</f>
        <v>860686.86666664598</v>
      </c>
      <c r="W31" s="407">
        <f>V30-W30</f>
        <v>2515447.8333333284</v>
      </c>
      <c r="X31" s="407">
        <f>W31*75%</f>
        <v>1886585.8749999963</v>
      </c>
      <c r="AB31" s="387" t="s">
        <v>813</v>
      </c>
      <c r="AC31" s="407">
        <f>Z16+AA47</f>
        <v>28693882</v>
      </c>
    </row>
    <row r="32" spans="1:37" s="387" customFormat="1" ht="12.75" customHeight="1">
      <c r="A32" s="409"/>
      <c r="B32" s="410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08"/>
      <c r="U32" s="408"/>
      <c r="V32" s="408"/>
      <c r="W32" s="408">
        <f>Q22+K22+E22</f>
        <v>2515447.8333333284</v>
      </c>
      <c r="X32" s="408">
        <f>W32*20%</f>
        <v>503089.56666666572</v>
      </c>
      <c r="Y32" s="408"/>
      <c r="Z32" s="408"/>
      <c r="AA32" s="408"/>
      <c r="AB32" s="408" t="s">
        <v>814</v>
      </c>
      <c r="AC32" s="408">
        <f>Z17+AA48</f>
        <v>5175000</v>
      </c>
      <c r="AD32" s="408"/>
      <c r="AE32" s="408"/>
      <c r="AF32" s="408"/>
      <c r="AG32" s="408"/>
      <c r="AH32" s="408"/>
      <c r="AI32" s="408"/>
      <c r="AJ32" s="408"/>
      <c r="AK32" s="408"/>
    </row>
    <row r="33" spans="1:37" s="387" customFormat="1" ht="12.75" customHeight="1">
      <c r="A33" s="981" t="s">
        <v>439</v>
      </c>
      <c r="B33" s="979" t="s">
        <v>798</v>
      </c>
      <c r="C33" s="973" t="s">
        <v>815</v>
      </c>
      <c r="D33" s="974"/>
      <c r="E33" s="974"/>
      <c r="F33" s="974"/>
      <c r="G33" s="975"/>
      <c r="H33" s="392"/>
      <c r="I33" s="973" t="s">
        <v>816</v>
      </c>
      <c r="J33" s="974"/>
      <c r="K33" s="974"/>
      <c r="L33" s="974"/>
      <c r="M33" s="974"/>
      <c r="N33" s="974"/>
      <c r="O33" s="973" t="s">
        <v>817</v>
      </c>
      <c r="P33" s="974"/>
      <c r="Q33" s="974"/>
      <c r="R33" s="974"/>
      <c r="S33" s="974"/>
      <c r="T33" s="975"/>
      <c r="X33" s="407">
        <f>SUM(W31*5%)</f>
        <v>125772.39166666643</v>
      </c>
      <c r="Y33" s="408"/>
      <c r="Z33" s="408"/>
      <c r="AA33" s="408"/>
      <c r="AB33" s="408" t="s">
        <v>818</v>
      </c>
      <c r="AC33" s="408">
        <f>AA49</f>
        <v>0</v>
      </c>
      <c r="AD33" s="408"/>
      <c r="AE33" s="408"/>
      <c r="AF33" s="408"/>
      <c r="AG33" s="408"/>
      <c r="AH33" s="408"/>
      <c r="AI33" s="408"/>
      <c r="AJ33" s="408"/>
      <c r="AK33" s="408"/>
    </row>
    <row r="34" spans="1:37" s="387" customFormat="1" ht="12.75" customHeight="1">
      <c r="A34" s="982"/>
      <c r="B34" s="984"/>
      <c r="C34" s="981" t="s">
        <v>127</v>
      </c>
      <c r="D34" s="979" t="s">
        <v>209</v>
      </c>
      <c r="E34" s="976" t="s">
        <v>800</v>
      </c>
      <c r="F34" s="976" t="s">
        <v>801</v>
      </c>
      <c r="G34" s="976"/>
      <c r="H34" s="976"/>
      <c r="I34" s="981" t="s">
        <v>127</v>
      </c>
      <c r="J34" s="979" t="s">
        <v>209</v>
      </c>
      <c r="K34" s="976" t="s">
        <v>800</v>
      </c>
      <c r="L34" s="977" t="s">
        <v>801</v>
      </c>
      <c r="M34" s="977"/>
      <c r="N34" s="978"/>
      <c r="O34" s="981" t="s">
        <v>127</v>
      </c>
      <c r="P34" s="979" t="s">
        <v>209</v>
      </c>
      <c r="Q34" s="976" t="s">
        <v>800</v>
      </c>
      <c r="R34" s="974" t="s">
        <v>801</v>
      </c>
      <c r="S34" s="974"/>
      <c r="T34" s="975"/>
      <c r="U34" s="408"/>
      <c r="V34" s="408"/>
      <c r="W34" s="408"/>
      <c r="X34" s="408"/>
      <c r="AC34" s="407" t="e">
        <f>SUM(AC29:AC33)</f>
        <v>#REF!</v>
      </c>
    </row>
    <row r="35" spans="1:37" s="387" customFormat="1" ht="12.75" customHeight="1">
      <c r="A35" s="983"/>
      <c r="B35" s="985"/>
      <c r="C35" s="983"/>
      <c r="D35" s="985"/>
      <c r="E35" s="976"/>
      <c r="F35" s="397" t="s">
        <v>802</v>
      </c>
      <c r="G35" s="396" t="s">
        <v>803</v>
      </c>
      <c r="H35" s="395" t="s">
        <v>804</v>
      </c>
      <c r="I35" s="983"/>
      <c r="J35" s="985"/>
      <c r="K35" s="976"/>
      <c r="L35" s="394" t="s">
        <v>802</v>
      </c>
      <c r="M35" s="394" t="s">
        <v>803</v>
      </c>
      <c r="N35" s="415" t="s">
        <v>804</v>
      </c>
      <c r="O35" s="983"/>
      <c r="P35" s="985"/>
      <c r="Q35" s="976"/>
      <c r="R35" s="393" t="s">
        <v>802</v>
      </c>
      <c r="S35" s="394" t="s">
        <v>803</v>
      </c>
      <c r="T35" s="394" t="s">
        <v>804</v>
      </c>
      <c r="U35" s="408"/>
      <c r="V35" s="408"/>
      <c r="W35" s="408" t="s">
        <v>819</v>
      </c>
      <c r="X35" s="408" t="s">
        <v>820</v>
      </c>
      <c r="Y35" s="387" t="s">
        <v>821</v>
      </c>
      <c r="AC35" s="407">
        <f>Z18+AA50</f>
        <v>13492400</v>
      </c>
    </row>
    <row r="36" spans="1:37" s="387" customFormat="1" ht="12.75" customHeight="1">
      <c r="A36" s="399">
        <v>1</v>
      </c>
      <c r="B36" s="400" t="s">
        <v>213</v>
      </c>
      <c r="C36" s="401"/>
      <c r="D36" s="986"/>
      <c r="E36" s="986"/>
      <c r="F36" s="986"/>
      <c r="G36" s="986"/>
      <c r="H36" s="986"/>
      <c r="I36" s="401"/>
      <c r="J36" s="986"/>
      <c r="K36" s="986"/>
      <c r="L36" s="986"/>
      <c r="M36" s="986"/>
      <c r="N36" s="986"/>
      <c r="O36" s="401"/>
      <c r="P36" s="986"/>
      <c r="Q36" s="986"/>
      <c r="R36" s="997"/>
      <c r="S36" s="986"/>
      <c r="T36" s="986"/>
      <c r="U36" s="408"/>
      <c r="V36" s="408">
        <f>C36+I36+O36</f>
        <v>0</v>
      </c>
      <c r="W36" s="408">
        <f>D36+J36+P36</f>
        <v>0</v>
      </c>
      <c r="X36" s="408">
        <f>F36+L36+R36</f>
        <v>0</v>
      </c>
      <c r="Y36" s="407">
        <f>G36+M36+S36</f>
        <v>0</v>
      </c>
    </row>
    <row r="37" spans="1:37" s="387" customFormat="1" ht="12.75" customHeight="1">
      <c r="A37" s="399">
        <v>2</v>
      </c>
      <c r="B37" s="400" t="s">
        <v>211</v>
      </c>
      <c r="C37" s="401"/>
      <c r="D37" s="986"/>
      <c r="E37" s="986"/>
      <c r="F37" s="986"/>
      <c r="G37" s="986"/>
      <c r="H37" s="986"/>
      <c r="I37" s="401"/>
      <c r="J37" s="986"/>
      <c r="K37" s="986"/>
      <c r="L37" s="986"/>
      <c r="M37" s="986"/>
      <c r="N37" s="986"/>
      <c r="O37" s="401"/>
      <c r="P37" s="986"/>
      <c r="Q37" s="986"/>
      <c r="R37" s="997"/>
      <c r="S37" s="986"/>
      <c r="T37" s="986"/>
      <c r="U37" s="408"/>
      <c r="V37" s="408">
        <f>C37+I37+O37</f>
        <v>0</v>
      </c>
      <c r="W37" s="408"/>
      <c r="X37" s="408"/>
    </row>
    <row r="38" spans="1:37" s="387" customFormat="1" ht="12.75" customHeight="1">
      <c r="A38" s="399">
        <v>3</v>
      </c>
      <c r="B38" s="400" t="s">
        <v>805</v>
      </c>
      <c r="C38" s="401"/>
      <c r="D38" s="986"/>
      <c r="E38" s="986"/>
      <c r="F38" s="986"/>
      <c r="G38" s="986"/>
      <c r="H38" s="986"/>
      <c r="I38" s="401"/>
      <c r="J38" s="986"/>
      <c r="K38" s="986"/>
      <c r="L38" s="986"/>
      <c r="M38" s="986"/>
      <c r="N38" s="986"/>
      <c r="O38" s="401"/>
      <c r="P38" s="986"/>
      <c r="Q38" s="986"/>
      <c r="R38" s="997"/>
      <c r="S38" s="986"/>
      <c r="T38" s="986"/>
      <c r="U38" s="408"/>
      <c r="V38" s="408">
        <f>C38+I38+O38</f>
        <v>0</v>
      </c>
      <c r="W38" s="408"/>
      <c r="X38" s="408"/>
    </row>
    <row r="39" spans="1:37" s="387" customFormat="1" ht="12.75" customHeight="1">
      <c r="A39" s="399">
        <v>4</v>
      </c>
      <c r="B39" s="400" t="s">
        <v>806</v>
      </c>
      <c r="C39" s="401"/>
      <c r="D39" s="986"/>
      <c r="E39" s="986"/>
      <c r="F39" s="986"/>
      <c r="G39" s="986"/>
      <c r="H39" s="986"/>
      <c r="I39" s="401"/>
      <c r="J39" s="986"/>
      <c r="K39" s="986"/>
      <c r="L39" s="986"/>
      <c r="M39" s="986"/>
      <c r="N39" s="986"/>
      <c r="O39" s="401"/>
      <c r="P39" s="986"/>
      <c r="Q39" s="986"/>
      <c r="R39" s="997"/>
      <c r="S39" s="986"/>
      <c r="T39" s="986"/>
      <c r="U39" s="408"/>
      <c r="V39" s="408">
        <f>C39+I39+O39</f>
        <v>0</v>
      </c>
      <c r="W39" s="408"/>
      <c r="X39" s="408"/>
    </row>
    <row r="40" spans="1:37" s="387" customFormat="1" ht="12.75" customHeight="1">
      <c r="A40" s="399">
        <v>5</v>
      </c>
      <c r="B40" s="400" t="s">
        <v>807</v>
      </c>
      <c r="C40" s="401"/>
      <c r="D40" s="986"/>
      <c r="E40" s="986"/>
      <c r="F40" s="986"/>
      <c r="G40" s="986"/>
      <c r="H40" s="986"/>
      <c r="I40" s="401"/>
      <c r="J40" s="986"/>
      <c r="K40" s="986"/>
      <c r="L40" s="986"/>
      <c r="M40" s="986"/>
      <c r="N40" s="986"/>
      <c r="O40" s="401"/>
      <c r="P40" s="986"/>
      <c r="Q40" s="986"/>
      <c r="R40" s="997"/>
      <c r="S40" s="986"/>
      <c r="T40" s="986"/>
      <c r="U40" s="408"/>
      <c r="V40" s="408">
        <f>C40+I40+O40</f>
        <v>0</v>
      </c>
      <c r="W40" s="408"/>
      <c r="X40" s="408"/>
    </row>
    <row r="41" spans="1:37" s="387" customFormat="1" ht="12.75" customHeight="1">
      <c r="A41" s="399">
        <v>6</v>
      </c>
      <c r="B41" s="400" t="s">
        <v>822</v>
      </c>
      <c r="C41" s="401"/>
      <c r="D41" s="986"/>
      <c r="E41" s="986"/>
      <c r="F41" s="986"/>
      <c r="G41" s="986"/>
      <c r="H41" s="986"/>
      <c r="I41" s="401"/>
      <c r="J41" s="986"/>
      <c r="K41" s="986"/>
      <c r="L41" s="986"/>
      <c r="M41" s="986"/>
      <c r="N41" s="986"/>
      <c r="O41" s="401"/>
      <c r="P41" s="986"/>
      <c r="Q41" s="986"/>
      <c r="R41" s="997"/>
      <c r="S41" s="986"/>
      <c r="T41" s="986"/>
      <c r="U41" s="408"/>
      <c r="V41" s="408">
        <f>SUM(V36:V40)</f>
        <v>0</v>
      </c>
      <c r="W41" s="408"/>
      <c r="X41" s="408"/>
    </row>
    <row r="42" spans="1:37" s="387" customFormat="1" ht="12.75" customHeight="1">
      <c r="A42" s="399">
        <v>7</v>
      </c>
      <c r="B42" s="400" t="s">
        <v>216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1"/>
      <c r="P42" s="406"/>
      <c r="Q42" s="406"/>
      <c r="R42" s="406"/>
      <c r="S42" s="406"/>
      <c r="T42" s="406"/>
      <c r="U42" s="408"/>
      <c r="V42" s="408"/>
      <c r="W42" s="408"/>
      <c r="X42" s="408"/>
      <c r="AA42" s="407"/>
      <c r="AB42" s="407"/>
      <c r="AC42" s="407"/>
      <c r="AD42" s="407"/>
    </row>
    <row r="43" spans="1:37" s="387" customFormat="1" ht="12.75" customHeight="1">
      <c r="A43" s="394"/>
      <c r="B43" s="405" t="s">
        <v>111</v>
      </c>
      <c r="C43" s="406">
        <f>SUM(C36:C41)</f>
        <v>0</v>
      </c>
      <c r="D43" s="406"/>
      <c r="E43" s="406"/>
      <c r="F43" s="406"/>
      <c r="G43" s="406"/>
      <c r="H43" s="406"/>
      <c r="I43" s="406">
        <f>SUM(I36:I41)</f>
        <v>0</v>
      </c>
      <c r="J43" s="406"/>
      <c r="K43" s="406"/>
      <c r="L43" s="406"/>
      <c r="M43" s="406"/>
      <c r="N43" s="406"/>
      <c r="O43" s="406">
        <f>SUM(O36:O42)</f>
        <v>0</v>
      </c>
      <c r="P43" s="406"/>
      <c r="Q43" s="406"/>
      <c r="R43" s="406"/>
      <c r="S43" s="406"/>
      <c r="T43" s="406"/>
      <c r="U43" s="408"/>
      <c r="V43" s="408">
        <f>C43+I43+O43</f>
        <v>0</v>
      </c>
      <c r="W43" s="408"/>
      <c r="X43" s="408"/>
      <c r="AA43" s="407">
        <f>V36+V49</f>
        <v>0</v>
      </c>
      <c r="AB43" s="407">
        <f>W36+W49</f>
        <v>0</v>
      </c>
      <c r="AC43" s="407">
        <f>X36+X49</f>
        <v>0</v>
      </c>
      <c r="AD43" s="407">
        <f>Y36+Y49</f>
        <v>0</v>
      </c>
    </row>
    <row r="44" spans="1:37" s="387" customFormat="1" ht="12.75" customHeight="1">
      <c r="A44" s="409"/>
      <c r="B44" s="410"/>
      <c r="C44" s="411"/>
      <c r="D44" s="411"/>
      <c r="E44" s="411"/>
      <c r="F44" s="411">
        <f>SUM(F36+R31)</f>
        <v>3227575.7499999208</v>
      </c>
      <c r="G44" s="411">
        <f>SUM(G36+S31)</f>
        <v>860686.86666664598</v>
      </c>
      <c r="H44" s="411"/>
      <c r="I44" s="411"/>
      <c r="J44" s="411"/>
      <c r="K44" s="411"/>
      <c r="L44" s="411">
        <f>SUM(L36+F44)</f>
        <v>3227575.7499999208</v>
      </c>
      <c r="M44" s="411">
        <f>SUM(M36+G44)</f>
        <v>860686.86666664598</v>
      </c>
      <c r="N44" s="411"/>
      <c r="O44" s="411"/>
      <c r="P44" s="411"/>
      <c r="Q44" s="411"/>
      <c r="R44" s="411">
        <f>SUM(R36+L44)</f>
        <v>3227575.7499999208</v>
      </c>
      <c r="S44" s="411">
        <f>SUM(S36+M44)</f>
        <v>860686.86666664598</v>
      </c>
      <c r="T44" s="408"/>
      <c r="U44" s="408"/>
      <c r="V44" s="408"/>
      <c r="W44" s="408"/>
      <c r="X44" s="408"/>
      <c r="AA44" s="407"/>
      <c r="AB44" s="407"/>
      <c r="AC44" s="407"/>
      <c r="AD44" s="407"/>
    </row>
    <row r="45" spans="1:37" s="387" customFormat="1" ht="12.75" customHeight="1">
      <c r="A45" s="410"/>
      <c r="B45" s="410"/>
      <c r="C45" s="410"/>
      <c r="D45" s="410"/>
      <c r="E45" s="410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08"/>
      <c r="U45" s="408"/>
      <c r="V45" s="408"/>
      <c r="W45" s="408"/>
      <c r="X45" s="408"/>
      <c r="AA45" s="407">
        <f>V37+V50</f>
        <v>0</v>
      </c>
    </row>
    <row r="46" spans="1:37" s="388" customFormat="1" ht="12.75" customHeight="1">
      <c r="A46" s="981" t="s">
        <v>439</v>
      </c>
      <c r="B46" s="979" t="s">
        <v>798</v>
      </c>
      <c r="C46" s="973" t="s">
        <v>823</v>
      </c>
      <c r="D46" s="974"/>
      <c r="E46" s="974"/>
      <c r="F46" s="974"/>
      <c r="G46" s="975"/>
      <c r="H46" s="392"/>
      <c r="I46" s="973" t="s">
        <v>824</v>
      </c>
      <c r="J46" s="974"/>
      <c r="K46" s="974"/>
      <c r="L46" s="974"/>
      <c r="M46" s="975"/>
      <c r="N46" s="392"/>
      <c r="O46" s="973" t="s">
        <v>825</v>
      </c>
      <c r="P46" s="974"/>
      <c r="Q46" s="974"/>
      <c r="R46" s="974"/>
      <c r="S46" s="975"/>
      <c r="T46" s="416"/>
      <c r="U46" s="416"/>
      <c r="V46" s="416"/>
      <c r="W46" s="416"/>
      <c r="X46" s="416"/>
      <c r="Y46" s="416"/>
      <c r="Z46" s="416"/>
      <c r="AA46" s="416">
        <f>V38+V51</f>
        <v>0</v>
      </c>
      <c r="AB46" s="416"/>
      <c r="AC46" s="416"/>
      <c r="AD46" s="416"/>
      <c r="AE46" s="416"/>
      <c r="AF46" s="416"/>
      <c r="AG46" s="416"/>
      <c r="AH46" s="416"/>
      <c r="AI46" s="416"/>
      <c r="AJ46" s="416"/>
      <c r="AK46" s="416"/>
    </row>
    <row r="47" spans="1:37" s="385" customFormat="1" ht="12.75" customHeight="1">
      <c r="A47" s="982"/>
      <c r="B47" s="984"/>
      <c r="C47" s="981" t="s">
        <v>127</v>
      </c>
      <c r="D47" s="979" t="s">
        <v>209</v>
      </c>
      <c r="E47" s="976" t="s">
        <v>800</v>
      </c>
      <c r="F47" s="977" t="s">
        <v>801</v>
      </c>
      <c r="G47" s="977"/>
      <c r="H47" s="978"/>
      <c r="I47" s="981" t="s">
        <v>127</v>
      </c>
      <c r="J47" s="979" t="s">
        <v>209</v>
      </c>
      <c r="K47" s="976" t="s">
        <v>800</v>
      </c>
      <c r="L47" s="977" t="s">
        <v>801</v>
      </c>
      <c r="M47" s="977"/>
      <c r="N47" s="978"/>
      <c r="O47" s="981" t="s">
        <v>127</v>
      </c>
      <c r="P47" s="979" t="s">
        <v>209</v>
      </c>
      <c r="Q47" s="995" t="s">
        <v>800</v>
      </c>
      <c r="R47" s="974" t="s">
        <v>801</v>
      </c>
      <c r="S47" s="975"/>
      <c r="AA47" s="417">
        <f>V39+V52</f>
        <v>10292400</v>
      </c>
    </row>
    <row r="48" spans="1:37" s="385" customFormat="1" ht="12.75" customHeight="1">
      <c r="A48" s="983"/>
      <c r="B48" s="985"/>
      <c r="C48" s="983"/>
      <c r="D48" s="985"/>
      <c r="E48" s="976"/>
      <c r="F48" s="394" t="s">
        <v>802</v>
      </c>
      <c r="G48" s="394" t="s">
        <v>803</v>
      </c>
      <c r="H48" s="415" t="s">
        <v>804</v>
      </c>
      <c r="I48" s="983"/>
      <c r="J48" s="985"/>
      <c r="K48" s="976"/>
      <c r="L48" s="397" t="s">
        <v>802</v>
      </c>
      <c r="M48" s="396" t="s">
        <v>803</v>
      </c>
      <c r="N48" s="395" t="s">
        <v>804</v>
      </c>
      <c r="O48" s="983"/>
      <c r="P48" s="985"/>
      <c r="Q48" s="996"/>
      <c r="R48" s="393" t="s">
        <v>12</v>
      </c>
      <c r="S48" s="394" t="s">
        <v>826</v>
      </c>
      <c r="W48" s="385" t="s">
        <v>819</v>
      </c>
      <c r="X48" s="385" t="s">
        <v>827</v>
      </c>
      <c r="Y48" s="385" t="s">
        <v>821</v>
      </c>
      <c r="AA48" s="417">
        <f>V40+V53</f>
        <v>0</v>
      </c>
    </row>
    <row r="49" spans="1:37" s="385" customFormat="1" ht="12.75" customHeight="1">
      <c r="A49" s="399">
        <v>1</v>
      </c>
      <c r="B49" s="400" t="s">
        <v>213</v>
      </c>
      <c r="C49" s="401"/>
      <c r="D49" s="986"/>
      <c r="E49" s="986"/>
      <c r="F49" s="986"/>
      <c r="G49" s="986"/>
      <c r="H49" s="986"/>
      <c r="I49" s="401"/>
      <c r="J49" s="986"/>
      <c r="K49" s="986"/>
      <c r="L49" s="986"/>
      <c r="M49" s="986"/>
      <c r="N49" s="986"/>
      <c r="O49" s="401"/>
      <c r="P49" s="986"/>
      <c r="Q49" s="986"/>
      <c r="R49" s="997"/>
      <c r="S49" s="986"/>
      <c r="T49" s="417"/>
      <c r="U49" s="417"/>
      <c r="V49" s="417">
        <f>C49+I49</f>
        <v>0</v>
      </c>
      <c r="W49" s="417">
        <f>D49+J49</f>
        <v>0</v>
      </c>
      <c r="X49" s="417">
        <f>F49+L49</f>
        <v>0</v>
      </c>
      <c r="Y49" s="417">
        <f>G49+M49</f>
        <v>0</v>
      </c>
      <c r="AA49" s="417">
        <f>V54</f>
        <v>0</v>
      </c>
    </row>
    <row r="50" spans="1:37" s="385" customFormat="1" ht="12.75" customHeight="1">
      <c r="A50" s="399">
        <v>2</v>
      </c>
      <c r="B50" s="400" t="s">
        <v>211</v>
      </c>
      <c r="C50" s="401"/>
      <c r="D50" s="986"/>
      <c r="E50" s="986"/>
      <c r="F50" s="986"/>
      <c r="G50" s="986"/>
      <c r="H50" s="986"/>
      <c r="I50" s="401"/>
      <c r="J50" s="986"/>
      <c r="K50" s="986"/>
      <c r="L50" s="986"/>
      <c r="M50" s="986"/>
      <c r="N50" s="986"/>
      <c r="O50" s="401"/>
      <c r="P50" s="986"/>
      <c r="Q50" s="986"/>
      <c r="R50" s="997"/>
      <c r="S50" s="986"/>
      <c r="T50" s="417"/>
      <c r="U50" s="417"/>
      <c r="V50" s="417">
        <f>C50+I50</f>
        <v>0</v>
      </c>
      <c r="AA50" s="417">
        <f>SUM(AA43:AA49)</f>
        <v>10292400</v>
      </c>
    </row>
    <row r="51" spans="1:37" s="386" customFormat="1" ht="12.75" customHeight="1">
      <c r="A51" s="399">
        <v>3</v>
      </c>
      <c r="B51" s="400" t="s">
        <v>805</v>
      </c>
      <c r="C51" s="401"/>
      <c r="D51" s="986"/>
      <c r="E51" s="986"/>
      <c r="F51" s="986"/>
      <c r="G51" s="986"/>
      <c r="H51" s="986"/>
      <c r="I51" s="401"/>
      <c r="J51" s="986"/>
      <c r="K51" s="986"/>
      <c r="L51" s="986"/>
      <c r="M51" s="986"/>
      <c r="N51" s="986"/>
      <c r="O51" s="401"/>
      <c r="P51" s="986"/>
      <c r="Q51" s="986"/>
      <c r="R51" s="997"/>
      <c r="S51" s="986"/>
      <c r="T51" s="403"/>
      <c r="U51" s="403"/>
      <c r="V51" s="403">
        <f>C51+I51</f>
        <v>0</v>
      </c>
      <c r="AA51" s="403" t="e">
        <f>V43+#REF!</f>
        <v>#REF!</v>
      </c>
    </row>
    <row r="52" spans="1:37" s="386" customFormat="1" ht="12.75" customHeight="1">
      <c r="A52" s="399">
        <v>4</v>
      </c>
      <c r="B52" s="400" t="s">
        <v>806</v>
      </c>
      <c r="C52" s="401"/>
      <c r="D52" s="986"/>
      <c r="E52" s="986"/>
      <c r="F52" s="986"/>
      <c r="G52" s="986"/>
      <c r="H52" s="986"/>
      <c r="I52" s="401"/>
      <c r="J52" s="986"/>
      <c r="K52" s="986"/>
      <c r="L52" s="986"/>
      <c r="M52" s="986"/>
      <c r="N52" s="986"/>
      <c r="O52" s="401"/>
      <c r="P52" s="986"/>
      <c r="Q52" s="986"/>
      <c r="R52" s="997"/>
      <c r="S52" s="986"/>
      <c r="T52" s="403"/>
      <c r="U52" s="403"/>
      <c r="V52" s="403">
        <v>10292400</v>
      </c>
    </row>
    <row r="53" spans="1:37" s="386" customFormat="1" ht="12.75" customHeight="1">
      <c r="A53" s="399">
        <v>5</v>
      </c>
      <c r="B53" s="400" t="s">
        <v>807</v>
      </c>
      <c r="C53" s="401"/>
      <c r="D53" s="986"/>
      <c r="E53" s="986"/>
      <c r="F53" s="986"/>
      <c r="G53" s="986"/>
      <c r="H53" s="986"/>
      <c r="I53" s="401"/>
      <c r="J53" s="986"/>
      <c r="K53" s="986"/>
      <c r="L53" s="986"/>
      <c r="M53" s="986"/>
      <c r="N53" s="986"/>
      <c r="O53" s="401"/>
      <c r="P53" s="986"/>
      <c r="Q53" s="986"/>
      <c r="R53" s="997"/>
      <c r="S53" s="986"/>
      <c r="T53" s="403"/>
      <c r="U53" s="403"/>
      <c r="V53" s="403">
        <f>C53+I53</f>
        <v>0</v>
      </c>
    </row>
    <row r="54" spans="1:37" s="386" customFormat="1" ht="12.75" customHeight="1">
      <c r="A54" s="399">
        <v>6</v>
      </c>
      <c r="B54" s="400" t="s">
        <v>822</v>
      </c>
      <c r="C54" s="401"/>
      <c r="D54" s="986"/>
      <c r="E54" s="986"/>
      <c r="F54" s="986"/>
      <c r="G54" s="986"/>
      <c r="H54" s="986"/>
      <c r="I54" s="401"/>
      <c r="J54" s="986"/>
      <c r="K54" s="986"/>
      <c r="L54" s="986"/>
      <c r="M54" s="986"/>
      <c r="N54" s="986"/>
      <c r="O54" s="401"/>
      <c r="P54" s="986"/>
      <c r="Q54" s="986"/>
      <c r="R54" s="997"/>
      <c r="S54" s="986"/>
      <c r="T54" s="403"/>
      <c r="U54" s="403"/>
      <c r="V54" s="403">
        <f>C55+I55</f>
        <v>0</v>
      </c>
    </row>
    <row r="55" spans="1:37" s="386" customFormat="1" ht="12.75" customHeight="1">
      <c r="A55" s="399">
        <v>7</v>
      </c>
      <c r="B55" s="400" t="s">
        <v>216</v>
      </c>
      <c r="C55" s="401"/>
      <c r="D55" s="986"/>
      <c r="E55" s="986"/>
      <c r="F55" s="986"/>
      <c r="G55" s="986"/>
      <c r="H55" s="986"/>
      <c r="I55" s="401"/>
      <c r="J55" s="986"/>
      <c r="K55" s="986"/>
      <c r="L55" s="986"/>
      <c r="M55" s="986"/>
      <c r="N55" s="986"/>
      <c r="O55" s="401"/>
      <c r="P55" s="986"/>
      <c r="Q55" s="986"/>
      <c r="R55" s="997"/>
      <c r="S55" s="986"/>
    </row>
    <row r="56" spans="1:37" s="386" customFormat="1" ht="12.75" customHeight="1">
      <c r="A56" s="399">
        <v>8</v>
      </c>
      <c r="B56" s="400" t="s">
        <v>218</v>
      </c>
      <c r="C56" s="401"/>
      <c r="D56" s="986"/>
      <c r="E56" s="986"/>
      <c r="F56" s="986"/>
      <c r="G56" s="986"/>
      <c r="H56" s="986"/>
      <c r="I56" s="401"/>
      <c r="J56" s="986"/>
      <c r="K56" s="986"/>
      <c r="L56" s="986"/>
      <c r="M56" s="986"/>
      <c r="N56" s="986"/>
      <c r="O56" s="401"/>
      <c r="P56" s="986"/>
      <c r="Q56" s="986"/>
      <c r="R56" s="997"/>
      <c r="S56" s="986"/>
    </row>
    <row r="57" spans="1:37" s="386" customFormat="1" ht="12.75" customHeight="1">
      <c r="A57" s="394"/>
      <c r="B57" s="405" t="s">
        <v>111</v>
      </c>
      <c r="C57" s="406">
        <f>SUM(C49:C55)</f>
        <v>0</v>
      </c>
      <c r="D57" s="406"/>
      <c r="E57" s="406"/>
      <c r="F57" s="406"/>
      <c r="G57" s="406"/>
      <c r="H57" s="406"/>
      <c r="I57" s="406">
        <f>SUM(I49:I55)</f>
        <v>0</v>
      </c>
      <c r="J57" s="406"/>
      <c r="K57" s="406"/>
      <c r="L57" s="406"/>
      <c r="M57" s="406"/>
      <c r="N57" s="406"/>
      <c r="O57" s="406">
        <f>SUM(O49:O55)</f>
        <v>0</v>
      </c>
      <c r="P57" s="406"/>
      <c r="Q57" s="406"/>
      <c r="R57" s="406"/>
      <c r="S57" s="406"/>
    </row>
    <row r="58" spans="1:37" s="387" customFormat="1" ht="12.75" customHeight="1">
      <c r="E58" s="407"/>
      <c r="F58" s="407">
        <f>SUM(F49+R44)</f>
        <v>3227575.7499999208</v>
      </c>
      <c r="G58" s="407">
        <f>SUM(G49+S44)</f>
        <v>860686.86666664598</v>
      </c>
      <c r="H58" s="410"/>
      <c r="I58" s="410"/>
      <c r="J58" s="410"/>
      <c r="K58" s="410"/>
      <c r="L58" s="418">
        <f>SUM(L49+F58)</f>
        <v>3227575.7499999208</v>
      </c>
      <c r="M58" s="418">
        <f>SUM(M49+G58)</f>
        <v>860686.86666664598</v>
      </c>
      <c r="N58" s="410"/>
      <c r="O58" s="410"/>
      <c r="P58" s="410"/>
      <c r="Q58" s="410"/>
      <c r="R58" s="418">
        <f>SUM(R49+L58)</f>
        <v>3227575.7499999208</v>
      </c>
      <c r="S58" s="418">
        <f>SUM(S49+M58)</f>
        <v>860686.86666664598</v>
      </c>
    </row>
    <row r="59" spans="1:37" s="386" customFormat="1" ht="12.75" customHeight="1"/>
    <row r="60" spans="1:37" s="387" customFormat="1" ht="12.75" customHeight="1"/>
    <row r="61" spans="1:37" s="387" customFormat="1" ht="12.75" customHeight="1">
      <c r="A61" s="385"/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</row>
    <row r="62" spans="1:37" s="388" customFormat="1" ht="12.75" customHeight="1">
      <c r="A62" s="419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416"/>
      <c r="AH62" s="416"/>
      <c r="AI62" s="416"/>
      <c r="AJ62" s="416"/>
      <c r="AK62" s="416"/>
    </row>
    <row r="63" spans="1:37" s="385" customFormat="1" ht="12.75" customHeight="1">
      <c r="A63" s="416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388"/>
    </row>
    <row r="64" spans="1:37" s="385" customFormat="1" ht="12.75" customHeight="1">
      <c r="A64" s="981" t="s">
        <v>439</v>
      </c>
      <c r="B64" s="979" t="s">
        <v>798</v>
      </c>
      <c r="C64" s="979" t="s">
        <v>111</v>
      </c>
      <c r="D64" s="977"/>
      <c r="E64" s="977"/>
      <c r="F64" s="974"/>
      <c r="G64" s="978"/>
      <c r="H64" s="979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388"/>
    </row>
    <row r="65" spans="1:19" s="385" customFormat="1" ht="12.75" customHeight="1">
      <c r="A65" s="982"/>
      <c r="B65" s="984"/>
      <c r="C65" s="981" t="s">
        <v>127</v>
      </c>
      <c r="D65" s="979" t="s">
        <v>209</v>
      </c>
      <c r="E65" s="976" t="s">
        <v>800</v>
      </c>
      <c r="F65" s="980" t="s">
        <v>801</v>
      </c>
      <c r="G65" s="974"/>
      <c r="H65" s="975"/>
      <c r="I65" s="410"/>
      <c r="J65" s="416">
        <v>11000000</v>
      </c>
      <c r="K65" s="416">
        <v>8000000</v>
      </c>
      <c r="L65" s="416"/>
      <c r="M65" s="416"/>
      <c r="N65" s="416"/>
      <c r="O65" s="416"/>
      <c r="P65" s="416"/>
      <c r="Q65" s="416"/>
      <c r="R65" s="416"/>
      <c r="S65" s="388"/>
    </row>
    <row r="66" spans="1:19" s="386" customFormat="1" ht="12.75" customHeight="1">
      <c r="A66" s="983"/>
      <c r="B66" s="985"/>
      <c r="C66" s="983"/>
      <c r="D66" s="985"/>
      <c r="E66" s="976"/>
      <c r="F66" s="393" t="s">
        <v>802</v>
      </c>
      <c r="G66" s="394" t="s">
        <v>803</v>
      </c>
      <c r="H66" s="393" t="s">
        <v>828</v>
      </c>
      <c r="I66" s="409"/>
      <c r="J66" s="420">
        <v>0.8</v>
      </c>
      <c r="K66" s="420">
        <v>0.2</v>
      </c>
      <c r="L66" s="416"/>
      <c r="M66" s="416"/>
      <c r="N66" s="416"/>
      <c r="O66" s="416"/>
      <c r="P66" s="416"/>
      <c r="Q66" s="416"/>
      <c r="R66" s="416"/>
      <c r="S66" s="388"/>
    </row>
    <row r="67" spans="1:19" s="386" customFormat="1" ht="12.75" customHeight="1">
      <c r="A67" s="399">
        <v>1</v>
      </c>
      <c r="B67" s="400" t="s">
        <v>213</v>
      </c>
      <c r="C67" s="401">
        <f>C8+I8+O8+C22+I22+O22+C36+I36+O36+C49+I49+O49</f>
        <v>14698616</v>
      </c>
      <c r="D67" s="986">
        <f>SUM(D8+J8+P8+D22+J22+P22+D36+J36+P36+D49+J49+P49)</f>
        <v>69640116.666666776</v>
      </c>
      <c r="E67" s="986">
        <f>SUM(C75-D67)</f>
        <v>4303434.3333332241</v>
      </c>
      <c r="F67" s="986">
        <f>E67*75%</f>
        <v>3227575.749999918</v>
      </c>
      <c r="G67" s="986">
        <f>E67*20%</f>
        <v>860686.86666664481</v>
      </c>
      <c r="H67" s="986">
        <f>E67*5%</f>
        <v>215171.7166666612</v>
      </c>
      <c r="I67" s="990"/>
      <c r="J67" s="416">
        <f>SUM(J65*J66)</f>
        <v>8800000</v>
      </c>
      <c r="K67" s="416">
        <f>SUM(K65*K66)</f>
        <v>1600000</v>
      </c>
      <c r="L67" s="416"/>
      <c r="M67" s="416"/>
      <c r="N67" s="416"/>
      <c r="O67" s="416"/>
      <c r="P67" s="416"/>
      <c r="Q67" s="416"/>
      <c r="R67" s="416"/>
      <c r="S67" s="388"/>
    </row>
    <row r="68" spans="1:19" s="386" customFormat="1" ht="12.75" customHeight="1">
      <c r="A68" s="399">
        <v>2</v>
      </c>
      <c r="B68" s="400" t="s">
        <v>211</v>
      </c>
      <c r="C68" s="401">
        <f>C9+I9+O9+C23+I23+O23+C37+I37+O37+C50+I50+O50</f>
        <v>31019461</v>
      </c>
      <c r="D68" s="986"/>
      <c r="E68" s="986"/>
      <c r="F68" s="986"/>
      <c r="G68" s="986"/>
      <c r="H68" s="986"/>
      <c r="I68" s="991"/>
      <c r="J68" s="416">
        <f>SUM(F67+J67)</f>
        <v>12027575.749999918</v>
      </c>
      <c r="K68" s="416"/>
      <c r="L68" s="416"/>
      <c r="M68" s="416"/>
      <c r="N68" s="416"/>
      <c r="O68" s="416"/>
      <c r="P68" s="416"/>
      <c r="Q68" s="416"/>
      <c r="R68" s="416"/>
      <c r="S68" s="388"/>
    </row>
    <row r="69" spans="1:19" s="386" customFormat="1" ht="12.75" customHeight="1">
      <c r="A69" s="399">
        <v>3</v>
      </c>
      <c r="B69" s="400" t="s">
        <v>805</v>
      </c>
      <c r="C69" s="401">
        <f>C10+I10+O10+C24+I24+O24+C38+I38+O38+C51+I51+O51</f>
        <v>18401482</v>
      </c>
      <c r="D69" s="986"/>
      <c r="E69" s="986"/>
      <c r="F69" s="986"/>
      <c r="G69" s="986"/>
      <c r="H69" s="986"/>
      <c r="I69" s="992"/>
      <c r="J69" s="416"/>
      <c r="K69" s="416"/>
      <c r="L69" s="416"/>
      <c r="M69" s="416"/>
      <c r="N69" s="416"/>
      <c r="O69" s="416"/>
      <c r="P69" s="416"/>
      <c r="Q69" s="416"/>
      <c r="R69" s="416"/>
      <c r="S69" s="388"/>
    </row>
    <row r="70" spans="1:19" s="386" customFormat="1" ht="12.75" customHeight="1">
      <c r="A70" s="399">
        <v>4</v>
      </c>
      <c r="B70" s="400" t="s">
        <v>806</v>
      </c>
      <c r="C70" s="401">
        <f>C11+I11+O11+C25+I25+O25+C39+I39+O39+C52+I52+O52</f>
        <v>5175000</v>
      </c>
      <c r="D70" s="986"/>
      <c r="E70" s="986"/>
      <c r="F70" s="986"/>
      <c r="G70" s="986"/>
      <c r="H70" s="986"/>
      <c r="I70" s="993"/>
      <c r="J70" s="422"/>
      <c r="K70" s="416"/>
      <c r="L70" s="416"/>
      <c r="M70" s="416"/>
      <c r="N70" s="416"/>
      <c r="O70" s="416"/>
      <c r="P70" s="416"/>
      <c r="Q70" s="416"/>
      <c r="R70" s="416"/>
      <c r="S70" s="388"/>
    </row>
    <row r="71" spans="1:19" s="387" customFormat="1" ht="12.75" customHeight="1">
      <c r="A71" s="399">
        <v>5</v>
      </c>
      <c r="B71" s="400" t="s">
        <v>807</v>
      </c>
      <c r="C71" s="401">
        <f>C12+I12+O12+C26+I26+O26+C40+I40+O40+C53+I53+O53</f>
        <v>3200000</v>
      </c>
      <c r="D71" s="986"/>
      <c r="E71" s="986"/>
      <c r="F71" s="986"/>
      <c r="G71" s="986"/>
      <c r="H71" s="986"/>
      <c r="I71" s="994"/>
      <c r="J71" s="422"/>
      <c r="K71" s="416"/>
      <c r="L71" s="416"/>
      <c r="M71" s="416"/>
      <c r="N71" s="416"/>
      <c r="O71" s="416"/>
      <c r="P71" s="416"/>
      <c r="Q71" s="416"/>
      <c r="R71" s="416"/>
      <c r="S71" s="388"/>
    </row>
    <row r="72" spans="1:19" s="388" customFormat="1" ht="12.75">
      <c r="A72" s="399">
        <v>6</v>
      </c>
      <c r="B72" s="400" t="s">
        <v>144</v>
      </c>
      <c r="C72" s="401">
        <f>C41+I41+O41+C54+I54+O54</f>
        <v>0</v>
      </c>
      <c r="D72" s="986"/>
      <c r="E72" s="986"/>
      <c r="F72" s="986"/>
      <c r="G72" s="986"/>
      <c r="H72" s="989"/>
      <c r="I72" s="990"/>
    </row>
    <row r="73" spans="1:19" s="388" customFormat="1" ht="12.75">
      <c r="A73" s="399">
        <v>7</v>
      </c>
      <c r="B73" s="400" t="s">
        <v>216</v>
      </c>
      <c r="C73" s="401">
        <f>SUM(C14+I14+O14)</f>
        <v>225000</v>
      </c>
      <c r="D73" s="986"/>
      <c r="E73" s="986"/>
      <c r="F73" s="986"/>
      <c r="G73" s="986"/>
      <c r="H73" s="989"/>
      <c r="I73" s="421"/>
    </row>
    <row r="74" spans="1:19" s="388" customFormat="1" ht="12.75">
      <c r="A74" s="399">
        <v>8</v>
      </c>
      <c r="B74" s="400" t="s">
        <v>218</v>
      </c>
      <c r="C74" s="401">
        <f>SUM(C15+I15+O15+C29)</f>
        <v>1223992</v>
      </c>
      <c r="D74" s="402"/>
      <c r="E74" s="402"/>
      <c r="F74" s="402"/>
      <c r="G74" s="402"/>
      <c r="H74" s="423"/>
      <c r="I74" s="421"/>
    </row>
    <row r="75" spans="1:19" s="388" customFormat="1" ht="12.75">
      <c r="A75" s="394"/>
      <c r="B75" s="405" t="s">
        <v>111</v>
      </c>
      <c r="C75" s="406">
        <f>SUM(C67:C74)</f>
        <v>73943551</v>
      </c>
      <c r="D75" s="406"/>
      <c r="E75" s="406"/>
      <c r="F75" s="406"/>
      <c r="G75" s="406"/>
      <c r="H75" s="406"/>
      <c r="I75" s="424"/>
    </row>
    <row r="76" spans="1:19" s="388" customFormat="1" ht="12">
      <c r="A76" s="419"/>
    </row>
    <row r="77" spans="1:19">
      <c r="E77" s="425">
        <f>C75-D75</f>
        <v>73943551</v>
      </c>
    </row>
    <row r="78" spans="1:19">
      <c r="B78" s="426">
        <v>35000000</v>
      </c>
      <c r="C78" s="390" t="s">
        <v>829</v>
      </c>
    </row>
    <row r="79" spans="1:19">
      <c r="B79" s="425">
        <f>[52]Sheet1!$C$22</f>
        <v>0</v>
      </c>
      <c r="C79" s="390" t="s">
        <v>830</v>
      </c>
    </row>
    <row r="80" spans="1:19">
      <c r="B80" s="425">
        <f>SUM(B78:B79)</f>
        <v>35000000</v>
      </c>
    </row>
  </sheetData>
  <mergeCells count="142">
    <mergeCell ref="S8:S15"/>
    <mergeCell ref="S22:S29"/>
    <mergeCell ref="S36:S41"/>
    <mergeCell ref="S49:S56"/>
    <mergeCell ref="T8:T15"/>
    <mergeCell ref="T22:T29"/>
    <mergeCell ref="T36:T41"/>
    <mergeCell ref="Q8:Q15"/>
    <mergeCell ref="Q20:Q21"/>
    <mergeCell ref="Q22:Q29"/>
    <mergeCell ref="Q34:Q35"/>
    <mergeCell ref="Q36:Q41"/>
    <mergeCell ref="Q47:Q48"/>
    <mergeCell ref="Q49:Q56"/>
    <mergeCell ref="R8:R15"/>
    <mergeCell ref="R22:R29"/>
    <mergeCell ref="R36:R41"/>
    <mergeCell ref="R49:R56"/>
    <mergeCell ref="O47:O48"/>
    <mergeCell ref="P6:P7"/>
    <mergeCell ref="P8:P15"/>
    <mergeCell ref="P20:P21"/>
    <mergeCell ref="P22:P29"/>
    <mergeCell ref="P34:P35"/>
    <mergeCell ref="P36:P41"/>
    <mergeCell ref="P47:P48"/>
    <mergeCell ref="P49:P56"/>
    <mergeCell ref="L8:L15"/>
    <mergeCell ref="L22:L29"/>
    <mergeCell ref="L36:L41"/>
    <mergeCell ref="L49:L56"/>
    <mergeCell ref="M8:M15"/>
    <mergeCell ref="M22:M29"/>
    <mergeCell ref="M36:M41"/>
    <mergeCell ref="M49:M56"/>
    <mergeCell ref="N8:N15"/>
    <mergeCell ref="N22:N29"/>
    <mergeCell ref="N36:N41"/>
    <mergeCell ref="N49:N56"/>
    <mergeCell ref="J8:J15"/>
    <mergeCell ref="J20:J21"/>
    <mergeCell ref="J22:J29"/>
    <mergeCell ref="J34:J35"/>
    <mergeCell ref="J36:J41"/>
    <mergeCell ref="J47:J48"/>
    <mergeCell ref="J49:J56"/>
    <mergeCell ref="K6:K7"/>
    <mergeCell ref="K8:K15"/>
    <mergeCell ref="K20:K21"/>
    <mergeCell ref="K22:K29"/>
    <mergeCell ref="K34:K35"/>
    <mergeCell ref="K36:K41"/>
    <mergeCell ref="K47:K48"/>
    <mergeCell ref="K49:K56"/>
    <mergeCell ref="H8:H15"/>
    <mergeCell ref="H22:H29"/>
    <mergeCell ref="H36:H41"/>
    <mergeCell ref="H49:H56"/>
    <mergeCell ref="H67:H73"/>
    <mergeCell ref="I6:I7"/>
    <mergeCell ref="I20:I21"/>
    <mergeCell ref="I34:I35"/>
    <mergeCell ref="I47:I48"/>
    <mergeCell ref="I67:I72"/>
    <mergeCell ref="F8:F15"/>
    <mergeCell ref="F22:F29"/>
    <mergeCell ref="F36:F41"/>
    <mergeCell ref="F49:F56"/>
    <mergeCell ref="F67:F73"/>
    <mergeCell ref="G8:G15"/>
    <mergeCell ref="G22:G29"/>
    <mergeCell ref="G36:G41"/>
    <mergeCell ref="G49:G56"/>
    <mergeCell ref="G67:G73"/>
    <mergeCell ref="E8:E15"/>
    <mergeCell ref="E20:E21"/>
    <mergeCell ref="E22:E29"/>
    <mergeCell ref="E34:E35"/>
    <mergeCell ref="E36:E41"/>
    <mergeCell ref="E47:E48"/>
    <mergeCell ref="E49:E56"/>
    <mergeCell ref="E65:E66"/>
    <mergeCell ref="E67:E73"/>
    <mergeCell ref="D8:D15"/>
    <mergeCell ref="D20:D21"/>
    <mergeCell ref="D22:D29"/>
    <mergeCell ref="D34:D35"/>
    <mergeCell ref="D36:D41"/>
    <mergeCell ref="D47:D48"/>
    <mergeCell ref="D49:D56"/>
    <mergeCell ref="D65:D66"/>
    <mergeCell ref="D67:D73"/>
    <mergeCell ref="C46:G46"/>
    <mergeCell ref="I46:M46"/>
    <mergeCell ref="O46:S46"/>
    <mergeCell ref="F47:H47"/>
    <mergeCell ref="L47:N47"/>
    <mergeCell ref="R47:S47"/>
    <mergeCell ref="C64:H64"/>
    <mergeCell ref="F65:H65"/>
    <mergeCell ref="A5:A7"/>
    <mergeCell ref="A19:A21"/>
    <mergeCell ref="A33:A35"/>
    <mergeCell ref="A46:A48"/>
    <mergeCell ref="A64:A66"/>
    <mergeCell ref="B5:B7"/>
    <mergeCell ref="B19:B21"/>
    <mergeCell ref="B33:B35"/>
    <mergeCell ref="B46:B48"/>
    <mergeCell ref="B64:B66"/>
    <mergeCell ref="C6:C7"/>
    <mergeCell ref="C20:C21"/>
    <mergeCell ref="C34:C35"/>
    <mergeCell ref="C47:C48"/>
    <mergeCell ref="C65:C66"/>
    <mergeCell ref="D6:D7"/>
    <mergeCell ref="C19:G19"/>
    <mergeCell ref="I19:M19"/>
    <mergeCell ref="O19:T19"/>
    <mergeCell ref="F20:H20"/>
    <mergeCell ref="L20:N20"/>
    <mergeCell ref="C33:G33"/>
    <mergeCell ref="I33:N33"/>
    <mergeCell ref="O33:T33"/>
    <mergeCell ref="F34:H34"/>
    <mergeCell ref="L34:N34"/>
    <mergeCell ref="R34:T34"/>
    <mergeCell ref="O20:O21"/>
    <mergeCell ref="O34:O35"/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E6:E7"/>
    <mergeCell ref="J6:J7"/>
    <mergeCell ref="O6:O7"/>
    <mergeCell ref="Q6:Q7"/>
  </mergeCells>
  <pageMargins left="7.6388888888888895E-2" right="0.70866141732283505" top="1.0486111111111101" bottom="0.74803149606299202" header="0.31496062992126" footer="0.31496062992126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7"/>
  <sheetViews>
    <sheetView view="pageLayout" topLeftCell="A6" zoomScaleNormal="100" workbookViewId="0">
      <selection activeCell="B15" sqref="B15:D15"/>
    </sheetView>
  </sheetViews>
  <sheetFormatPr defaultColWidth="9" defaultRowHeight="15"/>
  <cols>
    <col min="1" max="1" width="9" style="363"/>
    <col min="2" max="2" width="6.140625" style="363" customWidth="1"/>
    <col min="3" max="3" width="24.85546875" style="363" customWidth="1"/>
    <col min="4" max="4" width="18" style="363" customWidth="1"/>
    <col min="5" max="5" width="18.7109375" style="363" customWidth="1"/>
    <col min="6" max="6" width="11.42578125" style="363" customWidth="1"/>
    <col min="7" max="7" width="15.140625" style="363" customWidth="1"/>
    <col min="8" max="8" width="12" style="363" customWidth="1"/>
    <col min="9" max="16384" width="9" style="363"/>
  </cols>
  <sheetData>
    <row r="1" spans="2:8">
      <c r="B1" s="884" t="s">
        <v>831</v>
      </c>
      <c r="C1" s="884"/>
      <c r="D1" s="884"/>
      <c r="E1" s="884"/>
      <c r="F1" s="364"/>
      <c r="G1" s="364"/>
      <c r="H1" s="364"/>
    </row>
    <row r="2" spans="2:8">
      <c r="B2" s="884" t="s">
        <v>832</v>
      </c>
      <c r="C2" s="884"/>
      <c r="D2" s="884"/>
      <c r="E2" s="884"/>
      <c r="F2" s="364"/>
      <c r="G2" s="364"/>
      <c r="H2" s="364"/>
    </row>
    <row r="3" spans="2:8">
      <c r="B3" s="884" t="s">
        <v>833</v>
      </c>
      <c r="C3" s="884"/>
      <c r="D3" s="884"/>
      <c r="E3" s="884"/>
      <c r="F3" s="364"/>
      <c r="G3" s="364"/>
      <c r="H3" s="364"/>
    </row>
    <row r="4" spans="2:8">
      <c r="B4" s="998" t="s">
        <v>834</v>
      </c>
      <c r="C4" s="998"/>
    </row>
    <row r="5" spans="2:8">
      <c r="B5" s="1005" t="s">
        <v>835</v>
      </c>
      <c r="C5" s="1007" t="s">
        <v>836</v>
      </c>
      <c r="D5" s="1009" t="s">
        <v>837</v>
      </c>
      <c r="E5" s="1011" t="s">
        <v>22</v>
      </c>
    </row>
    <row r="6" spans="2:8">
      <c r="B6" s="1006"/>
      <c r="C6" s="1008"/>
      <c r="D6" s="1010"/>
      <c r="E6" s="1012"/>
    </row>
    <row r="7" spans="2:8">
      <c r="B7" s="999" t="s">
        <v>838</v>
      </c>
      <c r="C7" s="1000"/>
      <c r="D7" s="1001"/>
      <c r="E7" s="365"/>
    </row>
    <row r="8" spans="2:8">
      <c r="B8" s="999" t="s">
        <v>839</v>
      </c>
      <c r="C8" s="1000"/>
      <c r="D8" s="1001"/>
      <c r="E8" s="366"/>
    </row>
    <row r="9" spans="2:8" ht="17.45" customHeight="1">
      <c r="B9" s="367">
        <v>1</v>
      </c>
      <c r="C9" s="368" t="s">
        <v>840</v>
      </c>
      <c r="D9" s="369" t="s">
        <v>841</v>
      </c>
      <c r="E9" s="370">
        <v>3129000</v>
      </c>
      <c r="F9" s="371"/>
    </row>
    <row r="10" spans="2:8" ht="17.45" customHeight="1">
      <c r="B10" s="372">
        <v>2</v>
      </c>
      <c r="C10" s="373" t="s">
        <v>842</v>
      </c>
      <c r="D10" s="374" t="str">
        <f>D9</f>
        <v>30/4/2025</v>
      </c>
      <c r="E10" s="375">
        <v>1606900</v>
      </c>
    </row>
    <row r="11" spans="2:8" ht="17.45" customHeight="1">
      <c r="B11" s="372">
        <v>3</v>
      </c>
      <c r="C11" s="373" t="s">
        <v>843</v>
      </c>
      <c r="D11" s="374" t="str">
        <f t="shared" ref="D11:D13" si="0">D10</f>
        <v>30/4/2025</v>
      </c>
      <c r="E11" s="375">
        <v>80000</v>
      </c>
    </row>
    <row r="12" spans="2:8" ht="17.45" customHeight="1">
      <c r="B12" s="372">
        <v>5</v>
      </c>
      <c r="C12" s="373" t="s">
        <v>228</v>
      </c>
      <c r="D12" s="374" t="str">
        <f t="shared" si="0"/>
        <v>30/4/2025</v>
      </c>
      <c r="E12" s="375">
        <v>70000</v>
      </c>
    </row>
    <row r="13" spans="2:8" ht="17.45" customHeight="1">
      <c r="B13" s="372">
        <v>6</v>
      </c>
      <c r="C13" s="373" t="s">
        <v>844</v>
      </c>
      <c r="D13" s="374" t="str">
        <f t="shared" si="0"/>
        <v>30/4/2025</v>
      </c>
      <c r="E13" s="376">
        <v>1090000</v>
      </c>
    </row>
    <row r="14" spans="2:8" ht="15.75">
      <c r="B14" s="1002" t="s">
        <v>655</v>
      </c>
      <c r="C14" s="1003"/>
      <c r="D14" s="1004"/>
      <c r="E14" s="377">
        <f>SUM(E9:E13)</f>
        <v>5975900</v>
      </c>
      <c r="F14" s="371"/>
    </row>
    <row r="15" spans="2:8" ht="15.75">
      <c r="B15" s="1002" t="s">
        <v>845</v>
      </c>
      <c r="C15" s="1003"/>
      <c r="D15" s="1004"/>
      <c r="E15" s="377">
        <v>1813760</v>
      </c>
    </row>
    <row r="16" spans="2:8" ht="15.75">
      <c r="B16" s="1002" t="s">
        <v>655</v>
      </c>
      <c r="C16" s="1003"/>
      <c r="D16" s="1004"/>
      <c r="E16" s="377">
        <f>SUM(E14-E15)</f>
        <v>4162140</v>
      </c>
    </row>
    <row r="17" spans="2:6" ht="15.75">
      <c r="B17" s="378"/>
      <c r="C17" s="378"/>
      <c r="D17" s="378"/>
      <c r="E17" s="379"/>
    </row>
    <row r="18" spans="2:6">
      <c r="B18" s="883" t="s">
        <v>113</v>
      </c>
      <c r="C18" s="883"/>
      <c r="D18" s="883"/>
      <c r="E18" s="883"/>
    </row>
    <row r="19" spans="2:6">
      <c r="B19" s="883" t="s">
        <v>114</v>
      </c>
      <c r="C19" s="883"/>
      <c r="D19" s="883"/>
      <c r="E19" s="883"/>
    </row>
    <row r="20" spans="2:6">
      <c r="B20" s="380"/>
      <c r="C20" s="380"/>
      <c r="D20" s="380"/>
      <c r="E20" s="380"/>
    </row>
    <row r="22" spans="2:6">
      <c r="B22" s="883" t="s">
        <v>115</v>
      </c>
      <c r="C22" s="883"/>
      <c r="E22" s="380" t="s">
        <v>116</v>
      </c>
    </row>
    <row r="23" spans="2:6">
      <c r="F23" s="381"/>
    </row>
    <row r="24" spans="2:6">
      <c r="D24" s="382"/>
      <c r="F24" s="381"/>
    </row>
    <row r="25" spans="2:6">
      <c r="D25" s="382"/>
      <c r="F25" s="381"/>
    </row>
    <row r="27" spans="2:6">
      <c r="B27" s="885" t="s">
        <v>117</v>
      </c>
      <c r="C27" s="885"/>
      <c r="D27" s="381"/>
      <c r="E27" s="383" t="s">
        <v>177</v>
      </c>
      <c r="F27" s="381"/>
    </row>
  </sheetData>
  <mergeCells count="17">
    <mergeCell ref="B19:E19"/>
    <mergeCell ref="B22:C22"/>
    <mergeCell ref="B27:C27"/>
    <mergeCell ref="B5:B6"/>
    <mergeCell ref="C5:C6"/>
    <mergeCell ref="D5:D6"/>
    <mergeCell ref="E5:E6"/>
    <mergeCell ref="B8:D8"/>
    <mergeCell ref="B14:D14"/>
    <mergeCell ref="B15:D15"/>
    <mergeCell ref="B16:D16"/>
    <mergeCell ref="B18:E18"/>
    <mergeCell ref="B1:E1"/>
    <mergeCell ref="B2:E2"/>
    <mergeCell ref="B3:E3"/>
    <mergeCell ref="B4:C4"/>
    <mergeCell ref="B7:D7"/>
  </mergeCells>
  <pageMargins left="1.11805555555556" right="0.7" top="1.0833333333333299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74"/>
  <sheetViews>
    <sheetView view="pageLayout" topLeftCell="A44" zoomScale="60" zoomScaleNormal="100" zoomScaleSheetLayoutView="70" zoomScalePageLayoutView="60" workbookViewId="0">
      <selection activeCell="H57" sqref="H57"/>
    </sheetView>
  </sheetViews>
  <sheetFormatPr defaultColWidth="9" defaultRowHeight="12.75"/>
  <cols>
    <col min="1" max="1" width="4.5703125" style="225" customWidth="1"/>
    <col min="2" max="2" width="36.85546875" style="225" customWidth="1"/>
    <col min="3" max="3" width="15" style="225" customWidth="1"/>
    <col min="4" max="4" width="8.7109375" style="225" customWidth="1"/>
    <col min="5" max="5" width="6.28515625" style="225" customWidth="1"/>
    <col min="6" max="6" width="16" style="225" customWidth="1"/>
    <col min="7" max="7" width="18" style="225" customWidth="1"/>
    <col min="8" max="8" width="12.140625" style="225" customWidth="1"/>
    <col min="9" max="9" width="14.7109375" style="225" customWidth="1"/>
    <col min="10" max="10" width="8" style="225" customWidth="1"/>
    <col min="11" max="11" width="16" style="225" customWidth="1"/>
    <col min="12" max="12" width="8.85546875" style="225" customWidth="1"/>
    <col min="13" max="13" width="16.85546875" style="225" customWidth="1"/>
    <col min="14" max="14" width="10.5703125" style="225" customWidth="1"/>
    <col min="15" max="16" width="17.85546875" style="225" customWidth="1"/>
    <col min="17" max="17" width="14.140625" style="225" customWidth="1"/>
    <col min="18" max="18" width="9.140625" style="225"/>
    <col min="19" max="19" width="15.5703125" style="225" customWidth="1"/>
    <col min="20" max="20" width="10.140625" style="225" customWidth="1"/>
    <col min="21" max="21" width="12.85546875" style="225" customWidth="1"/>
    <col min="22" max="256" width="9.140625" style="225"/>
    <col min="257" max="257" width="4.5703125" style="225" customWidth="1"/>
    <col min="258" max="258" width="25.85546875" style="225" customWidth="1"/>
    <col min="259" max="259" width="16.42578125" style="225" customWidth="1"/>
    <col min="260" max="260" width="9.28515625" style="225" customWidth="1"/>
    <col min="261" max="261" width="6.28515625" style="225" customWidth="1"/>
    <col min="262" max="262" width="14.42578125" style="225" customWidth="1"/>
    <col min="263" max="263" width="15.5703125" style="225" customWidth="1"/>
    <col min="264" max="264" width="10.5703125" style="225" customWidth="1"/>
    <col min="265" max="265" width="14.42578125" style="225" customWidth="1"/>
    <col min="266" max="266" width="8" style="225" customWidth="1"/>
    <col min="267" max="267" width="16" style="225" customWidth="1"/>
    <col min="268" max="268" width="8.85546875" style="225" customWidth="1"/>
    <col min="269" max="269" width="16.85546875" style="225" customWidth="1"/>
    <col min="270" max="270" width="9.5703125" style="225" customWidth="1"/>
    <col min="271" max="271" width="16.140625" style="225" customWidth="1"/>
    <col min="272" max="272" width="17.85546875" style="225" customWidth="1"/>
    <col min="273" max="273" width="14.140625" style="225" customWidth="1"/>
    <col min="274" max="274" width="9.140625" style="225"/>
    <col min="275" max="275" width="15.5703125" style="225" customWidth="1"/>
    <col min="276" max="276" width="10.140625" style="225" customWidth="1"/>
    <col min="277" max="277" width="12.85546875" style="225" customWidth="1"/>
    <col min="278" max="512" width="9.140625" style="225"/>
    <col min="513" max="513" width="4.5703125" style="225" customWidth="1"/>
    <col min="514" max="514" width="25.85546875" style="225" customWidth="1"/>
    <col min="515" max="515" width="16.42578125" style="225" customWidth="1"/>
    <col min="516" max="516" width="9.28515625" style="225" customWidth="1"/>
    <col min="517" max="517" width="6.28515625" style="225" customWidth="1"/>
    <col min="518" max="518" width="14.42578125" style="225" customWidth="1"/>
    <col min="519" max="519" width="15.5703125" style="225" customWidth="1"/>
    <col min="520" max="520" width="10.5703125" style="225" customWidth="1"/>
    <col min="521" max="521" width="14.42578125" style="225" customWidth="1"/>
    <col min="522" max="522" width="8" style="225" customWidth="1"/>
    <col min="523" max="523" width="16" style="225" customWidth="1"/>
    <col min="524" max="524" width="8.85546875" style="225" customWidth="1"/>
    <col min="525" max="525" width="16.85546875" style="225" customWidth="1"/>
    <col min="526" max="526" width="9.5703125" style="225" customWidth="1"/>
    <col min="527" max="527" width="16.140625" style="225" customWidth="1"/>
    <col min="528" max="528" width="17.85546875" style="225" customWidth="1"/>
    <col min="529" max="529" width="14.140625" style="225" customWidth="1"/>
    <col min="530" max="530" width="9.140625" style="225"/>
    <col min="531" max="531" width="15.5703125" style="225" customWidth="1"/>
    <col min="532" max="532" width="10.140625" style="225" customWidth="1"/>
    <col min="533" max="533" width="12.85546875" style="225" customWidth="1"/>
    <col min="534" max="768" width="9.140625" style="225"/>
    <col min="769" max="769" width="4.5703125" style="225" customWidth="1"/>
    <col min="770" max="770" width="25.85546875" style="225" customWidth="1"/>
    <col min="771" max="771" width="16.42578125" style="225" customWidth="1"/>
    <col min="772" max="772" width="9.28515625" style="225" customWidth="1"/>
    <col min="773" max="773" width="6.28515625" style="225" customWidth="1"/>
    <col min="774" max="774" width="14.42578125" style="225" customWidth="1"/>
    <col min="775" max="775" width="15.5703125" style="225" customWidth="1"/>
    <col min="776" max="776" width="10.5703125" style="225" customWidth="1"/>
    <col min="777" max="777" width="14.42578125" style="225" customWidth="1"/>
    <col min="778" max="778" width="8" style="225" customWidth="1"/>
    <col min="779" max="779" width="16" style="225" customWidth="1"/>
    <col min="780" max="780" width="8.85546875" style="225" customWidth="1"/>
    <col min="781" max="781" width="16.85546875" style="225" customWidth="1"/>
    <col min="782" max="782" width="9.5703125" style="225" customWidth="1"/>
    <col min="783" max="783" width="16.140625" style="225" customWidth="1"/>
    <col min="784" max="784" width="17.85546875" style="225" customWidth="1"/>
    <col min="785" max="785" width="14.140625" style="225" customWidth="1"/>
    <col min="786" max="786" width="9.140625" style="225"/>
    <col min="787" max="787" width="15.5703125" style="225" customWidth="1"/>
    <col min="788" max="788" width="10.140625" style="225" customWidth="1"/>
    <col min="789" max="789" width="12.85546875" style="225" customWidth="1"/>
    <col min="790" max="1024" width="9.140625" style="225"/>
    <col min="1025" max="1025" width="4.5703125" style="225" customWidth="1"/>
    <col min="1026" max="1026" width="25.85546875" style="225" customWidth="1"/>
    <col min="1027" max="1027" width="16.42578125" style="225" customWidth="1"/>
    <col min="1028" max="1028" width="9.28515625" style="225" customWidth="1"/>
    <col min="1029" max="1029" width="6.28515625" style="225" customWidth="1"/>
    <col min="1030" max="1030" width="14.42578125" style="225" customWidth="1"/>
    <col min="1031" max="1031" width="15.5703125" style="225" customWidth="1"/>
    <col min="1032" max="1032" width="10.5703125" style="225" customWidth="1"/>
    <col min="1033" max="1033" width="14.42578125" style="225" customWidth="1"/>
    <col min="1034" max="1034" width="8" style="225" customWidth="1"/>
    <col min="1035" max="1035" width="16" style="225" customWidth="1"/>
    <col min="1036" max="1036" width="8.85546875" style="225" customWidth="1"/>
    <col min="1037" max="1037" width="16.85546875" style="225" customWidth="1"/>
    <col min="1038" max="1038" width="9.5703125" style="225" customWidth="1"/>
    <col min="1039" max="1039" width="16.140625" style="225" customWidth="1"/>
    <col min="1040" max="1040" width="17.85546875" style="225" customWidth="1"/>
    <col min="1041" max="1041" width="14.140625" style="225" customWidth="1"/>
    <col min="1042" max="1042" width="9.140625" style="225"/>
    <col min="1043" max="1043" width="15.5703125" style="225" customWidth="1"/>
    <col min="1044" max="1044" width="10.140625" style="225" customWidth="1"/>
    <col min="1045" max="1045" width="12.85546875" style="225" customWidth="1"/>
    <col min="1046" max="1280" width="9.140625" style="225"/>
    <col min="1281" max="1281" width="4.5703125" style="225" customWidth="1"/>
    <col min="1282" max="1282" width="25.85546875" style="225" customWidth="1"/>
    <col min="1283" max="1283" width="16.42578125" style="225" customWidth="1"/>
    <col min="1284" max="1284" width="9.28515625" style="225" customWidth="1"/>
    <col min="1285" max="1285" width="6.28515625" style="225" customWidth="1"/>
    <col min="1286" max="1286" width="14.42578125" style="225" customWidth="1"/>
    <col min="1287" max="1287" width="15.5703125" style="225" customWidth="1"/>
    <col min="1288" max="1288" width="10.5703125" style="225" customWidth="1"/>
    <col min="1289" max="1289" width="14.42578125" style="225" customWidth="1"/>
    <col min="1290" max="1290" width="8" style="225" customWidth="1"/>
    <col min="1291" max="1291" width="16" style="225" customWidth="1"/>
    <col min="1292" max="1292" width="8.85546875" style="225" customWidth="1"/>
    <col min="1293" max="1293" width="16.85546875" style="225" customWidth="1"/>
    <col min="1294" max="1294" width="9.5703125" style="225" customWidth="1"/>
    <col min="1295" max="1295" width="16.140625" style="225" customWidth="1"/>
    <col min="1296" max="1296" width="17.85546875" style="225" customWidth="1"/>
    <col min="1297" max="1297" width="14.140625" style="225" customWidth="1"/>
    <col min="1298" max="1298" width="9.140625" style="225"/>
    <col min="1299" max="1299" width="15.5703125" style="225" customWidth="1"/>
    <col min="1300" max="1300" width="10.140625" style="225" customWidth="1"/>
    <col min="1301" max="1301" width="12.85546875" style="225" customWidth="1"/>
    <col min="1302" max="1536" width="9.140625" style="225"/>
    <col min="1537" max="1537" width="4.5703125" style="225" customWidth="1"/>
    <col min="1538" max="1538" width="25.85546875" style="225" customWidth="1"/>
    <col min="1539" max="1539" width="16.42578125" style="225" customWidth="1"/>
    <col min="1540" max="1540" width="9.28515625" style="225" customWidth="1"/>
    <col min="1541" max="1541" width="6.28515625" style="225" customWidth="1"/>
    <col min="1542" max="1542" width="14.42578125" style="225" customWidth="1"/>
    <col min="1543" max="1543" width="15.5703125" style="225" customWidth="1"/>
    <col min="1544" max="1544" width="10.5703125" style="225" customWidth="1"/>
    <col min="1545" max="1545" width="14.42578125" style="225" customWidth="1"/>
    <col min="1546" max="1546" width="8" style="225" customWidth="1"/>
    <col min="1547" max="1547" width="16" style="225" customWidth="1"/>
    <col min="1548" max="1548" width="8.85546875" style="225" customWidth="1"/>
    <col min="1549" max="1549" width="16.85546875" style="225" customWidth="1"/>
    <col min="1550" max="1550" width="9.5703125" style="225" customWidth="1"/>
    <col min="1551" max="1551" width="16.140625" style="225" customWidth="1"/>
    <col min="1552" max="1552" width="17.85546875" style="225" customWidth="1"/>
    <col min="1553" max="1553" width="14.140625" style="225" customWidth="1"/>
    <col min="1554" max="1554" width="9.140625" style="225"/>
    <col min="1555" max="1555" width="15.5703125" style="225" customWidth="1"/>
    <col min="1556" max="1556" width="10.140625" style="225" customWidth="1"/>
    <col min="1557" max="1557" width="12.85546875" style="225" customWidth="1"/>
    <col min="1558" max="1792" width="9.140625" style="225"/>
    <col min="1793" max="1793" width="4.5703125" style="225" customWidth="1"/>
    <col min="1794" max="1794" width="25.85546875" style="225" customWidth="1"/>
    <col min="1795" max="1795" width="16.42578125" style="225" customWidth="1"/>
    <col min="1796" max="1796" width="9.28515625" style="225" customWidth="1"/>
    <col min="1797" max="1797" width="6.28515625" style="225" customWidth="1"/>
    <col min="1798" max="1798" width="14.42578125" style="225" customWidth="1"/>
    <col min="1799" max="1799" width="15.5703125" style="225" customWidth="1"/>
    <col min="1800" max="1800" width="10.5703125" style="225" customWidth="1"/>
    <col min="1801" max="1801" width="14.42578125" style="225" customWidth="1"/>
    <col min="1802" max="1802" width="8" style="225" customWidth="1"/>
    <col min="1803" max="1803" width="16" style="225" customWidth="1"/>
    <col min="1804" max="1804" width="8.85546875" style="225" customWidth="1"/>
    <col min="1805" max="1805" width="16.85546875" style="225" customWidth="1"/>
    <col min="1806" max="1806" width="9.5703125" style="225" customWidth="1"/>
    <col min="1807" max="1807" width="16.140625" style="225" customWidth="1"/>
    <col min="1808" max="1808" width="17.85546875" style="225" customWidth="1"/>
    <col min="1809" max="1809" width="14.140625" style="225" customWidth="1"/>
    <col min="1810" max="1810" width="9.140625" style="225"/>
    <col min="1811" max="1811" width="15.5703125" style="225" customWidth="1"/>
    <col min="1812" max="1812" width="10.140625" style="225" customWidth="1"/>
    <col min="1813" max="1813" width="12.85546875" style="225" customWidth="1"/>
    <col min="1814" max="2048" width="9.140625" style="225"/>
    <col min="2049" max="2049" width="4.5703125" style="225" customWidth="1"/>
    <col min="2050" max="2050" width="25.85546875" style="225" customWidth="1"/>
    <col min="2051" max="2051" width="16.42578125" style="225" customWidth="1"/>
    <col min="2052" max="2052" width="9.28515625" style="225" customWidth="1"/>
    <col min="2053" max="2053" width="6.28515625" style="225" customWidth="1"/>
    <col min="2054" max="2054" width="14.42578125" style="225" customWidth="1"/>
    <col min="2055" max="2055" width="15.5703125" style="225" customWidth="1"/>
    <col min="2056" max="2056" width="10.5703125" style="225" customWidth="1"/>
    <col min="2057" max="2057" width="14.42578125" style="225" customWidth="1"/>
    <col min="2058" max="2058" width="8" style="225" customWidth="1"/>
    <col min="2059" max="2059" width="16" style="225" customWidth="1"/>
    <col min="2060" max="2060" width="8.85546875" style="225" customWidth="1"/>
    <col min="2061" max="2061" width="16.85546875" style="225" customWidth="1"/>
    <col min="2062" max="2062" width="9.5703125" style="225" customWidth="1"/>
    <col min="2063" max="2063" width="16.140625" style="225" customWidth="1"/>
    <col min="2064" max="2064" width="17.85546875" style="225" customWidth="1"/>
    <col min="2065" max="2065" width="14.140625" style="225" customWidth="1"/>
    <col min="2066" max="2066" width="9.140625" style="225"/>
    <col min="2067" max="2067" width="15.5703125" style="225" customWidth="1"/>
    <col min="2068" max="2068" width="10.140625" style="225" customWidth="1"/>
    <col min="2069" max="2069" width="12.85546875" style="225" customWidth="1"/>
    <col min="2070" max="2304" width="9.140625" style="225"/>
    <col min="2305" max="2305" width="4.5703125" style="225" customWidth="1"/>
    <col min="2306" max="2306" width="25.85546875" style="225" customWidth="1"/>
    <col min="2307" max="2307" width="16.42578125" style="225" customWidth="1"/>
    <col min="2308" max="2308" width="9.28515625" style="225" customWidth="1"/>
    <col min="2309" max="2309" width="6.28515625" style="225" customWidth="1"/>
    <col min="2310" max="2310" width="14.42578125" style="225" customWidth="1"/>
    <col min="2311" max="2311" width="15.5703125" style="225" customWidth="1"/>
    <col min="2312" max="2312" width="10.5703125" style="225" customWidth="1"/>
    <col min="2313" max="2313" width="14.42578125" style="225" customWidth="1"/>
    <col min="2314" max="2314" width="8" style="225" customWidth="1"/>
    <col min="2315" max="2315" width="16" style="225" customWidth="1"/>
    <col min="2316" max="2316" width="8.85546875" style="225" customWidth="1"/>
    <col min="2317" max="2317" width="16.85546875" style="225" customWidth="1"/>
    <col min="2318" max="2318" width="9.5703125" style="225" customWidth="1"/>
    <col min="2319" max="2319" width="16.140625" style="225" customWidth="1"/>
    <col min="2320" max="2320" width="17.85546875" style="225" customWidth="1"/>
    <col min="2321" max="2321" width="14.140625" style="225" customWidth="1"/>
    <col min="2322" max="2322" width="9.140625" style="225"/>
    <col min="2323" max="2323" width="15.5703125" style="225" customWidth="1"/>
    <col min="2324" max="2324" width="10.140625" style="225" customWidth="1"/>
    <col min="2325" max="2325" width="12.85546875" style="225" customWidth="1"/>
    <col min="2326" max="2560" width="9.140625" style="225"/>
    <col min="2561" max="2561" width="4.5703125" style="225" customWidth="1"/>
    <col min="2562" max="2562" width="25.85546875" style="225" customWidth="1"/>
    <col min="2563" max="2563" width="16.42578125" style="225" customWidth="1"/>
    <col min="2564" max="2564" width="9.28515625" style="225" customWidth="1"/>
    <col min="2565" max="2565" width="6.28515625" style="225" customWidth="1"/>
    <col min="2566" max="2566" width="14.42578125" style="225" customWidth="1"/>
    <col min="2567" max="2567" width="15.5703125" style="225" customWidth="1"/>
    <col min="2568" max="2568" width="10.5703125" style="225" customWidth="1"/>
    <col min="2569" max="2569" width="14.42578125" style="225" customWidth="1"/>
    <col min="2570" max="2570" width="8" style="225" customWidth="1"/>
    <col min="2571" max="2571" width="16" style="225" customWidth="1"/>
    <col min="2572" max="2572" width="8.85546875" style="225" customWidth="1"/>
    <col min="2573" max="2573" width="16.85546875" style="225" customWidth="1"/>
    <col min="2574" max="2574" width="9.5703125" style="225" customWidth="1"/>
    <col min="2575" max="2575" width="16.140625" style="225" customWidth="1"/>
    <col min="2576" max="2576" width="17.85546875" style="225" customWidth="1"/>
    <col min="2577" max="2577" width="14.140625" style="225" customWidth="1"/>
    <col min="2578" max="2578" width="9.140625" style="225"/>
    <col min="2579" max="2579" width="15.5703125" style="225" customWidth="1"/>
    <col min="2580" max="2580" width="10.140625" style="225" customWidth="1"/>
    <col min="2581" max="2581" width="12.85546875" style="225" customWidth="1"/>
    <col min="2582" max="2816" width="9.140625" style="225"/>
    <col min="2817" max="2817" width="4.5703125" style="225" customWidth="1"/>
    <col min="2818" max="2818" width="25.85546875" style="225" customWidth="1"/>
    <col min="2819" max="2819" width="16.42578125" style="225" customWidth="1"/>
    <col min="2820" max="2820" width="9.28515625" style="225" customWidth="1"/>
    <col min="2821" max="2821" width="6.28515625" style="225" customWidth="1"/>
    <col min="2822" max="2822" width="14.42578125" style="225" customWidth="1"/>
    <col min="2823" max="2823" width="15.5703125" style="225" customWidth="1"/>
    <col min="2824" max="2824" width="10.5703125" style="225" customWidth="1"/>
    <col min="2825" max="2825" width="14.42578125" style="225" customWidth="1"/>
    <col min="2826" max="2826" width="8" style="225" customWidth="1"/>
    <col min="2827" max="2827" width="16" style="225" customWidth="1"/>
    <col min="2828" max="2828" width="8.85546875" style="225" customWidth="1"/>
    <col min="2829" max="2829" width="16.85546875" style="225" customWidth="1"/>
    <col min="2830" max="2830" width="9.5703125" style="225" customWidth="1"/>
    <col min="2831" max="2831" width="16.140625" style="225" customWidth="1"/>
    <col min="2832" max="2832" width="17.85546875" style="225" customWidth="1"/>
    <col min="2833" max="2833" width="14.140625" style="225" customWidth="1"/>
    <col min="2834" max="2834" width="9.140625" style="225"/>
    <col min="2835" max="2835" width="15.5703125" style="225" customWidth="1"/>
    <col min="2836" max="2836" width="10.140625" style="225" customWidth="1"/>
    <col min="2837" max="2837" width="12.85546875" style="225" customWidth="1"/>
    <col min="2838" max="3072" width="9.140625" style="225"/>
    <col min="3073" max="3073" width="4.5703125" style="225" customWidth="1"/>
    <col min="3074" max="3074" width="25.85546875" style="225" customWidth="1"/>
    <col min="3075" max="3075" width="16.42578125" style="225" customWidth="1"/>
    <col min="3076" max="3076" width="9.28515625" style="225" customWidth="1"/>
    <col min="3077" max="3077" width="6.28515625" style="225" customWidth="1"/>
    <col min="3078" max="3078" width="14.42578125" style="225" customWidth="1"/>
    <col min="3079" max="3079" width="15.5703125" style="225" customWidth="1"/>
    <col min="3080" max="3080" width="10.5703125" style="225" customWidth="1"/>
    <col min="3081" max="3081" width="14.42578125" style="225" customWidth="1"/>
    <col min="3082" max="3082" width="8" style="225" customWidth="1"/>
    <col min="3083" max="3083" width="16" style="225" customWidth="1"/>
    <col min="3084" max="3084" width="8.85546875" style="225" customWidth="1"/>
    <col min="3085" max="3085" width="16.85546875" style="225" customWidth="1"/>
    <col min="3086" max="3086" width="9.5703125" style="225" customWidth="1"/>
    <col min="3087" max="3087" width="16.140625" style="225" customWidth="1"/>
    <col min="3088" max="3088" width="17.85546875" style="225" customWidth="1"/>
    <col min="3089" max="3089" width="14.140625" style="225" customWidth="1"/>
    <col min="3090" max="3090" width="9.140625" style="225"/>
    <col min="3091" max="3091" width="15.5703125" style="225" customWidth="1"/>
    <col min="3092" max="3092" width="10.140625" style="225" customWidth="1"/>
    <col min="3093" max="3093" width="12.85546875" style="225" customWidth="1"/>
    <col min="3094" max="3328" width="9.140625" style="225"/>
    <col min="3329" max="3329" width="4.5703125" style="225" customWidth="1"/>
    <col min="3330" max="3330" width="25.85546875" style="225" customWidth="1"/>
    <col min="3331" max="3331" width="16.42578125" style="225" customWidth="1"/>
    <col min="3332" max="3332" width="9.28515625" style="225" customWidth="1"/>
    <col min="3333" max="3333" width="6.28515625" style="225" customWidth="1"/>
    <col min="3334" max="3334" width="14.42578125" style="225" customWidth="1"/>
    <col min="3335" max="3335" width="15.5703125" style="225" customWidth="1"/>
    <col min="3336" max="3336" width="10.5703125" style="225" customWidth="1"/>
    <col min="3337" max="3337" width="14.42578125" style="225" customWidth="1"/>
    <col min="3338" max="3338" width="8" style="225" customWidth="1"/>
    <col min="3339" max="3339" width="16" style="225" customWidth="1"/>
    <col min="3340" max="3340" width="8.85546875" style="225" customWidth="1"/>
    <col min="3341" max="3341" width="16.85546875" style="225" customWidth="1"/>
    <col min="3342" max="3342" width="9.5703125" style="225" customWidth="1"/>
    <col min="3343" max="3343" width="16.140625" style="225" customWidth="1"/>
    <col min="3344" max="3344" width="17.85546875" style="225" customWidth="1"/>
    <col min="3345" max="3345" width="14.140625" style="225" customWidth="1"/>
    <col min="3346" max="3346" width="9.140625" style="225"/>
    <col min="3347" max="3347" width="15.5703125" style="225" customWidth="1"/>
    <col min="3348" max="3348" width="10.140625" style="225" customWidth="1"/>
    <col min="3349" max="3349" width="12.85546875" style="225" customWidth="1"/>
    <col min="3350" max="3584" width="9.140625" style="225"/>
    <col min="3585" max="3585" width="4.5703125" style="225" customWidth="1"/>
    <col min="3586" max="3586" width="25.85546875" style="225" customWidth="1"/>
    <col min="3587" max="3587" width="16.42578125" style="225" customWidth="1"/>
    <col min="3588" max="3588" width="9.28515625" style="225" customWidth="1"/>
    <col min="3589" max="3589" width="6.28515625" style="225" customWidth="1"/>
    <col min="3590" max="3590" width="14.42578125" style="225" customWidth="1"/>
    <col min="3591" max="3591" width="15.5703125" style="225" customWidth="1"/>
    <col min="3592" max="3592" width="10.5703125" style="225" customWidth="1"/>
    <col min="3593" max="3593" width="14.42578125" style="225" customWidth="1"/>
    <col min="3594" max="3594" width="8" style="225" customWidth="1"/>
    <col min="3595" max="3595" width="16" style="225" customWidth="1"/>
    <col min="3596" max="3596" width="8.85546875" style="225" customWidth="1"/>
    <col min="3597" max="3597" width="16.85546875" style="225" customWidth="1"/>
    <col min="3598" max="3598" width="9.5703125" style="225" customWidth="1"/>
    <col min="3599" max="3599" width="16.140625" style="225" customWidth="1"/>
    <col min="3600" max="3600" width="17.85546875" style="225" customWidth="1"/>
    <col min="3601" max="3601" width="14.140625" style="225" customWidth="1"/>
    <col min="3602" max="3602" width="9.140625" style="225"/>
    <col min="3603" max="3603" width="15.5703125" style="225" customWidth="1"/>
    <col min="3604" max="3604" width="10.140625" style="225" customWidth="1"/>
    <col min="3605" max="3605" width="12.85546875" style="225" customWidth="1"/>
    <col min="3606" max="3840" width="9.140625" style="225"/>
    <col min="3841" max="3841" width="4.5703125" style="225" customWidth="1"/>
    <col min="3842" max="3842" width="25.85546875" style="225" customWidth="1"/>
    <col min="3843" max="3843" width="16.42578125" style="225" customWidth="1"/>
    <col min="3844" max="3844" width="9.28515625" style="225" customWidth="1"/>
    <col min="3845" max="3845" width="6.28515625" style="225" customWidth="1"/>
    <col min="3846" max="3846" width="14.42578125" style="225" customWidth="1"/>
    <col min="3847" max="3847" width="15.5703125" style="225" customWidth="1"/>
    <col min="3848" max="3848" width="10.5703125" style="225" customWidth="1"/>
    <col min="3849" max="3849" width="14.42578125" style="225" customWidth="1"/>
    <col min="3850" max="3850" width="8" style="225" customWidth="1"/>
    <col min="3851" max="3851" width="16" style="225" customWidth="1"/>
    <col min="3852" max="3852" width="8.85546875" style="225" customWidth="1"/>
    <col min="3853" max="3853" width="16.85546875" style="225" customWidth="1"/>
    <col min="3854" max="3854" width="9.5703125" style="225" customWidth="1"/>
    <col min="3855" max="3855" width="16.140625" style="225" customWidth="1"/>
    <col min="3856" max="3856" width="17.85546875" style="225" customWidth="1"/>
    <col min="3857" max="3857" width="14.140625" style="225" customWidth="1"/>
    <col min="3858" max="3858" width="9.140625" style="225"/>
    <col min="3859" max="3859" width="15.5703125" style="225" customWidth="1"/>
    <col min="3860" max="3860" width="10.140625" style="225" customWidth="1"/>
    <col min="3861" max="3861" width="12.85546875" style="225" customWidth="1"/>
    <col min="3862" max="4096" width="9.140625" style="225"/>
    <col min="4097" max="4097" width="4.5703125" style="225" customWidth="1"/>
    <col min="4098" max="4098" width="25.85546875" style="225" customWidth="1"/>
    <col min="4099" max="4099" width="16.42578125" style="225" customWidth="1"/>
    <col min="4100" max="4100" width="9.28515625" style="225" customWidth="1"/>
    <col min="4101" max="4101" width="6.28515625" style="225" customWidth="1"/>
    <col min="4102" max="4102" width="14.42578125" style="225" customWidth="1"/>
    <col min="4103" max="4103" width="15.5703125" style="225" customWidth="1"/>
    <col min="4104" max="4104" width="10.5703125" style="225" customWidth="1"/>
    <col min="4105" max="4105" width="14.42578125" style="225" customWidth="1"/>
    <col min="4106" max="4106" width="8" style="225" customWidth="1"/>
    <col min="4107" max="4107" width="16" style="225" customWidth="1"/>
    <col min="4108" max="4108" width="8.85546875" style="225" customWidth="1"/>
    <col min="4109" max="4109" width="16.85546875" style="225" customWidth="1"/>
    <col min="4110" max="4110" width="9.5703125" style="225" customWidth="1"/>
    <col min="4111" max="4111" width="16.140625" style="225" customWidth="1"/>
    <col min="4112" max="4112" width="17.85546875" style="225" customWidth="1"/>
    <col min="4113" max="4113" width="14.140625" style="225" customWidth="1"/>
    <col min="4114" max="4114" width="9.140625" style="225"/>
    <col min="4115" max="4115" width="15.5703125" style="225" customWidth="1"/>
    <col min="4116" max="4116" width="10.140625" style="225" customWidth="1"/>
    <col min="4117" max="4117" width="12.85546875" style="225" customWidth="1"/>
    <col min="4118" max="4352" width="9.140625" style="225"/>
    <col min="4353" max="4353" width="4.5703125" style="225" customWidth="1"/>
    <col min="4354" max="4354" width="25.85546875" style="225" customWidth="1"/>
    <col min="4355" max="4355" width="16.42578125" style="225" customWidth="1"/>
    <col min="4356" max="4356" width="9.28515625" style="225" customWidth="1"/>
    <col min="4357" max="4357" width="6.28515625" style="225" customWidth="1"/>
    <col min="4358" max="4358" width="14.42578125" style="225" customWidth="1"/>
    <col min="4359" max="4359" width="15.5703125" style="225" customWidth="1"/>
    <col min="4360" max="4360" width="10.5703125" style="225" customWidth="1"/>
    <col min="4361" max="4361" width="14.42578125" style="225" customWidth="1"/>
    <col min="4362" max="4362" width="8" style="225" customWidth="1"/>
    <col min="4363" max="4363" width="16" style="225" customWidth="1"/>
    <col min="4364" max="4364" width="8.85546875" style="225" customWidth="1"/>
    <col min="4365" max="4365" width="16.85546875" style="225" customWidth="1"/>
    <col min="4366" max="4366" width="9.5703125" style="225" customWidth="1"/>
    <col min="4367" max="4367" width="16.140625" style="225" customWidth="1"/>
    <col min="4368" max="4368" width="17.85546875" style="225" customWidth="1"/>
    <col min="4369" max="4369" width="14.140625" style="225" customWidth="1"/>
    <col min="4370" max="4370" width="9.140625" style="225"/>
    <col min="4371" max="4371" width="15.5703125" style="225" customWidth="1"/>
    <col min="4372" max="4372" width="10.140625" style="225" customWidth="1"/>
    <col min="4373" max="4373" width="12.85546875" style="225" customWidth="1"/>
    <col min="4374" max="4608" width="9.140625" style="225"/>
    <col min="4609" max="4609" width="4.5703125" style="225" customWidth="1"/>
    <col min="4610" max="4610" width="25.85546875" style="225" customWidth="1"/>
    <col min="4611" max="4611" width="16.42578125" style="225" customWidth="1"/>
    <col min="4612" max="4612" width="9.28515625" style="225" customWidth="1"/>
    <col min="4613" max="4613" width="6.28515625" style="225" customWidth="1"/>
    <col min="4614" max="4614" width="14.42578125" style="225" customWidth="1"/>
    <col min="4615" max="4615" width="15.5703125" style="225" customWidth="1"/>
    <col min="4616" max="4616" width="10.5703125" style="225" customWidth="1"/>
    <col min="4617" max="4617" width="14.42578125" style="225" customWidth="1"/>
    <col min="4618" max="4618" width="8" style="225" customWidth="1"/>
    <col min="4619" max="4619" width="16" style="225" customWidth="1"/>
    <col min="4620" max="4620" width="8.85546875" style="225" customWidth="1"/>
    <col min="4621" max="4621" width="16.85546875" style="225" customWidth="1"/>
    <col min="4622" max="4622" width="9.5703125" style="225" customWidth="1"/>
    <col min="4623" max="4623" width="16.140625" style="225" customWidth="1"/>
    <col min="4624" max="4624" width="17.85546875" style="225" customWidth="1"/>
    <col min="4625" max="4625" width="14.140625" style="225" customWidth="1"/>
    <col min="4626" max="4626" width="9.140625" style="225"/>
    <col min="4627" max="4627" width="15.5703125" style="225" customWidth="1"/>
    <col min="4628" max="4628" width="10.140625" style="225" customWidth="1"/>
    <col min="4629" max="4629" width="12.85546875" style="225" customWidth="1"/>
    <col min="4630" max="4864" width="9.140625" style="225"/>
    <col min="4865" max="4865" width="4.5703125" style="225" customWidth="1"/>
    <col min="4866" max="4866" width="25.85546875" style="225" customWidth="1"/>
    <col min="4867" max="4867" width="16.42578125" style="225" customWidth="1"/>
    <col min="4868" max="4868" width="9.28515625" style="225" customWidth="1"/>
    <col min="4869" max="4869" width="6.28515625" style="225" customWidth="1"/>
    <col min="4870" max="4870" width="14.42578125" style="225" customWidth="1"/>
    <col min="4871" max="4871" width="15.5703125" style="225" customWidth="1"/>
    <col min="4872" max="4872" width="10.5703125" style="225" customWidth="1"/>
    <col min="4873" max="4873" width="14.42578125" style="225" customWidth="1"/>
    <col min="4874" max="4874" width="8" style="225" customWidth="1"/>
    <col min="4875" max="4875" width="16" style="225" customWidth="1"/>
    <col min="4876" max="4876" width="8.85546875" style="225" customWidth="1"/>
    <col min="4877" max="4877" width="16.85546875" style="225" customWidth="1"/>
    <col min="4878" max="4878" width="9.5703125" style="225" customWidth="1"/>
    <col min="4879" max="4879" width="16.140625" style="225" customWidth="1"/>
    <col min="4880" max="4880" width="17.85546875" style="225" customWidth="1"/>
    <col min="4881" max="4881" width="14.140625" style="225" customWidth="1"/>
    <col min="4882" max="4882" width="9.140625" style="225"/>
    <col min="4883" max="4883" width="15.5703125" style="225" customWidth="1"/>
    <col min="4884" max="4884" width="10.140625" style="225" customWidth="1"/>
    <col min="4885" max="4885" width="12.85546875" style="225" customWidth="1"/>
    <col min="4886" max="5120" width="9.140625" style="225"/>
    <col min="5121" max="5121" width="4.5703125" style="225" customWidth="1"/>
    <col min="5122" max="5122" width="25.85546875" style="225" customWidth="1"/>
    <col min="5123" max="5123" width="16.42578125" style="225" customWidth="1"/>
    <col min="5124" max="5124" width="9.28515625" style="225" customWidth="1"/>
    <col min="5125" max="5125" width="6.28515625" style="225" customWidth="1"/>
    <col min="5126" max="5126" width="14.42578125" style="225" customWidth="1"/>
    <col min="5127" max="5127" width="15.5703125" style="225" customWidth="1"/>
    <col min="5128" max="5128" width="10.5703125" style="225" customWidth="1"/>
    <col min="5129" max="5129" width="14.42578125" style="225" customWidth="1"/>
    <col min="5130" max="5130" width="8" style="225" customWidth="1"/>
    <col min="5131" max="5131" width="16" style="225" customWidth="1"/>
    <col min="5132" max="5132" width="8.85546875" style="225" customWidth="1"/>
    <col min="5133" max="5133" width="16.85546875" style="225" customWidth="1"/>
    <col min="5134" max="5134" width="9.5703125" style="225" customWidth="1"/>
    <col min="5135" max="5135" width="16.140625" style="225" customWidth="1"/>
    <col min="5136" max="5136" width="17.85546875" style="225" customWidth="1"/>
    <col min="5137" max="5137" width="14.140625" style="225" customWidth="1"/>
    <col min="5138" max="5138" width="9.140625" style="225"/>
    <col min="5139" max="5139" width="15.5703125" style="225" customWidth="1"/>
    <col min="5140" max="5140" width="10.140625" style="225" customWidth="1"/>
    <col min="5141" max="5141" width="12.85546875" style="225" customWidth="1"/>
    <col min="5142" max="5376" width="9.140625" style="225"/>
    <col min="5377" max="5377" width="4.5703125" style="225" customWidth="1"/>
    <col min="5378" max="5378" width="25.85546875" style="225" customWidth="1"/>
    <col min="5379" max="5379" width="16.42578125" style="225" customWidth="1"/>
    <col min="5380" max="5380" width="9.28515625" style="225" customWidth="1"/>
    <col min="5381" max="5381" width="6.28515625" style="225" customWidth="1"/>
    <col min="5382" max="5382" width="14.42578125" style="225" customWidth="1"/>
    <col min="5383" max="5383" width="15.5703125" style="225" customWidth="1"/>
    <col min="5384" max="5384" width="10.5703125" style="225" customWidth="1"/>
    <col min="5385" max="5385" width="14.42578125" style="225" customWidth="1"/>
    <col min="5386" max="5386" width="8" style="225" customWidth="1"/>
    <col min="5387" max="5387" width="16" style="225" customWidth="1"/>
    <col min="5388" max="5388" width="8.85546875" style="225" customWidth="1"/>
    <col min="5389" max="5389" width="16.85546875" style="225" customWidth="1"/>
    <col min="5390" max="5390" width="9.5703125" style="225" customWidth="1"/>
    <col min="5391" max="5391" width="16.140625" style="225" customWidth="1"/>
    <col min="5392" max="5392" width="17.85546875" style="225" customWidth="1"/>
    <col min="5393" max="5393" width="14.140625" style="225" customWidth="1"/>
    <col min="5394" max="5394" width="9.140625" style="225"/>
    <col min="5395" max="5395" width="15.5703125" style="225" customWidth="1"/>
    <col min="5396" max="5396" width="10.140625" style="225" customWidth="1"/>
    <col min="5397" max="5397" width="12.85546875" style="225" customWidth="1"/>
    <col min="5398" max="5632" width="9.140625" style="225"/>
    <col min="5633" max="5633" width="4.5703125" style="225" customWidth="1"/>
    <col min="5634" max="5634" width="25.85546875" style="225" customWidth="1"/>
    <col min="5635" max="5635" width="16.42578125" style="225" customWidth="1"/>
    <col min="5636" max="5636" width="9.28515625" style="225" customWidth="1"/>
    <col min="5637" max="5637" width="6.28515625" style="225" customWidth="1"/>
    <col min="5638" max="5638" width="14.42578125" style="225" customWidth="1"/>
    <col min="5639" max="5639" width="15.5703125" style="225" customWidth="1"/>
    <col min="5640" max="5640" width="10.5703125" style="225" customWidth="1"/>
    <col min="5641" max="5641" width="14.42578125" style="225" customWidth="1"/>
    <col min="5642" max="5642" width="8" style="225" customWidth="1"/>
    <col min="5643" max="5643" width="16" style="225" customWidth="1"/>
    <col min="5644" max="5644" width="8.85546875" style="225" customWidth="1"/>
    <col min="5645" max="5645" width="16.85546875" style="225" customWidth="1"/>
    <col min="5646" max="5646" width="9.5703125" style="225" customWidth="1"/>
    <col min="5647" max="5647" width="16.140625" style="225" customWidth="1"/>
    <col min="5648" max="5648" width="17.85546875" style="225" customWidth="1"/>
    <col min="5649" max="5649" width="14.140625" style="225" customWidth="1"/>
    <col min="5650" max="5650" width="9.140625" style="225"/>
    <col min="5651" max="5651" width="15.5703125" style="225" customWidth="1"/>
    <col min="5652" max="5652" width="10.140625" style="225" customWidth="1"/>
    <col min="5653" max="5653" width="12.85546875" style="225" customWidth="1"/>
    <col min="5654" max="5888" width="9.140625" style="225"/>
    <col min="5889" max="5889" width="4.5703125" style="225" customWidth="1"/>
    <col min="5890" max="5890" width="25.85546875" style="225" customWidth="1"/>
    <col min="5891" max="5891" width="16.42578125" style="225" customWidth="1"/>
    <col min="5892" max="5892" width="9.28515625" style="225" customWidth="1"/>
    <col min="5893" max="5893" width="6.28515625" style="225" customWidth="1"/>
    <col min="5894" max="5894" width="14.42578125" style="225" customWidth="1"/>
    <col min="5895" max="5895" width="15.5703125" style="225" customWidth="1"/>
    <col min="5896" max="5896" width="10.5703125" style="225" customWidth="1"/>
    <col min="5897" max="5897" width="14.42578125" style="225" customWidth="1"/>
    <col min="5898" max="5898" width="8" style="225" customWidth="1"/>
    <col min="5899" max="5899" width="16" style="225" customWidth="1"/>
    <col min="5900" max="5900" width="8.85546875" style="225" customWidth="1"/>
    <col min="5901" max="5901" width="16.85546875" style="225" customWidth="1"/>
    <col min="5902" max="5902" width="9.5703125" style="225" customWidth="1"/>
    <col min="5903" max="5903" width="16.140625" style="225" customWidth="1"/>
    <col min="5904" max="5904" width="17.85546875" style="225" customWidth="1"/>
    <col min="5905" max="5905" width="14.140625" style="225" customWidth="1"/>
    <col min="5906" max="5906" width="9.140625" style="225"/>
    <col min="5907" max="5907" width="15.5703125" style="225" customWidth="1"/>
    <col min="5908" max="5908" width="10.140625" style="225" customWidth="1"/>
    <col min="5909" max="5909" width="12.85546875" style="225" customWidth="1"/>
    <col min="5910" max="6144" width="9.140625" style="225"/>
    <col min="6145" max="6145" width="4.5703125" style="225" customWidth="1"/>
    <col min="6146" max="6146" width="25.85546875" style="225" customWidth="1"/>
    <col min="6147" max="6147" width="16.42578125" style="225" customWidth="1"/>
    <col min="6148" max="6148" width="9.28515625" style="225" customWidth="1"/>
    <col min="6149" max="6149" width="6.28515625" style="225" customWidth="1"/>
    <col min="6150" max="6150" width="14.42578125" style="225" customWidth="1"/>
    <col min="6151" max="6151" width="15.5703125" style="225" customWidth="1"/>
    <col min="6152" max="6152" width="10.5703125" style="225" customWidth="1"/>
    <col min="6153" max="6153" width="14.42578125" style="225" customWidth="1"/>
    <col min="6154" max="6154" width="8" style="225" customWidth="1"/>
    <col min="6155" max="6155" width="16" style="225" customWidth="1"/>
    <col min="6156" max="6156" width="8.85546875" style="225" customWidth="1"/>
    <col min="6157" max="6157" width="16.85546875" style="225" customWidth="1"/>
    <col min="6158" max="6158" width="9.5703125" style="225" customWidth="1"/>
    <col min="6159" max="6159" width="16.140625" style="225" customWidth="1"/>
    <col min="6160" max="6160" width="17.85546875" style="225" customWidth="1"/>
    <col min="6161" max="6161" width="14.140625" style="225" customWidth="1"/>
    <col min="6162" max="6162" width="9.140625" style="225"/>
    <col min="6163" max="6163" width="15.5703125" style="225" customWidth="1"/>
    <col min="6164" max="6164" width="10.140625" style="225" customWidth="1"/>
    <col min="6165" max="6165" width="12.85546875" style="225" customWidth="1"/>
    <col min="6166" max="6400" width="9.140625" style="225"/>
    <col min="6401" max="6401" width="4.5703125" style="225" customWidth="1"/>
    <col min="6402" max="6402" width="25.85546875" style="225" customWidth="1"/>
    <col min="6403" max="6403" width="16.42578125" style="225" customWidth="1"/>
    <col min="6404" max="6404" width="9.28515625" style="225" customWidth="1"/>
    <col min="6405" max="6405" width="6.28515625" style="225" customWidth="1"/>
    <col min="6406" max="6406" width="14.42578125" style="225" customWidth="1"/>
    <col min="6407" max="6407" width="15.5703125" style="225" customWidth="1"/>
    <col min="6408" max="6408" width="10.5703125" style="225" customWidth="1"/>
    <col min="6409" max="6409" width="14.42578125" style="225" customWidth="1"/>
    <col min="6410" max="6410" width="8" style="225" customWidth="1"/>
    <col min="6411" max="6411" width="16" style="225" customWidth="1"/>
    <col min="6412" max="6412" width="8.85546875" style="225" customWidth="1"/>
    <col min="6413" max="6413" width="16.85546875" style="225" customWidth="1"/>
    <col min="6414" max="6414" width="9.5703125" style="225" customWidth="1"/>
    <col min="6415" max="6415" width="16.140625" style="225" customWidth="1"/>
    <col min="6416" max="6416" width="17.85546875" style="225" customWidth="1"/>
    <col min="6417" max="6417" width="14.140625" style="225" customWidth="1"/>
    <col min="6418" max="6418" width="9.140625" style="225"/>
    <col min="6419" max="6419" width="15.5703125" style="225" customWidth="1"/>
    <col min="6420" max="6420" width="10.140625" style="225" customWidth="1"/>
    <col min="6421" max="6421" width="12.85546875" style="225" customWidth="1"/>
    <col min="6422" max="6656" width="9.140625" style="225"/>
    <col min="6657" max="6657" width="4.5703125" style="225" customWidth="1"/>
    <col min="6658" max="6658" width="25.85546875" style="225" customWidth="1"/>
    <col min="6659" max="6659" width="16.42578125" style="225" customWidth="1"/>
    <col min="6660" max="6660" width="9.28515625" style="225" customWidth="1"/>
    <col min="6661" max="6661" width="6.28515625" style="225" customWidth="1"/>
    <col min="6662" max="6662" width="14.42578125" style="225" customWidth="1"/>
    <col min="6663" max="6663" width="15.5703125" style="225" customWidth="1"/>
    <col min="6664" max="6664" width="10.5703125" style="225" customWidth="1"/>
    <col min="6665" max="6665" width="14.42578125" style="225" customWidth="1"/>
    <col min="6666" max="6666" width="8" style="225" customWidth="1"/>
    <col min="6667" max="6667" width="16" style="225" customWidth="1"/>
    <col min="6668" max="6668" width="8.85546875" style="225" customWidth="1"/>
    <col min="6669" max="6669" width="16.85546875" style="225" customWidth="1"/>
    <col min="6670" max="6670" width="9.5703125" style="225" customWidth="1"/>
    <col min="6671" max="6671" width="16.140625" style="225" customWidth="1"/>
    <col min="6672" max="6672" width="17.85546875" style="225" customWidth="1"/>
    <col min="6673" max="6673" width="14.140625" style="225" customWidth="1"/>
    <col min="6674" max="6674" width="9.140625" style="225"/>
    <col min="6675" max="6675" width="15.5703125" style="225" customWidth="1"/>
    <col min="6676" max="6676" width="10.140625" style="225" customWidth="1"/>
    <col min="6677" max="6677" width="12.85546875" style="225" customWidth="1"/>
    <col min="6678" max="6912" width="9.140625" style="225"/>
    <col min="6913" max="6913" width="4.5703125" style="225" customWidth="1"/>
    <col min="6914" max="6914" width="25.85546875" style="225" customWidth="1"/>
    <col min="6915" max="6915" width="16.42578125" style="225" customWidth="1"/>
    <col min="6916" max="6916" width="9.28515625" style="225" customWidth="1"/>
    <col min="6917" max="6917" width="6.28515625" style="225" customWidth="1"/>
    <col min="6918" max="6918" width="14.42578125" style="225" customWidth="1"/>
    <col min="6919" max="6919" width="15.5703125" style="225" customWidth="1"/>
    <col min="6920" max="6920" width="10.5703125" style="225" customWidth="1"/>
    <col min="6921" max="6921" width="14.42578125" style="225" customWidth="1"/>
    <col min="6922" max="6922" width="8" style="225" customWidth="1"/>
    <col min="6923" max="6923" width="16" style="225" customWidth="1"/>
    <col min="6924" max="6924" width="8.85546875" style="225" customWidth="1"/>
    <col min="6925" max="6925" width="16.85546875" style="225" customWidth="1"/>
    <col min="6926" max="6926" width="9.5703125" style="225" customWidth="1"/>
    <col min="6927" max="6927" width="16.140625" style="225" customWidth="1"/>
    <col min="6928" max="6928" width="17.85546875" style="225" customWidth="1"/>
    <col min="6929" max="6929" width="14.140625" style="225" customWidth="1"/>
    <col min="6930" max="6930" width="9.140625" style="225"/>
    <col min="6931" max="6931" width="15.5703125" style="225" customWidth="1"/>
    <col min="6932" max="6932" width="10.140625" style="225" customWidth="1"/>
    <col min="6933" max="6933" width="12.85546875" style="225" customWidth="1"/>
    <col min="6934" max="7168" width="9.140625" style="225"/>
    <col min="7169" max="7169" width="4.5703125" style="225" customWidth="1"/>
    <col min="7170" max="7170" width="25.85546875" style="225" customWidth="1"/>
    <col min="7171" max="7171" width="16.42578125" style="225" customWidth="1"/>
    <col min="7172" max="7172" width="9.28515625" style="225" customWidth="1"/>
    <col min="7173" max="7173" width="6.28515625" style="225" customWidth="1"/>
    <col min="7174" max="7174" width="14.42578125" style="225" customWidth="1"/>
    <col min="7175" max="7175" width="15.5703125" style="225" customWidth="1"/>
    <col min="7176" max="7176" width="10.5703125" style="225" customWidth="1"/>
    <col min="7177" max="7177" width="14.42578125" style="225" customWidth="1"/>
    <col min="7178" max="7178" width="8" style="225" customWidth="1"/>
    <col min="7179" max="7179" width="16" style="225" customWidth="1"/>
    <col min="7180" max="7180" width="8.85546875" style="225" customWidth="1"/>
    <col min="7181" max="7181" width="16.85546875" style="225" customWidth="1"/>
    <col min="7182" max="7182" width="9.5703125" style="225" customWidth="1"/>
    <col min="7183" max="7183" width="16.140625" style="225" customWidth="1"/>
    <col min="7184" max="7184" width="17.85546875" style="225" customWidth="1"/>
    <col min="7185" max="7185" width="14.140625" style="225" customWidth="1"/>
    <col min="7186" max="7186" width="9.140625" style="225"/>
    <col min="7187" max="7187" width="15.5703125" style="225" customWidth="1"/>
    <col min="7188" max="7188" width="10.140625" style="225" customWidth="1"/>
    <col min="7189" max="7189" width="12.85546875" style="225" customWidth="1"/>
    <col min="7190" max="7424" width="9.140625" style="225"/>
    <col min="7425" max="7425" width="4.5703125" style="225" customWidth="1"/>
    <col min="7426" max="7426" width="25.85546875" style="225" customWidth="1"/>
    <col min="7427" max="7427" width="16.42578125" style="225" customWidth="1"/>
    <col min="7428" max="7428" width="9.28515625" style="225" customWidth="1"/>
    <col min="7429" max="7429" width="6.28515625" style="225" customWidth="1"/>
    <col min="7430" max="7430" width="14.42578125" style="225" customWidth="1"/>
    <col min="7431" max="7431" width="15.5703125" style="225" customWidth="1"/>
    <col min="7432" max="7432" width="10.5703125" style="225" customWidth="1"/>
    <col min="7433" max="7433" width="14.42578125" style="225" customWidth="1"/>
    <col min="7434" max="7434" width="8" style="225" customWidth="1"/>
    <col min="7435" max="7435" width="16" style="225" customWidth="1"/>
    <col min="7436" max="7436" width="8.85546875" style="225" customWidth="1"/>
    <col min="7437" max="7437" width="16.85546875" style="225" customWidth="1"/>
    <col min="7438" max="7438" width="9.5703125" style="225" customWidth="1"/>
    <col min="7439" max="7439" width="16.140625" style="225" customWidth="1"/>
    <col min="7440" max="7440" width="17.85546875" style="225" customWidth="1"/>
    <col min="7441" max="7441" width="14.140625" style="225" customWidth="1"/>
    <col min="7442" max="7442" width="9.140625" style="225"/>
    <col min="7443" max="7443" width="15.5703125" style="225" customWidth="1"/>
    <col min="7444" max="7444" width="10.140625" style="225" customWidth="1"/>
    <col min="7445" max="7445" width="12.85546875" style="225" customWidth="1"/>
    <col min="7446" max="7680" width="9.140625" style="225"/>
    <col min="7681" max="7681" width="4.5703125" style="225" customWidth="1"/>
    <col min="7682" max="7682" width="25.85546875" style="225" customWidth="1"/>
    <col min="7683" max="7683" width="16.42578125" style="225" customWidth="1"/>
    <col min="7684" max="7684" width="9.28515625" style="225" customWidth="1"/>
    <col min="7685" max="7685" width="6.28515625" style="225" customWidth="1"/>
    <col min="7686" max="7686" width="14.42578125" style="225" customWidth="1"/>
    <col min="7687" max="7687" width="15.5703125" style="225" customWidth="1"/>
    <col min="7688" max="7688" width="10.5703125" style="225" customWidth="1"/>
    <col min="7689" max="7689" width="14.42578125" style="225" customWidth="1"/>
    <col min="7690" max="7690" width="8" style="225" customWidth="1"/>
    <col min="7691" max="7691" width="16" style="225" customWidth="1"/>
    <col min="7692" max="7692" width="8.85546875" style="225" customWidth="1"/>
    <col min="7693" max="7693" width="16.85546875" style="225" customWidth="1"/>
    <col min="7694" max="7694" width="9.5703125" style="225" customWidth="1"/>
    <col min="7695" max="7695" width="16.140625" style="225" customWidth="1"/>
    <col min="7696" max="7696" width="17.85546875" style="225" customWidth="1"/>
    <col min="7697" max="7697" width="14.140625" style="225" customWidth="1"/>
    <col min="7698" max="7698" width="9.140625" style="225"/>
    <col min="7699" max="7699" width="15.5703125" style="225" customWidth="1"/>
    <col min="7700" max="7700" width="10.140625" style="225" customWidth="1"/>
    <col min="7701" max="7701" width="12.85546875" style="225" customWidth="1"/>
    <col min="7702" max="7936" width="9.140625" style="225"/>
    <col min="7937" max="7937" width="4.5703125" style="225" customWidth="1"/>
    <col min="7938" max="7938" width="25.85546875" style="225" customWidth="1"/>
    <col min="7939" max="7939" width="16.42578125" style="225" customWidth="1"/>
    <col min="7940" max="7940" width="9.28515625" style="225" customWidth="1"/>
    <col min="7941" max="7941" width="6.28515625" style="225" customWidth="1"/>
    <col min="7942" max="7942" width="14.42578125" style="225" customWidth="1"/>
    <col min="7943" max="7943" width="15.5703125" style="225" customWidth="1"/>
    <col min="7944" max="7944" width="10.5703125" style="225" customWidth="1"/>
    <col min="7945" max="7945" width="14.42578125" style="225" customWidth="1"/>
    <col min="7946" max="7946" width="8" style="225" customWidth="1"/>
    <col min="7947" max="7947" width="16" style="225" customWidth="1"/>
    <col min="7948" max="7948" width="8.85546875" style="225" customWidth="1"/>
    <col min="7949" max="7949" width="16.85546875" style="225" customWidth="1"/>
    <col min="7950" max="7950" width="9.5703125" style="225" customWidth="1"/>
    <col min="7951" max="7951" width="16.140625" style="225" customWidth="1"/>
    <col min="7952" max="7952" width="17.85546875" style="225" customWidth="1"/>
    <col min="7953" max="7953" width="14.140625" style="225" customWidth="1"/>
    <col min="7954" max="7954" width="9.140625" style="225"/>
    <col min="7955" max="7955" width="15.5703125" style="225" customWidth="1"/>
    <col min="7956" max="7956" width="10.140625" style="225" customWidth="1"/>
    <col min="7957" max="7957" width="12.85546875" style="225" customWidth="1"/>
    <col min="7958" max="8192" width="9.140625" style="225"/>
    <col min="8193" max="8193" width="4.5703125" style="225" customWidth="1"/>
    <col min="8194" max="8194" width="25.85546875" style="225" customWidth="1"/>
    <col min="8195" max="8195" width="16.42578125" style="225" customWidth="1"/>
    <col min="8196" max="8196" width="9.28515625" style="225" customWidth="1"/>
    <col min="8197" max="8197" width="6.28515625" style="225" customWidth="1"/>
    <col min="8198" max="8198" width="14.42578125" style="225" customWidth="1"/>
    <col min="8199" max="8199" width="15.5703125" style="225" customWidth="1"/>
    <col min="8200" max="8200" width="10.5703125" style="225" customWidth="1"/>
    <col min="8201" max="8201" width="14.42578125" style="225" customWidth="1"/>
    <col min="8202" max="8202" width="8" style="225" customWidth="1"/>
    <col min="8203" max="8203" width="16" style="225" customWidth="1"/>
    <col min="8204" max="8204" width="8.85546875" style="225" customWidth="1"/>
    <col min="8205" max="8205" width="16.85546875" style="225" customWidth="1"/>
    <col min="8206" max="8206" width="9.5703125" style="225" customWidth="1"/>
    <col min="8207" max="8207" width="16.140625" style="225" customWidth="1"/>
    <col min="8208" max="8208" width="17.85546875" style="225" customWidth="1"/>
    <col min="8209" max="8209" width="14.140625" style="225" customWidth="1"/>
    <col min="8210" max="8210" width="9.140625" style="225"/>
    <col min="8211" max="8211" width="15.5703125" style="225" customWidth="1"/>
    <col min="8212" max="8212" width="10.140625" style="225" customWidth="1"/>
    <col min="8213" max="8213" width="12.85546875" style="225" customWidth="1"/>
    <col min="8214" max="8448" width="9.140625" style="225"/>
    <col min="8449" max="8449" width="4.5703125" style="225" customWidth="1"/>
    <col min="8450" max="8450" width="25.85546875" style="225" customWidth="1"/>
    <col min="8451" max="8451" width="16.42578125" style="225" customWidth="1"/>
    <col min="8452" max="8452" width="9.28515625" style="225" customWidth="1"/>
    <col min="8453" max="8453" width="6.28515625" style="225" customWidth="1"/>
    <col min="8454" max="8454" width="14.42578125" style="225" customWidth="1"/>
    <col min="8455" max="8455" width="15.5703125" style="225" customWidth="1"/>
    <col min="8456" max="8456" width="10.5703125" style="225" customWidth="1"/>
    <col min="8457" max="8457" width="14.42578125" style="225" customWidth="1"/>
    <col min="8458" max="8458" width="8" style="225" customWidth="1"/>
    <col min="8459" max="8459" width="16" style="225" customWidth="1"/>
    <col min="8460" max="8460" width="8.85546875" style="225" customWidth="1"/>
    <col min="8461" max="8461" width="16.85546875" style="225" customWidth="1"/>
    <col min="8462" max="8462" width="9.5703125" style="225" customWidth="1"/>
    <col min="8463" max="8463" width="16.140625" style="225" customWidth="1"/>
    <col min="8464" max="8464" width="17.85546875" style="225" customWidth="1"/>
    <col min="8465" max="8465" width="14.140625" style="225" customWidth="1"/>
    <col min="8466" max="8466" width="9.140625" style="225"/>
    <col min="8467" max="8467" width="15.5703125" style="225" customWidth="1"/>
    <col min="8468" max="8468" width="10.140625" style="225" customWidth="1"/>
    <col min="8469" max="8469" width="12.85546875" style="225" customWidth="1"/>
    <col min="8470" max="8704" width="9.140625" style="225"/>
    <col min="8705" max="8705" width="4.5703125" style="225" customWidth="1"/>
    <col min="8706" max="8706" width="25.85546875" style="225" customWidth="1"/>
    <col min="8707" max="8707" width="16.42578125" style="225" customWidth="1"/>
    <col min="8708" max="8708" width="9.28515625" style="225" customWidth="1"/>
    <col min="8709" max="8709" width="6.28515625" style="225" customWidth="1"/>
    <col min="8710" max="8710" width="14.42578125" style="225" customWidth="1"/>
    <col min="8711" max="8711" width="15.5703125" style="225" customWidth="1"/>
    <col min="8712" max="8712" width="10.5703125" style="225" customWidth="1"/>
    <col min="8713" max="8713" width="14.42578125" style="225" customWidth="1"/>
    <col min="8714" max="8714" width="8" style="225" customWidth="1"/>
    <col min="8715" max="8715" width="16" style="225" customWidth="1"/>
    <col min="8716" max="8716" width="8.85546875" style="225" customWidth="1"/>
    <col min="8717" max="8717" width="16.85546875" style="225" customWidth="1"/>
    <col min="8718" max="8718" width="9.5703125" style="225" customWidth="1"/>
    <col min="8719" max="8719" width="16.140625" style="225" customWidth="1"/>
    <col min="8720" max="8720" width="17.85546875" style="225" customWidth="1"/>
    <col min="8721" max="8721" width="14.140625" style="225" customWidth="1"/>
    <col min="8722" max="8722" width="9.140625" style="225"/>
    <col min="8723" max="8723" width="15.5703125" style="225" customWidth="1"/>
    <col min="8724" max="8724" width="10.140625" style="225" customWidth="1"/>
    <col min="8725" max="8725" width="12.85546875" style="225" customWidth="1"/>
    <col min="8726" max="8960" width="9.140625" style="225"/>
    <col min="8961" max="8961" width="4.5703125" style="225" customWidth="1"/>
    <col min="8962" max="8962" width="25.85546875" style="225" customWidth="1"/>
    <col min="8963" max="8963" width="16.42578125" style="225" customWidth="1"/>
    <col min="8964" max="8964" width="9.28515625" style="225" customWidth="1"/>
    <col min="8965" max="8965" width="6.28515625" style="225" customWidth="1"/>
    <col min="8966" max="8966" width="14.42578125" style="225" customWidth="1"/>
    <col min="8967" max="8967" width="15.5703125" style="225" customWidth="1"/>
    <col min="8968" max="8968" width="10.5703125" style="225" customWidth="1"/>
    <col min="8969" max="8969" width="14.42578125" style="225" customWidth="1"/>
    <col min="8970" max="8970" width="8" style="225" customWidth="1"/>
    <col min="8971" max="8971" width="16" style="225" customWidth="1"/>
    <col min="8972" max="8972" width="8.85546875" style="225" customWidth="1"/>
    <col min="8973" max="8973" width="16.85546875" style="225" customWidth="1"/>
    <col min="8974" max="8974" width="9.5703125" style="225" customWidth="1"/>
    <col min="8975" max="8975" width="16.140625" style="225" customWidth="1"/>
    <col min="8976" max="8976" width="17.85546875" style="225" customWidth="1"/>
    <col min="8977" max="8977" width="14.140625" style="225" customWidth="1"/>
    <col min="8978" max="8978" width="9.140625" style="225"/>
    <col min="8979" max="8979" width="15.5703125" style="225" customWidth="1"/>
    <col min="8980" max="8980" width="10.140625" style="225" customWidth="1"/>
    <col min="8981" max="8981" width="12.85546875" style="225" customWidth="1"/>
    <col min="8982" max="9216" width="9.140625" style="225"/>
    <col min="9217" max="9217" width="4.5703125" style="225" customWidth="1"/>
    <col min="9218" max="9218" width="25.85546875" style="225" customWidth="1"/>
    <col min="9219" max="9219" width="16.42578125" style="225" customWidth="1"/>
    <col min="9220" max="9220" width="9.28515625" style="225" customWidth="1"/>
    <col min="9221" max="9221" width="6.28515625" style="225" customWidth="1"/>
    <col min="9222" max="9222" width="14.42578125" style="225" customWidth="1"/>
    <col min="9223" max="9223" width="15.5703125" style="225" customWidth="1"/>
    <col min="9224" max="9224" width="10.5703125" style="225" customWidth="1"/>
    <col min="9225" max="9225" width="14.42578125" style="225" customWidth="1"/>
    <col min="9226" max="9226" width="8" style="225" customWidth="1"/>
    <col min="9227" max="9227" width="16" style="225" customWidth="1"/>
    <col min="9228" max="9228" width="8.85546875" style="225" customWidth="1"/>
    <col min="9229" max="9229" width="16.85546875" style="225" customWidth="1"/>
    <col min="9230" max="9230" width="9.5703125" style="225" customWidth="1"/>
    <col min="9231" max="9231" width="16.140625" style="225" customWidth="1"/>
    <col min="9232" max="9232" width="17.85546875" style="225" customWidth="1"/>
    <col min="9233" max="9233" width="14.140625" style="225" customWidth="1"/>
    <col min="9234" max="9234" width="9.140625" style="225"/>
    <col min="9235" max="9235" width="15.5703125" style="225" customWidth="1"/>
    <col min="9236" max="9236" width="10.140625" style="225" customWidth="1"/>
    <col min="9237" max="9237" width="12.85546875" style="225" customWidth="1"/>
    <col min="9238" max="9472" width="9.140625" style="225"/>
    <col min="9473" max="9473" width="4.5703125" style="225" customWidth="1"/>
    <col min="9474" max="9474" width="25.85546875" style="225" customWidth="1"/>
    <col min="9475" max="9475" width="16.42578125" style="225" customWidth="1"/>
    <col min="9476" max="9476" width="9.28515625" style="225" customWidth="1"/>
    <col min="9477" max="9477" width="6.28515625" style="225" customWidth="1"/>
    <col min="9478" max="9478" width="14.42578125" style="225" customWidth="1"/>
    <col min="9479" max="9479" width="15.5703125" style="225" customWidth="1"/>
    <col min="9480" max="9480" width="10.5703125" style="225" customWidth="1"/>
    <col min="9481" max="9481" width="14.42578125" style="225" customWidth="1"/>
    <col min="9482" max="9482" width="8" style="225" customWidth="1"/>
    <col min="9483" max="9483" width="16" style="225" customWidth="1"/>
    <col min="9484" max="9484" width="8.85546875" style="225" customWidth="1"/>
    <col min="9485" max="9485" width="16.85546875" style="225" customWidth="1"/>
    <col min="9486" max="9486" width="9.5703125" style="225" customWidth="1"/>
    <col min="9487" max="9487" width="16.140625" style="225" customWidth="1"/>
    <col min="9488" max="9488" width="17.85546875" style="225" customWidth="1"/>
    <col min="9489" max="9489" width="14.140625" style="225" customWidth="1"/>
    <col min="9490" max="9490" width="9.140625" style="225"/>
    <col min="9491" max="9491" width="15.5703125" style="225" customWidth="1"/>
    <col min="9492" max="9492" width="10.140625" style="225" customWidth="1"/>
    <col min="9493" max="9493" width="12.85546875" style="225" customWidth="1"/>
    <col min="9494" max="9728" width="9.140625" style="225"/>
    <col min="9729" max="9729" width="4.5703125" style="225" customWidth="1"/>
    <col min="9730" max="9730" width="25.85546875" style="225" customWidth="1"/>
    <col min="9731" max="9731" width="16.42578125" style="225" customWidth="1"/>
    <col min="9732" max="9732" width="9.28515625" style="225" customWidth="1"/>
    <col min="9733" max="9733" width="6.28515625" style="225" customWidth="1"/>
    <col min="9734" max="9734" width="14.42578125" style="225" customWidth="1"/>
    <col min="9735" max="9735" width="15.5703125" style="225" customWidth="1"/>
    <col min="9736" max="9736" width="10.5703125" style="225" customWidth="1"/>
    <col min="9737" max="9737" width="14.42578125" style="225" customWidth="1"/>
    <col min="9738" max="9738" width="8" style="225" customWidth="1"/>
    <col min="9739" max="9739" width="16" style="225" customWidth="1"/>
    <col min="9740" max="9740" width="8.85546875" style="225" customWidth="1"/>
    <col min="9741" max="9741" width="16.85546875" style="225" customWidth="1"/>
    <col min="9742" max="9742" width="9.5703125" style="225" customWidth="1"/>
    <col min="9743" max="9743" width="16.140625" style="225" customWidth="1"/>
    <col min="9744" max="9744" width="17.85546875" style="225" customWidth="1"/>
    <col min="9745" max="9745" width="14.140625" style="225" customWidth="1"/>
    <col min="9746" max="9746" width="9.140625" style="225"/>
    <col min="9747" max="9747" width="15.5703125" style="225" customWidth="1"/>
    <col min="9748" max="9748" width="10.140625" style="225" customWidth="1"/>
    <col min="9749" max="9749" width="12.85546875" style="225" customWidth="1"/>
    <col min="9750" max="9984" width="9.140625" style="225"/>
    <col min="9985" max="9985" width="4.5703125" style="225" customWidth="1"/>
    <col min="9986" max="9986" width="25.85546875" style="225" customWidth="1"/>
    <col min="9987" max="9987" width="16.42578125" style="225" customWidth="1"/>
    <col min="9988" max="9988" width="9.28515625" style="225" customWidth="1"/>
    <col min="9989" max="9989" width="6.28515625" style="225" customWidth="1"/>
    <col min="9990" max="9990" width="14.42578125" style="225" customWidth="1"/>
    <col min="9991" max="9991" width="15.5703125" style="225" customWidth="1"/>
    <col min="9992" max="9992" width="10.5703125" style="225" customWidth="1"/>
    <col min="9993" max="9993" width="14.42578125" style="225" customWidth="1"/>
    <col min="9994" max="9994" width="8" style="225" customWidth="1"/>
    <col min="9995" max="9995" width="16" style="225" customWidth="1"/>
    <col min="9996" max="9996" width="8.85546875" style="225" customWidth="1"/>
    <col min="9997" max="9997" width="16.85546875" style="225" customWidth="1"/>
    <col min="9998" max="9998" width="9.5703125" style="225" customWidth="1"/>
    <col min="9999" max="9999" width="16.140625" style="225" customWidth="1"/>
    <col min="10000" max="10000" width="17.85546875" style="225" customWidth="1"/>
    <col min="10001" max="10001" width="14.140625" style="225" customWidth="1"/>
    <col min="10002" max="10002" width="9.140625" style="225"/>
    <col min="10003" max="10003" width="15.5703125" style="225" customWidth="1"/>
    <col min="10004" max="10004" width="10.140625" style="225" customWidth="1"/>
    <col min="10005" max="10005" width="12.85546875" style="225" customWidth="1"/>
    <col min="10006" max="10240" width="9.140625" style="225"/>
    <col min="10241" max="10241" width="4.5703125" style="225" customWidth="1"/>
    <col min="10242" max="10242" width="25.85546875" style="225" customWidth="1"/>
    <col min="10243" max="10243" width="16.42578125" style="225" customWidth="1"/>
    <col min="10244" max="10244" width="9.28515625" style="225" customWidth="1"/>
    <col min="10245" max="10245" width="6.28515625" style="225" customWidth="1"/>
    <col min="10246" max="10246" width="14.42578125" style="225" customWidth="1"/>
    <col min="10247" max="10247" width="15.5703125" style="225" customWidth="1"/>
    <col min="10248" max="10248" width="10.5703125" style="225" customWidth="1"/>
    <col min="10249" max="10249" width="14.42578125" style="225" customWidth="1"/>
    <col min="10250" max="10250" width="8" style="225" customWidth="1"/>
    <col min="10251" max="10251" width="16" style="225" customWidth="1"/>
    <col min="10252" max="10252" width="8.85546875" style="225" customWidth="1"/>
    <col min="10253" max="10253" width="16.85546875" style="225" customWidth="1"/>
    <col min="10254" max="10254" width="9.5703125" style="225" customWidth="1"/>
    <col min="10255" max="10255" width="16.140625" style="225" customWidth="1"/>
    <col min="10256" max="10256" width="17.85546875" style="225" customWidth="1"/>
    <col min="10257" max="10257" width="14.140625" style="225" customWidth="1"/>
    <col min="10258" max="10258" width="9.140625" style="225"/>
    <col min="10259" max="10259" width="15.5703125" style="225" customWidth="1"/>
    <col min="10260" max="10260" width="10.140625" style="225" customWidth="1"/>
    <col min="10261" max="10261" width="12.85546875" style="225" customWidth="1"/>
    <col min="10262" max="10496" width="9.140625" style="225"/>
    <col min="10497" max="10497" width="4.5703125" style="225" customWidth="1"/>
    <col min="10498" max="10498" width="25.85546875" style="225" customWidth="1"/>
    <col min="10499" max="10499" width="16.42578125" style="225" customWidth="1"/>
    <col min="10500" max="10500" width="9.28515625" style="225" customWidth="1"/>
    <col min="10501" max="10501" width="6.28515625" style="225" customWidth="1"/>
    <col min="10502" max="10502" width="14.42578125" style="225" customWidth="1"/>
    <col min="10503" max="10503" width="15.5703125" style="225" customWidth="1"/>
    <col min="10504" max="10504" width="10.5703125" style="225" customWidth="1"/>
    <col min="10505" max="10505" width="14.42578125" style="225" customWidth="1"/>
    <col min="10506" max="10506" width="8" style="225" customWidth="1"/>
    <col min="10507" max="10507" width="16" style="225" customWidth="1"/>
    <col min="10508" max="10508" width="8.85546875" style="225" customWidth="1"/>
    <col min="10509" max="10509" width="16.85546875" style="225" customWidth="1"/>
    <col min="10510" max="10510" width="9.5703125" style="225" customWidth="1"/>
    <col min="10511" max="10511" width="16.140625" style="225" customWidth="1"/>
    <col min="10512" max="10512" width="17.85546875" style="225" customWidth="1"/>
    <col min="10513" max="10513" width="14.140625" style="225" customWidth="1"/>
    <col min="10514" max="10514" width="9.140625" style="225"/>
    <col min="10515" max="10515" width="15.5703125" style="225" customWidth="1"/>
    <col min="10516" max="10516" width="10.140625" style="225" customWidth="1"/>
    <col min="10517" max="10517" width="12.85546875" style="225" customWidth="1"/>
    <col min="10518" max="10752" width="9.140625" style="225"/>
    <col min="10753" max="10753" width="4.5703125" style="225" customWidth="1"/>
    <col min="10754" max="10754" width="25.85546875" style="225" customWidth="1"/>
    <col min="10755" max="10755" width="16.42578125" style="225" customWidth="1"/>
    <col min="10756" max="10756" width="9.28515625" style="225" customWidth="1"/>
    <col min="10757" max="10757" width="6.28515625" style="225" customWidth="1"/>
    <col min="10758" max="10758" width="14.42578125" style="225" customWidth="1"/>
    <col min="10759" max="10759" width="15.5703125" style="225" customWidth="1"/>
    <col min="10760" max="10760" width="10.5703125" style="225" customWidth="1"/>
    <col min="10761" max="10761" width="14.42578125" style="225" customWidth="1"/>
    <col min="10762" max="10762" width="8" style="225" customWidth="1"/>
    <col min="10763" max="10763" width="16" style="225" customWidth="1"/>
    <col min="10764" max="10764" width="8.85546875" style="225" customWidth="1"/>
    <col min="10765" max="10765" width="16.85546875" style="225" customWidth="1"/>
    <col min="10766" max="10766" width="9.5703125" style="225" customWidth="1"/>
    <col min="10767" max="10767" width="16.140625" style="225" customWidth="1"/>
    <col min="10768" max="10768" width="17.85546875" style="225" customWidth="1"/>
    <col min="10769" max="10769" width="14.140625" style="225" customWidth="1"/>
    <col min="10770" max="10770" width="9.140625" style="225"/>
    <col min="10771" max="10771" width="15.5703125" style="225" customWidth="1"/>
    <col min="10772" max="10772" width="10.140625" style="225" customWidth="1"/>
    <col min="10773" max="10773" width="12.85546875" style="225" customWidth="1"/>
    <col min="10774" max="11008" width="9.140625" style="225"/>
    <col min="11009" max="11009" width="4.5703125" style="225" customWidth="1"/>
    <col min="11010" max="11010" width="25.85546875" style="225" customWidth="1"/>
    <col min="11011" max="11011" width="16.42578125" style="225" customWidth="1"/>
    <col min="11012" max="11012" width="9.28515625" style="225" customWidth="1"/>
    <col min="11013" max="11013" width="6.28515625" style="225" customWidth="1"/>
    <col min="11014" max="11014" width="14.42578125" style="225" customWidth="1"/>
    <col min="11015" max="11015" width="15.5703125" style="225" customWidth="1"/>
    <col min="11016" max="11016" width="10.5703125" style="225" customWidth="1"/>
    <col min="11017" max="11017" width="14.42578125" style="225" customWidth="1"/>
    <col min="11018" max="11018" width="8" style="225" customWidth="1"/>
    <col min="11019" max="11019" width="16" style="225" customWidth="1"/>
    <col min="11020" max="11020" width="8.85546875" style="225" customWidth="1"/>
    <col min="11021" max="11021" width="16.85546875" style="225" customWidth="1"/>
    <col min="11022" max="11022" width="9.5703125" style="225" customWidth="1"/>
    <col min="11023" max="11023" width="16.140625" style="225" customWidth="1"/>
    <col min="11024" max="11024" width="17.85546875" style="225" customWidth="1"/>
    <col min="11025" max="11025" width="14.140625" style="225" customWidth="1"/>
    <col min="11026" max="11026" width="9.140625" style="225"/>
    <col min="11027" max="11027" width="15.5703125" style="225" customWidth="1"/>
    <col min="11028" max="11028" width="10.140625" style="225" customWidth="1"/>
    <col min="11029" max="11029" width="12.85546875" style="225" customWidth="1"/>
    <col min="11030" max="11264" width="9.140625" style="225"/>
    <col min="11265" max="11265" width="4.5703125" style="225" customWidth="1"/>
    <col min="11266" max="11266" width="25.85546875" style="225" customWidth="1"/>
    <col min="11267" max="11267" width="16.42578125" style="225" customWidth="1"/>
    <col min="11268" max="11268" width="9.28515625" style="225" customWidth="1"/>
    <col min="11269" max="11269" width="6.28515625" style="225" customWidth="1"/>
    <col min="11270" max="11270" width="14.42578125" style="225" customWidth="1"/>
    <col min="11271" max="11271" width="15.5703125" style="225" customWidth="1"/>
    <col min="11272" max="11272" width="10.5703125" style="225" customWidth="1"/>
    <col min="11273" max="11273" width="14.42578125" style="225" customWidth="1"/>
    <col min="11274" max="11274" width="8" style="225" customWidth="1"/>
    <col min="11275" max="11275" width="16" style="225" customWidth="1"/>
    <col min="11276" max="11276" width="8.85546875" style="225" customWidth="1"/>
    <col min="11277" max="11277" width="16.85546875" style="225" customWidth="1"/>
    <col min="11278" max="11278" width="9.5703125" style="225" customWidth="1"/>
    <col min="11279" max="11279" width="16.140625" style="225" customWidth="1"/>
    <col min="11280" max="11280" width="17.85546875" style="225" customWidth="1"/>
    <col min="11281" max="11281" width="14.140625" style="225" customWidth="1"/>
    <col min="11282" max="11282" width="9.140625" style="225"/>
    <col min="11283" max="11283" width="15.5703125" style="225" customWidth="1"/>
    <col min="11284" max="11284" width="10.140625" style="225" customWidth="1"/>
    <col min="11285" max="11285" width="12.85546875" style="225" customWidth="1"/>
    <col min="11286" max="11520" width="9.140625" style="225"/>
    <col min="11521" max="11521" width="4.5703125" style="225" customWidth="1"/>
    <col min="11522" max="11522" width="25.85546875" style="225" customWidth="1"/>
    <col min="11523" max="11523" width="16.42578125" style="225" customWidth="1"/>
    <col min="11524" max="11524" width="9.28515625" style="225" customWidth="1"/>
    <col min="11525" max="11525" width="6.28515625" style="225" customWidth="1"/>
    <col min="11526" max="11526" width="14.42578125" style="225" customWidth="1"/>
    <col min="11527" max="11527" width="15.5703125" style="225" customWidth="1"/>
    <col min="11528" max="11528" width="10.5703125" style="225" customWidth="1"/>
    <col min="11529" max="11529" width="14.42578125" style="225" customWidth="1"/>
    <col min="11530" max="11530" width="8" style="225" customWidth="1"/>
    <col min="11531" max="11531" width="16" style="225" customWidth="1"/>
    <col min="11532" max="11532" width="8.85546875" style="225" customWidth="1"/>
    <col min="11533" max="11533" width="16.85546875" style="225" customWidth="1"/>
    <col min="11534" max="11534" width="9.5703125" style="225" customWidth="1"/>
    <col min="11535" max="11535" width="16.140625" style="225" customWidth="1"/>
    <col min="11536" max="11536" width="17.85546875" style="225" customWidth="1"/>
    <col min="11537" max="11537" width="14.140625" style="225" customWidth="1"/>
    <col min="11538" max="11538" width="9.140625" style="225"/>
    <col min="11539" max="11539" width="15.5703125" style="225" customWidth="1"/>
    <col min="11540" max="11540" width="10.140625" style="225" customWidth="1"/>
    <col min="11541" max="11541" width="12.85546875" style="225" customWidth="1"/>
    <col min="11542" max="11776" width="9.140625" style="225"/>
    <col min="11777" max="11777" width="4.5703125" style="225" customWidth="1"/>
    <col min="11778" max="11778" width="25.85546875" style="225" customWidth="1"/>
    <col min="11779" max="11779" width="16.42578125" style="225" customWidth="1"/>
    <col min="11780" max="11780" width="9.28515625" style="225" customWidth="1"/>
    <col min="11781" max="11781" width="6.28515625" style="225" customWidth="1"/>
    <col min="11782" max="11782" width="14.42578125" style="225" customWidth="1"/>
    <col min="11783" max="11783" width="15.5703125" style="225" customWidth="1"/>
    <col min="11784" max="11784" width="10.5703125" style="225" customWidth="1"/>
    <col min="11785" max="11785" width="14.42578125" style="225" customWidth="1"/>
    <col min="11786" max="11786" width="8" style="225" customWidth="1"/>
    <col min="11787" max="11787" width="16" style="225" customWidth="1"/>
    <col min="11788" max="11788" width="8.85546875" style="225" customWidth="1"/>
    <col min="11789" max="11789" width="16.85546875" style="225" customWidth="1"/>
    <col min="11790" max="11790" width="9.5703125" style="225" customWidth="1"/>
    <col min="11791" max="11791" width="16.140625" style="225" customWidth="1"/>
    <col min="11792" max="11792" width="17.85546875" style="225" customWidth="1"/>
    <col min="11793" max="11793" width="14.140625" style="225" customWidth="1"/>
    <col min="11794" max="11794" width="9.140625" style="225"/>
    <col min="11795" max="11795" width="15.5703125" style="225" customWidth="1"/>
    <col min="11796" max="11796" width="10.140625" style="225" customWidth="1"/>
    <col min="11797" max="11797" width="12.85546875" style="225" customWidth="1"/>
    <col min="11798" max="12032" width="9.140625" style="225"/>
    <col min="12033" max="12033" width="4.5703125" style="225" customWidth="1"/>
    <col min="12034" max="12034" width="25.85546875" style="225" customWidth="1"/>
    <col min="12035" max="12035" width="16.42578125" style="225" customWidth="1"/>
    <col min="12036" max="12036" width="9.28515625" style="225" customWidth="1"/>
    <col min="12037" max="12037" width="6.28515625" style="225" customWidth="1"/>
    <col min="12038" max="12038" width="14.42578125" style="225" customWidth="1"/>
    <col min="12039" max="12039" width="15.5703125" style="225" customWidth="1"/>
    <col min="12040" max="12040" width="10.5703125" style="225" customWidth="1"/>
    <col min="12041" max="12041" width="14.42578125" style="225" customWidth="1"/>
    <col min="12042" max="12042" width="8" style="225" customWidth="1"/>
    <col min="12043" max="12043" width="16" style="225" customWidth="1"/>
    <col min="12044" max="12044" width="8.85546875" style="225" customWidth="1"/>
    <col min="12045" max="12045" width="16.85546875" style="225" customWidth="1"/>
    <col min="12046" max="12046" width="9.5703125" style="225" customWidth="1"/>
    <col min="12047" max="12047" width="16.140625" style="225" customWidth="1"/>
    <col min="12048" max="12048" width="17.85546875" style="225" customWidth="1"/>
    <col min="12049" max="12049" width="14.140625" style="225" customWidth="1"/>
    <col min="12050" max="12050" width="9.140625" style="225"/>
    <col min="12051" max="12051" width="15.5703125" style="225" customWidth="1"/>
    <col min="12052" max="12052" width="10.140625" style="225" customWidth="1"/>
    <col min="12053" max="12053" width="12.85546875" style="225" customWidth="1"/>
    <col min="12054" max="12288" width="9.140625" style="225"/>
    <col min="12289" max="12289" width="4.5703125" style="225" customWidth="1"/>
    <col min="12290" max="12290" width="25.85546875" style="225" customWidth="1"/>
    <col min="12291" max="12291" width="16.42578125" style="225" customWidth="1"/>
    <col min="12292" max="12292" width="9.28515625" style="225" customWidth="1"/>
    <col min="12293" max="12293" width="6.28515625" style="225" customWidth="1"/>
    <col min="12294" max="12294" width="14.42578125" style="225" customWidth="1"/>
    <col min="12295" max="12295" width="15.5703125" style="225" customWidth="1"/>
    <col min="12296" max="12296" width="10.5703125" style="225" customWidth="1"/>
    <col min="12297" max="12297" width="14.42578125" style="225" customWidth="1"/>
    <col min="12298" max="12298" width="8" style="225" customWidth="1"/>
    <col min="12299" max="12299" width="16" style="225" customWidth="1"/>
    <col min="12300" max="12300" width="8.85546875" style="225" customWidth="1"/>
    <col min="12301" max="12301" width="16.85546875" style="225" customWidth="1"/>
    <col min="12302" max="12302" width="9.5703125" style="225" customWidth="1"/>
    <col min="12303" max="12303" width="16.140625" style="225" customWidth="1"/>
    <col min="12304" max="12304" width="17.85546875" style="225" customWidth="1"/>
    <col min="12305" max="12305" width="14.140625" style="225" customWidth="1"/>
    <col min="12306" max="12306" width="9.140625" style="225"/>
    <col min="12307" max="12307" width="15.5703125" style="225" customWidth="1"/>
    <col min="12308" max="12308" width="10.140625" style="225" customWidth="1"/>
    <col min="12309" max="12309" width="12.85546875" style="225" customWidth="1"/>
    <col min="12310" max="12544" width="9.140625" style="225"/>
    <col min="12545" max="12545" width="4.5703125" style="225" customWidth="1"/>
    <col min="12546" max="12546" width="25.85546875" style="225" customWidth="1"/>
    <col min="12547" max="12547" width="16.42578125" style="225" customWidth="1"/>
    <col min="12548" max="12548" width="9.28515625" style="225" customWidth="1"/>
    <col min="12549" max="12549" width="6.28515625" style="225" customWidth="1"/>
    <col min="12550" max="12550" width="14.42578125" style="225" customWidth="1"/>
    <col min="12551" max="12551" width="15.5703125" style="225" customWidth="1"/>
    <col min="12552" max="12552" width="10.5703125" style="225" customWidth="1"/>
    <col min="12553" max="12553" width="14.42578125" style="225" customWidth="1"/>
    <col min="12554" max="12554" width="8" style="225" customWidth="1"/>
    <col min="12555" max="12555" width="16" style="225" customWidth="1"/>
    <col min="12556" max="12556" width="8.85546875" style="225" customWidth="1"/>
    <col min="12557" max="12557" width="16.85546875" style="225" customWidth="1"/>
    <col min="12558" max="12558" width="9.5703125" style="225" customWidth="1"/>
    <col min="12559" max="12559" width="16.140625" style="225" customWidth="1"/>
    <col min="12560" max="12560" width="17.85546875" style="225" customWidth="1"/>
    <col min="12561" max="12561" width="14.140625" style="225" customWidth="1"/>
    <col min="12562" max="12562" width="9.140625" style="225"/>
    <col min="12563" max="12563" width="15.5703125" style="225" customWidth="1"/>
    <col min="12564" max="12564" width="10.140625" style="225" customWidth="1"/>
    <col min="12565" max="12565" width="12.85546875" style="225" customWidth="1"/>
    <col min="12566" max="12800" width="9.140625" style="225"/>
    <col min="12801" max="12801" width="4.5703125" style="225" customWidth="1"/>
    <col min="12802" max="12802" width="25.85546875" style="225" customWidth="1"/>
    <col min="12803" max="12803" width="16.42578125" style="225" customWidth="1"/>
    <col min="12804" max="12804" width="9.28515625" style="225" customWidth="1"/>
    <col min="12805" max="12805" width="6.28515625" style="225" customWidth="1"/>
    <col min="12806" max="12806" width="14.42578125" style="225" customWidth="1"/>
    <col min="12807" max="12807" width="15.5703125" style="225" customWidth="1"/>
    <col min="12808" max="12808" width="10.5703125" style="225" customWidth="1"/>
    <col min="12809" max="12809" width="14.42578125" style="225" customWidth="1"/>
    <col min="12810" max="12810" width="8" style="225" customWidth="1"/>
    <col min="12811" max="12811" width="16" style="225" customWidth="1"/>
    <col min="12812" max="12812" width="8.85546875" style="225" customWidth="1"/>
    <col min="12813" max="12813" width="16.85546875" style="225" customWidth="1"/>
    <col min="12814" max="12814" width="9.5703125" style="225" customWidth="1"/>
    <col min="12815" max="12815" width="16.140625" style="225" customWidth="1"/>
    <col min="12816" max="12816" width="17.85546875" style="225" customWidth="1"/>
    <col min="12817" max="12817" width="14.140625" style="225" customWidth="1"/>
    <col min="12818" max="12818" width="9.140625" style="225"/>
    <col min="12819" max="12819" width="15.5703125" style="225" customWidth="1"/>
    <col min="12820" max="12820" width="10.140625" style="225" customWidth="1"/>
    <col min="12821" max="12821" width="12.85546875" style="225" customWidth="1"/>
    <col min="12822" max="13056" width="9.140625" style="225"/>
    <col min="13057" max="13057" width="4.5703125" style="225" customWidth="1"/>
    <col min="13058" max="13058" width="25.85546875" style="225" customWidth="1"/>
    <col min="13059" max="13059" width="16.42578125" style="225" customWidth="1"/>
    <col min="13060" max="13060" width="9.28515625" style="225" customWidth="1"/>
    <col min="13061" max="13061" width="6.28515625" style="225" customWidth="1"/>
    <col min="13062" max="13062" width="14.42578125" style="225" customWidth="1"/>
    <col min="13063" max="13063" width="15.5703125" style="225" customWidth="1"/>
    <col min="13064" max="13064" width="10.5703125" style="225" customWidth="1"/>
    <col min="13065" max="13065" width="14.42578125" style="225" customWidth="1"/>
    <col min="13066" max="13066" width="8" style="225" customWidth="1"/>
    <col min="13067" max="13067" width="16" style="225" customWidth="1"/>
    <col min="13068" max="13068" width="8.85546875" style="225" customWidth="1"/>
    <col min="13069" max="13069" width="16.85546875" style="225" customWidth="1"/>
    <col min="13070" max="13070" width="9.5703125" style="225" customWidth="1"/>
    <col min="13071" max="13071" width="16.140625" style="225" customWidth="1"/>
    <col min="13072" max="13072" width="17.85546875" style="225" customWidth="1"/>
    <col min="13073" max="13073" width="14.140625" style="225" customWidth="1"/>
    <col min="13074" max="13074" width="9.140625" style="225"/>
    <col min="13075" max="13075" width="15.5703125" style="225" customWidth="1"/>
    <col min="13076" max="13076" width="10.140625" style="225" customWidth="1"/>
    <col min="13077" max="13077" width="12.85546875" style="225" customWidth="1"/>
    <col min="13078" max="13312" width="9.140625" style="225"/>
    <col min="13313" max="13313" width="4.5703125" style="225" customWidth="1"/>
    <col min="13314" max="13314" width="25.85546875" style="225" customWidth="1"/>
    <col min="13315" max="13315" width="16.42578125" style="225" customWidth="1"/>
    <col min="13316" max="13316" width="9.28515625" style="225" customWidth="1"/>
    <col min="13317" max="13317" width="6.28515625" style="225" customWidth="1"/>
    <col min="13318" max="13318" width="14.42578125" style="225" customWidth="1"/>
    <col min="13319" max="13319" width="15.5703125" style="225" customWidth="1"/>
    <col min="13320" max="13320" width="10.5703125" style="225" customWidth="1"/>
    <col min="13321" max="13321" width="14.42578125" style="225" customWidth="1"/>
    <col min="13322" max="13322" width="8" style="225" customWidth="1"/>
    <col min="13323" max="13323" width="16" style="225" customWidth="1"/>
    <col min="13324" max="13324" width="8.85546875" style="225" customWidth="1"/>
    <col min="13325" max="13325" width="16.85546875" style="225" customWidth="1"/>
    <col min="13326" max="13326" width="9.5703125" style="225" customWidth="1"/>
    <col min="13327" max="13327" width="16.140625" style="225" customWidth="1"/>
    <col min="13328" max="13328" width="17.85546875" style="225" customWidth="1"/>
    <col min="13329" max="13329" width="14.140625" style="225" customWidth="1"/>
    <col min="13330" max="13330" width="9.140625" style="225"/>
    <col min="13331" max="13331" width="15.5703125" style="225" customWidth="1"/>
    <col min="13332" max="13332" width="10.140625" style="225" customWidth="1"/>
    <col min="13333" max="13333" width="12.85546875" style="225" customWidth="1"/>
    <col min="13334" max="13568" width="9.140625" style="225"/>
    <col min="13569" max="13569" width="4.5703125" style="225" customWidth="1"/>
    <col min="13570" max="13570" width="25.85546875" style="225" customWidth="1"/>
    <col min="13571" max="13571" width="16.42578125" style="225" customWidth="1"/>
    <col min="13572" max="13572" width="9.28515625" style="225" customWidth="1"/>
    <col min="13573" max="13573" width="6.28515625" style="225" customWidth="1"/>
    <col min="13574" max="13574" width="14.42578125" style="225" customWidth="1"/>
    <col min="13575" max="13575" width="15.5703125" style="225" customWidth="1"/>
    <col min="13576" max="13576" width="10.5703125" style="225" customWidth="1"/>
    <col min="13577" max="13577" width="14.42578125" style="225" customWidth="1"/>
    <col min="13578" max="13578" width="8" style="225" customWidth="1"/>
    <col min="13579" max="13579" width="16" style="225" customWidth="1"/>
    <col min="13580" max="13580" width="8.85546875" style="225" customWidth="1"/>
    <col min="13581" max="13581" width="16.85546875" style="225" customWidth="1"/>
    <col min="13582" max="13582" width="9.5703125" style="225" customWidth="1"/>
    <col min="13583" max="13583" width="16.140625" style="225" customWidth="1"/>
    <col min="13584" max="13584" width="17.85546875" style="225" customWidth="1"/>
    <col min="13585" max="13585" width="14.140625" style="225" customWidth="1"/>
    <col min="13586" max="13586" width="9.140625" style="225"/>
    <col min="13587" max="13587" width="15.5703125" style="225" customWidth="1"/>
    <col min="13588" max="13588" width="10.140625" style="225" customWidth="1"/>
    <col min="13589" max="13589" width="12.85546875" style="225" customWidth="1"/>
    <col min="13590" max="13824" width="9.140625" style="225"/>
    <col min="13825" max="13825" width="4.5703125" style="225" customWidth="1"/>
    <col min="13826" max="13826" width="25.85546875" style="225" customWidth="1"/>
    <col min="13827" max="13827" width="16.42578125" style="225" customWidth="1"/>
    <col min="13828" max="13828" width="9.28515625" style="225" customWidth="1"/>
    <col min="13829" max="13829" width="6.28515625" style="225" customWidth="1"/>
    <col min="13830" max="13830" width="14.42578125" style="225" customWidth="1"/>
    <col min="13831" max="13831" width="15.5703125" style="225" customWidth="1"/>
    <col min="13832" max="13832" width="10.5703125" style="225" customWidth="1"/>
    <col min="13833" max="13833" width="14.42578125" style="225" customWidth="1"/>
    <col min="13834" max="13834" width="8" style="225" customWidth="1"/>
    <col min="13835" max="13835" width="16" style="225" customWidth="1"/>
    <col min="13836" max="13836" width="8.85546875" style="225" customWidth="1"/>
    <col min="13837" max="13837" width="16.85546875" style="225" customWidth="1"/>
    <col min="13838" max="13838" width="9.5703125" style="225" customWidth="1"/>
    <col min="13839" max="13839" width="16.140625" style="225" customWidth="1"/>
    <col min="13840" max="13840" width="17.85546875" style="225" customWidth="1"/>
    <col min="13841" max="13841" width="14.140625" style="225" customWidth="1"/>
    <col min="13842" max="13842" width="9.140625" style="225"/>
    <col min="13843" max="13843" width="15.5703125" style="225" customWidth="1"/>
    <col min="13844" max="13844" width="10.140625" style="225" customWidth="1"/>
    <col min="13845" max="13845" width="12.85546875" style="225" customWidth="1"/>
    <col min="13846" max="14080" width="9.140625" style="225"/>
    <col min="14081" max="14081" width="4.5703125" style="225" customWidth="1"/>
    <col min="14082" max="14082" width="25.85546875" style="225" customWidth="1"/>
    <col min="14083" max="14083" width="16.42578125" style="225" customWidth="1"/>
    <col min="14084" max="14084" width="9.28515625" style="225" customWidth="1"/>
    <col min="14085" max="14085" width="6.28515625" style="225" customWidth="1"/>
    <col min="14086" max="14086" width="14.42578125" style="225" customWidth="1"/>
    <col min="14087" max="14087" width="15.5703125" style="225" customWidth="1"/>
    <col min="14088" max="14088" width="10.5703125" style="225" customWidth="1"/>
    <col min="14089" max="14089" width="14.42578125" style="225" customWidth="1"/>
    <col min="14090" max="14090" width="8" style="225" customWidth="1"/>
    <col min="14091" max="14091" width="16" style="225" customWidth="1"/>
    <col min="14092" max="14092" width="8.85546875" style="225" customWidth="1"/>
    <col min="14093" max="14093" width="16.85546875" style="225" customWidth="1"/>
    <col min="14094" max="14094" width="9.5703125" style="225" customWidth="1"/>
    <col min="14095" max="14095" width="16.140625" style="225" customWidth="1"/>
    <col min="14096" max="14096" width="17.85546875" style="225" customWidth="1"/>
    <col min="14097" max="14097" width="14.140625" style="225" customWidth="1"/>
    <col min="14098" max="14098" width="9.140625" style="225"/>
    <col min="14099" max="14099" width="15.5703125" style="225" customWidth="1"/>
    <col min="14100" max="14100" width="10.140625" style="225" customWidth="1"/>
    <col min="14101" max="14101" width="12.85546875" style="225" customWidth="1"/>
    <col min="14102" max="14336" width="9.140625" style="225"/>
    <col min="14337" max="14337" width="4.5703125" style="225" customWidth="1"/>
    <col min="14338" max="14338" width="25.85546875" style="225" customWidth="1"/>
    <col min="14339" max="14339" width="16.42578125" style="225" customWidth="1"/>
    <col min="14340" max="14340" width="9.28515625" style="225" customWidth="1"/>
    <col min="14341" max="14341" width="6.28515625" style="225" customWidth="1"/>
    <col min="14342" max="14342" width="14.42578125" style="225" customWidth="1"/>
    <col min="14343" max="14343" width="15.5703125" style="225" customWidth="1"/>
    <col min="14344" max="14344" width="10.5703125" style="225" customWidth="1"/>
    <col min="14345" max="14345" width="14.42578125" style="225" customWidth="1"/>
    <col min="14346" max="14346" width="8" style="225" customWidth="1"/>
    <col min="14347" max="14347" width="16" style="225" customWidth="1"/>
    <col min="14348" max="14348" width="8.85546875" style="225" customWidth="1"/>
    <col min="14349" max="14349" width="16.85546875" style="225" customWidth="1"/>
    <col min="14350" max="14350" width="9.5703125" style="225" customWidth="1"/>
    <col min="14351" max="14351" width="16.140625" style="225" customWidth="1"/>
    <col min="14352" max="14352" width="17.85546875" style="225" customWidth="1"/>
    <col min="14353" max="14353" width="14.140625" style="225" customWidth="1"/>
    <col min="14354" max="14354" width="9.140625" style="225"/>
    <col min="14355" max="14355" width="15.5703125" style="225" customWidth="1"/>
    <col min="14356" max="14356" width="10.140625" style="225" customWidth="1"/>
    <col min="14357" max="14357" width="12.85546875" style="225" customWidth="1"/>
    <col min="14358" max="14592" width="9.140625" style="225"/>
    <col min="14593" max="14593" width="4.5703125" style="225" customWidth="1"/>
    <col min="14594" max="14594" width="25.85546875" style="225" customWidth="1"/>
    <col min="14595" max="14595" width="16.42578125" style="225" customWidth="1"/>
    <col min="14596" max="14596" width="9.28515625" style="225" customWidth="1"/>
    <col min="14597" max="14597" width="6.28515625" style="225" customWidth="1"/>
    <col min="14598" max="14598" width="14.42578125" style="225" customWidth="1"/>
    <col min="14599" max="14599" width="15.5703125" style="225" customWidth="1"/>
    <col min="14600" max="14600" width="10.5703125" style="225" customWidth="1"/>
    <col min="14601" max="14601" width="14.42578125" style="225" customWidth="1"/>
    <col min="14602" max="14602" width="8" style="225" customWidth="1"/>
    <col min="14603" max="14603" width="16" style="225" customWidth="1"/>
    <col min="14604" max="14604" width="8.85546875" style="225" customWidth="1"/>
    <col min="14605" max="14605" width="16.85546875" style="225" customWidth="1"/>
    <col min="14606" max="14606" width="9.5703125" style="225" customWidth="1"/>
    <col min="14607" max="14607" width="16.140625" style="225" customWidth="1"/>
    <col min="14608" max="14608" width="17.85546875" style="225" customWidth="1"/>
    <col min="14609" max="14609" width="14.140625" style="225" customWidth="1"/>
    <col min="14610" max="14610" width="9.140625" style="225"/>
    <col min="14611" max="14611" width="15.5703125" style="225" customWidth="1"/>
    <col min="14612" max="14612" width="10.140625" style="225" customWidth="1"/>
    <col min="14613" max="14613" width="12.85546875" style="225" customWidth="1"/>
    <col min="14614" max="14848" width="9.140625" style="225"/>
    <col min="14849" max="14849" width="4.5703125" style="225" customWidth="1"/>
    <col min="14850" max="14850" width="25.85546875" style="225" customWidth="1"/>
    <col min="14851" max="14851" width="16.42578125" style="225" customWidth="1"/>
    <col min="14852" max="14852" width="9.28515625" style="225" customWidth="1"/>
    <col min="14853" max="14853" width="6.28515625" style="225" customWidth="1"/>
    <col min="14854" max="14854" width="14.42578125" style="225" customWidth="1"/>
    <col min="14855" max="14855" width="15.5703125" style="225" customWidth="1"/>
    <col min="14856" max="14856" width="10.5703125" style="225" customWidth="1"/>
    <col min="14857" max="14857" width="14.42578125" style="225" customWidth="1"/>
    <col min="14858" max="14858" width="8" style="225" customWidth="1"/>
    <col min="14859" max="14859" width="16" style="225" customWidth="1"/>
    <col min="14860" max="14860" width="8.85546875" style="225" customWidth="1"/>
    <col min="14861" max="14861" width="16.85546875" style="225" customWidth="1"/>
    <col min="14862" max="14862" width="9.5703125" style="225" customWidth="1"/>
    <col min="14863" max="14863" width="16.140625" style="225" customWidth="1"/>
    <col min="14864" max="14864" width="17.85546875" style="225" customWidth="1"/>
    <col min="14865" max="14865" width="14.140625" style="225" customWidth="1"/>
    <col min="14866" max="14866" width="9.140625" style="225"/>
    <col min="14867" max="14867" width="15.5703125" style="225" customWidth="1"/>
    <col min="14868" max="14868" width="10.140625" style="225" customWidth="1"/>
    <col min="14869" max="14869" width="12.85546875" style="225" customWidth="1"/>
    <col min="14870" max="15104" width="9.140625" style="225"/>
    <col min="15105" max="15105" width="4.5703125" style="225" customWidth="1"/>
    <col min="15106" max="15106" width="25.85546875" style="225" customWidth="1"/>
    <col min="15107" max="15107" width="16.42578125" style="225" customWidth="1"/>
    <col min="15108" max="15108" width="9.28515625" style="225" customWidth="1"/>
    <col min="15109" max="15109" width="6.28515625" style="225" customWidth="1"/>
    <col min="15110" max="15110" width="14.42578125" style="225" customWidth="1"/>
    <col min="15111" max="15111" width="15.5703125" style="225" customWidth="1"/>
    <col min="15112" max="15112" width="10.5703125" style="225" customWidth="1"/>
    <col min="15113" max="15113" width="14.42578125" style="225" customWidth="1"/>
    <col min="15114" max="15114" width="8" style="225" customWidth="1"/>
    <col min="15115" max="15115" width="16" style="225" customWidth="1"/>
    <col min="15116" max="15116" width="8.85546875" style="225" customWidth="1"/>
    <col min="15117" max="15117" width="16.85546875" style="225" customWidth="1"/>
    <col min="15118" max="15118" width="9.5703125" style="225" customWidth="1"/>
    <col min="15119" max="15119" width="16.140625" style="225" customWidth="1"/>
    <col min="15120" max="15120" width="17.85546875" style="225" customWidth="1"/>
    <col min="15121" max="15121" width="14.140625" style="225" customWidth="1"/>
    <col min="15122" max="15122" width="9.140625" style="225"/>
    <col min="15123" max="15123" width="15.5703125" style="225" customWidth="1"/>
    <col min="15124" max="15124" width="10.140625" style="225" customWidth="1"/>
    <col min="15125" max="15125" width="12.85546875" style="225" customWidth="1"/>
    <col min="15126" max="15360" width="9.140625" style="225"/>
    <col min="15361" max="15361" width="4.5703125" style="225" customWidth="1"/>
    <col min="15362" max="15362" width="25.85546875" style="225" customWidth="1"/>
    <col min="15363" max="15363" width="16.42578125" style="225" customWidth="1"/>
    <col min="15364" max="15364" width="9.28515625" style="225" customWidth="1"/>
    <col min="15365" max="15365" width="6.28515625" style="225" customWidth="1"/>
    <col min="15366" max="15366" width="14.42578125" style="225" customWidth="1"/>
    <col min="15367" max="15367" width="15.5703125" style="225" customWidth="1"/>
    <col min="15368" max="15368" width="10.5703125" style="225" customWidth="1"/>
    <col min="15369" max="15369" width="14.42578125" style="225" customWidth="1"/>
    <col min="15370" max="15370" width="8" style="225" customWidth="1"/>
    <col min="15371" max="15371" width="16" style="225" customWidth="1"/>
    <col min="15372" max="15372" width="8.85546875" style="225" customWidth="1"/>
    <col min="15373" max="15373" width="16.85546875" style="225" customWidth="1"/>
    <col min="15374" max="15374" width="9.5703125" style="225" customWidth="1"/>
    <col min="15375" max="15375" width="16.140625" style="225" customWidth="1"/>
    <col min="15376" max="15376" width="17.85546875" style="225" customWidth="1"/>
    <col min="15377" max="15377" width="14.140625" style="225" customWidth="1"/>
    <col min="15378" max="15378" width="9.140625" style="225"/>
    <col min="15379" max="15379" width="15.5703125" style="225" customWidth="1"/>
    <col min="15380" max="15380" width="10.140625" style="225" customWidth="1"/>
    <col min="15381" max="15381" width="12.85546875" style="225" customWidth="1"/>
    <col min="15382" max="15616" width="9.140625" style="225"/>
    <col min="15617" max="15617" width="4.5703125" style="225" customWidth="1"/>
    <col min="15618" max="15618" width="25.85546875" style="225" customWidth="1"/>
    <col min="15619" max="15619" width="16.42578125" style="225" customWidth="1"/>
    <col min="15620" max="15620" width="9.28515625" style="225" customWidth="1"/>
    <col min="15621" max="15621" width="6.28515625" style="225" customWidth="1"/>
    <col min="15622" max="15622" width="14.42578125" style="225" customWidth="1"/>
    <col min="15623" max="15623" width="15.5703125" style="225" customWidth="1"/>
    <col min="15624" max="15624" width="10.5703125" style="225" customWidth="1"/>
    <col min="15625" max="15625" width="14.42578125" style="225" customWidth="1"/>
    <col min="15626" max="15626" width="8" style="225" customWidth="1"/>
    <col min="15627" max="15627" width="16" style="225" customWidth="1"/>
    <col min="15628" max="15628" width="8.85546875" style="225" customWidth="1"/>
    <col min="15629" max="15629" width="16.85546875" style="225" customWidth="1"/>
    <col min="15630" max="15630" width="9.5703125" style="225" customWidth="1"/>
    <col min="15631" max="15631" width="16.140625" style="225" customWidth="1"/>
    <col min="15632" max="15632" width="17.85546875" style="225" customWidth="1"/>
    <col min="15633" max="15633" width="14.140625" style="225" customWidth="1"/>
    <col min="15634" max="15634" width="9.140625" style="225"/>
    <col min="15635" max="15635" width="15.5703125" style="225" customWidth="1"/>
    <col min="15636" max="15636" width="10.140625" style="225" customWidth="1"/>
    <col min="15637" max="15637" width="12.85546875" style="225" customWidth="1"/>
    <col min="15638" max="15872" width="9.140625" style="225"/>
    <col min="15873" max="15873" width="4.5703125" style="225" customWidth="1"/>
    <col min="15874" max="15874" width="25.85546875" style="225" customWidth="1"/>
    <col min="15875" max="15875" width="16.42578125" style="225" customWidth="1"/>
    <col min="15876" max="15876" width="9.28515625" style="225" customWidth="1"/>
    <col min="15877" max="15877" width="6.28515625" style="225" customWidth="1"/>
    <col min="15878" max="15878" width="14.42578125" style="225" customWidth="1"/>
    <col min="15879" max="15879" width="15.5703125" style="225" customWidth="1"/>
    <col min="15880" max="15880" width="10.5703125" style="225" customWidth="1"/>
    <col min="15881" max="15881" width="14.42578125" style="225" customWidth="1"/>
    <col min="15882" max="15882" width="8" style="225" customWidth="1"/>
    <col min="15883" max="15883" width="16" style="225" customWidth="1"/>
    <col min="15884" max="15884" width="8.85546875" style="225" customWidth="1"/>
    <col min="15885" max="15885" width="16.85546875" style="225" customWidth="1"/>
    <col min="15886" max="15886" width="9.5703125" style="225" customWidth="1"/>
    <col min="15887" max="15887" width="16.140625" style="225" customWidth="1"/>
    <col min="15888" max="15888" width="17.85546875" style="225" customWidth="1"/>
    <col min="15889" max="15889" width="14.140625" style="225" customWidth="1"/>
    <col min="15890" max="15890" width="9.140625" style="225"/>
    <col min="15891" max="15891" width="15.5703125" style="225" customWidth="1"/>
    <col min="15892" max="15892" width="10.140625" style="225" customWidth="1"/>
    <col min="15893" max="15893" width="12.85546875" style="225" customWidth="1"/>
    <col min="15894" max="16128" width="9.140625" style="225"/>
    <col min="16129" max="16129" width="4.5703125" style="225" customWidth="1"/>
    <col min="16130" max="16130" width="25.85546875" style="225" customWidth="1"/>
    <col min="16131" max="16131" width="16.42578125" style="225" customWidth="1"/>
    <col min="16132" max="16132" width="9.28515625" style="225" customWidth="1"/>
    <col min="16133" max="16133" width="6.28515625" style="225" customWidth="1"/>
    <col min="16134" max="16134" width="14.42578125" style="225" customWidth="1"/>
    <col min="16135" max="16135" width="15.5703125" style="225" customWidth="1"/>
    <col min="16136" max="16136" width="10.5703125" style="225" customWidth="1"/>
    <col min="16137" max="16137" width="14.42578125" style="225" customWidth="1"/>
    <col min="16138" max="16138" width="8" style="225" customWidth="1"/>
    <col min="16139" max="16139" width="16" style="225" customWidth="1"/>
    <col min="16140" max="16140" width="8.85546875" style="225" customWidth="1"/>
    <col min="16141" max="16141" width="16.85546875" style="225" customWidth="1"/>
    <col min="16142" max="16142" width="9.5703125" style="225" customWidth="1"/>
    <col min="16143" max="16143" width="16.140625" style="225" customWidth="1"/>
    <col min="16144" max="16144" width="17.85546875" style="225" customWidth="1"/>
    <col min="16145" max="16145" width="14.140625" style="225" customWidth="1"/>
    <col min="16146" max="16146" width="9.140625" style="225"/>
    <col min="16147" max="16147" width="15.5703125" style="225" customWidth="1"/>
    <col min="16148" max="16148" width="10.140625" style="225" customWidth="1"/>
    <col min="16149" max="16149" width="12.85546875" style="225" customWidth="1"/>
    <col min="16150" max="16384" width="9.140625" style="225"/>
  </cols>
  <sheetData>
    <row r="1" spans="1:21" s="219" customFormat="1" ht="18.75" customHeight="1">
      <c r="A1" s="1013" t="str">
        <f>'[53]Data Pokok'!A2</f>
        <v>BADAN USAHA MILIK DESA BATUPUTE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</row>
    <row r="2" spans="1:21" s="219" customFormat="1" ht="18.75" customHeight="1">
      <c r="A2" s="1014" t="str">
        <f>'[53]Data Pokok'!C74</f>
        <v>DAFTAR INVENTARIS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</row>
    <row r="3" spans="1:21" s="219" customFormat="1" ht="18.75" customHeight="1">
      <c r="A3" s="1013" t="s">
        <v>846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</row>
    <row r="4" spans="1:21" s="219" customFormat="1" ht="18.75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21" s="220" customFormat="1" ht="18.75">
      <c r="A5" s="224" t="str">
        <f>'[53]Data Pokok'!A10</f>
        <v>Desa / Kecamatan</v>
      </c>
      <c r="B5" s="223"/>
      <c r="C5" s="227" t="str">
        <f>":   "&amp;'[53]Data Pokok'!D10</f>
        <v>:   Batupute</v>
      </c>
      <c r="D5" s="223"/>
      <c r="E5" s="223"/>
      <c r="F5" s="223"/>
      <c r="G5" s="223"/>
      <c r="H5" s="224"/>
      <c r="I5" s="228"/>
      <c r="J5" s="228"/>
      <c r="K5" s="223"/>
      <c r="L5" s="223"/>
      <c r="M5" s="223"/>
      <c r="N5" s="223"/>
      <c r="O5" s="223"/>
      <c r="P5" s="223"/>
    </row>
    <row r="6" spans="1:21" s="220" customFormat="1" ht="18.75">
      <c r="A6" s="224" t="str">
        <f>'[53]Data Pokok'!A11</f>
        <v>Kabupaten</v>
      </c>
      <c r="B6" s="223"/>
      <c r="C6" s="227" t="str">
        <f>":   "&amp;'[53]Data Pokok'!D11</f>
        <v>:   BARRU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</row>
    <row r="7" spans="1:21" s="220" customFormat="1" ht="18.75">
      <c r="A7" s="224" t="str">
        <f>'[53]Data Pokok'!A12</f>
        <v>Provinsi</v>
      </c>
      <c r="B7" s="223"/>
      <c r="C7" s="227" t="str">
        <f>":   "&amp;'[53]Data Pokok'!D12</f>
        <v>:   SULAWESI SELATAN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</row>
    <row r="8" spans="1:21" s="220" customFormat="1" ht="18.75">
      <c r="A8" s="224"/>
      <c r="B8" s="223"/>
      <c r="C8" s="227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</row>
    <row r="9" spans="1:21" s="221" customFormat="1" ht="39" customHeight="1">
      <c r="A9" s="1026" t="s">
        <v>835</v>
      </c>
      <c r="B9" s="1028" t="s">
        <v>847</v>
      </c>
      <c r="C9" s="1028" t="s">
        <v>848</v>
      </c>
      <c r="D9" s="1028" t="s">
        <v>849</v>
      </c>
      <c r="E9" s="1028" t="s">
        <v>850</v>
      </c>
      <c r="F9" s="1028" t="s">
        <v>851</v>
      </c>
      <c r="G9" s="1028" t="s">
        <v>852</v>
      </c>
      <c r="H9" s="1028" t="s">
        <v>853</v>
      </c>
      <c r="I9" s="1028" t="s">
        <v>854</v>
      </c>
      <c r="J9" s="1015" t="s">
        <v>855</v>
      </c>
      <c r="K9" s="1016"/>
      <c r="L9" s="1015" t="s">
        <v>856</v>
      </c>
      <c r="M9" s="1016"/>
      <c r="N9" s="1015" t="s">
        <v>47</v>
      </c>
      <c r="O9" s="1016"/>
      <c r="P9" s="1030" t="s">
        <v>51</v>
      </c>
      <c r="R9" s="1017" t="s">
        <v>857</v>
      </c>
      <c r="S9" s="1018"/>
      <c r="T9" s="1017" t="s">
        <v>858</v>
      </c>
      <c r="U9" s="1018"/>
    </row>
    <row r="10" spans="1:21" s="221" customFormat="1" ht="56.25">
      <c r="A10" s="1027"/>
      <c r="B10" s="1029"/>
      <c r="C10" s="1029"/>
      <c r="D10" s="1029"/>
      <c r="E10" s="1029"/>
      <c r="F10" s="1029"/>
      <c r="G10" s="1029"/>
      <c r="H10" s="1029"/>
      <c r="I10" s="1029"/>
      <c r="J10" s="229" t="s">
        <v>859</v>
      </c>
      <c r="K10" s="229" t="s">
        <v>860</v>
      </c>
      <c r="L10" s="230" t="s">
        <v>859</v>
      </c>
      <c r="M10" s="229" t="s">
        <v>860</v>
      </c>
      <c r="N10" s="229" t="s">
        <v>861</v>
      </c>
      <c r="O10" s="229" t="s">
        <v>862</v>
      </c>
      <c r="P10" s="1031"/>
      <c r="R10" s="231" t="s">
        <v>859</v>
      </c>
      <c r="S10" s="231" t="s">
        <v>860</v>
      </c>
      <c r="T10" s="231" t="s">
        <v>859</v>
      </c>
      <c r="U10" s="231" t="s">
        <v>860</v>
      </c>
    </row>
    <row r="11" spans="1:21" s="222" customFormat="1" ht="37.5">
      <c r="A11" s="232">
        <v>1</v>
      </c>
      <c r="B11" s="233">
        <v>2</v>
      </c>
      <c r="C11" s="234">
        <v>3</v>
      </c>
      <c r="D11" s="235">
        <v>4</v>
      </c>
      <c r="E11" s="234">
        <v>5</v>
      </c>
      <c r="F11" s="234">
        <v>6</v>
      </c>
      <c r="G11" s="234" t="s">
        <v>863</v>
      </c>
      <c r="H11" s="234">
        <v>8</v>
      </c>
      <c r="I11" s="234" t="s">
        <v>864</v>
      </c>
      <c r="J11" s="236">
        <v>10</v>
      </c>
      <c r="K11" s="236" t="s">
        <v>865</v>
      </c>
      <c r="L11" s="236">
        <v>12</v>
      </c>
      <c r="M11" s="236" t="s">
        <v>866</v>
      </c>
      <c r="N11" s="236" t="s">
        <v>867</v>
      </c>
      <c r="O11" s="236" t="s">
        <v>868</v>
      </c>
      <c r="P11" s="237" t="s">
        <v>869</v>
      </c>
    </row>
    <row r="12" spans="1:21" s="220" customFormat="1" ht="15.75">
      <c r="A12" s="238"/>
      <c r="B12" s="239"/>
      <c r="C12" s="240"/>
      <c r="D12" s="241"/>
      <c r="E12" s="240"/>
      <c r="F12" s="240"/>
      <c r="G12" s="240"/>
      <c r="H12" s="240"/>
      <c r="I12" s="240"/>
      <c r="J12" s="242"/>
      <c r="K12" s="242"/>
      <c r="L12" s="242"/>
      <c r="M12" s="242"/>
      <c r="N12" s="242"/>
      <c r="O12" s="242"/>
      <c r="P12" s="243"/>
    </row>
    <row r="13" spans="1:21" s="223" customFormat="1" ht="18.75">
      <c r="A13" s="244">
        <v>1</v>
      </c>
      <c r="B13" s="245" t="s">
        <v>870</v>
      </c>
      <c r="C13" s="246">
        <v>41579</v>
      </c>
      <c r="D13" s="247" t="s">
        <v>871</v>
      </c>
      <c r="E13" s="248">
        <v>2</v>
      </c>
      <c r="F13" s="249">
        <v>1563500</v>
      </c>
      <c r="G13" s="249">
        <f t="shared" ref="G13:G27" si="0">+E13*F13</f>
        <v>3127000</v>
      </c>
      <c r="H13" s="250">
        <v>60</v>
      </c>
      <c r="I13" s="251">
        <f t="shared" ref="I13:I52" si="1">G13/H13</f>
        <v>52116.666666666701</v>
      </c>
      <c r="J13" s="252">
        <v>60</v>
      </c>
      <c r="K13" s="252">
        <f>J13*I13</f>
        <v>3127000</v>
      </c>
      <c r="L13" s="252">
        <v>0</v>
      </c>
      <c r="M13" s="252">
        <f t="shared" ref="M13:M52" si="2">+I13*L13</f>
        <v>0</v>
      </c>
      <c r="N13" s="252">
        <f>J13+L13</f>
        <v>60</v>
      </c>
      <c r="O13" s="252">
        <f>+K13+M13</f>
        <v>3127000</v>
      </c>
      <c r="P13" s="253">
        <f>+G13-O13</f>
        <v>0</v>
      </c>
      <c r="R13" s="254">
        <v>0</v>
      </c>
      <c r="S13" s="255">
        <f t="shared" ref="S13:S19" si="3">R13*I13</f>
        <v>0</v>
      </c>
      <c r="T13" s="254">
        <v>0</v>
      </c>
      <c r="U13" s="256">
        <f t="shared" ref="U13:U19" si="4">T13*I13</f>
        <v>0</v>
      </c>
    </row>
    <row r="14" spans="1:21" s="223" customFormat="1" ht="18.75">
      <c r="A14" s="244">
        <v>2</v>
      </c>
      <c r="B14" s="245" t="s">
        <v>872</v>
      </c>
      <c r="C14" s="246">
        <v>41583</v>
      </c>
      <c r="D14" s="247" t="s">
        <v>871</v>
      </c>
      <c r="E14" s="248">
        <v>1</v>
      </c>
      <c r="F14" s="249">
        <v>500000</v>
      </c>
      <c r="G14" s="249">
        <f t="shared" si="0"/>
        <v>500000</v>
      </c>
      <c r="H14" s="250">
        <v>60</v>
      </c>
      <c r="I14" s="251">
        <f t="shared" si="1"/>
        <v>8333.3333333333303</v>
      </c>
      <c r="J14" s="252">
        <v>60</v>
      </c>
      <c r="K14" s="252">
        <f t="shared" ref="K14:K45" si="5">J14*I14</f>
        <v>500000</v>
      </c>
      <c r="L14" s="252">
        <v>0</v>
      </c>
      <c r="M14" s="252">
        <f t="shared" si="2"/>
        <v>0</v>
      </c>
      <c r="N14" s="252">
        <f>J14+L14</f>
        <v>60</v>
      </c>
      <c r="O14" s="252">
        <f t="shared" ref="O14:O52" si="6">+K14+M14</f>
        <v>500000</v>
      </c>
      <c r="P14" s="253">
        <f t="shared" ref="P14:P52" si="7">+G14-O14</f>
        <v>0</v>
      </c>
      <c r="R14" s="254">
        <v>0</v>
      </c>
      <c r="S14" s="255">
        <f t="shared" si="3"/>
        <v>0</v>
      </c>
      <c r="T14" s="254">
        <v>0</v>
      </c>
      <c r="U14" s="256">
        <f t="shared" si="4"/>
        <v>0</v>
      </c>
    </row>
    <row r="15" spans="1:21" s="223" customFormat="1" ht="18.75">
      <c r="A15" s="244">
        <v>3</v>
      </c>
      <c r="B15" s="245" t="s">
        <v>873</v>
      </c>
      <c r="C15" s="246">
        <v>42955</v>
      </c>
      <c r="D15" s="247" t="s">
        <v>871</v>
      </c>
      <c r="E15" s="248">
        <v>1</v>
      </c>
      <c r="F15" s="249">
        <v>950000</v>
      </c>
      <c r="G15" s="249">
        <f t="shared" si="0"/>
        <v>950000</v>
      </c>
      <c r="H15" s="250">
        <v>60</v>
      </c>
      <c r="I15" s="251">
        <f t="shared" si="1"/>
        <v>15833.333333333299</v>
      </c>
      <c r="J15" s="252">
        <v>60</v>
      </c>
      <c r="K15" s="252">
        <f t="shared" si="5"/>
        <v>950000</v>
      </c>
      <c r="L15" s="252">
        <v>0</v>
      </c>
      <c r="M15" s="252">
        <f t="shared" si="2"/>
        <v>0</v>
      </c>
      <c r="N15" s="252">
        <f t="shared" ref="N15:N52" si="8">J15+L15</f>
        <v>60</v>
      </c>
      <c r="O15" s="252">
        <f t="shared" si="6"/>
        <v>950000</v>
      </c>
      <c r="P15" s="253">
        <f t="shared" si="7"/>
        <v>0</v>
      </c>
      <c r="R15" s="254">
        <v>0</v>
      </c>
      <c r="S15" s="255">
        <f t="shared" si="3"/>
        <v>0</v>
      </c>
      <c r="T15" s="254">
        <v>0</v>
      </c>
      <c r="U15" s="256">
        <f t="shared" si="4"/>
        <v>0</v>
      </c>
    </row>
    <row r="16" spans="1:21" s="223" customFormat="1" ht="18.75">
      <c r="A16" s="244">
        <v>4</v>
      </c>
      <c r="B16" s="245" t="s">
        <v>874</v>
      </c>
      <c r="C16" s="246">
        <v>42988</v>
      </c>
      <c r="D16" s="247" t="s">
        <v>871</v>
      </c>
      <c r="E16" s="248">
        <v>1</v>
      </c>
      <c r="F16" s="249">
        <v>250000</v>
      </c>
      <c r="G16" s="249">
        <f t="shared" si="0"/>
        <v>250000</v>
      </c>
      <c r="H16" s="250">
        <v>60</v>
      </c>
      <c r="I16" s="251">
        <f t="shared" si="1"/>
        <v>4166.6666666666697</v>
      </c>
      <c r="J16" s="252">
        <v>60</v>
      </c>
      <c r="K16" s="252">
        <f t="shared" si="5"/>
        <v>250000</v>
      </c>
      <c r="L16" s="252">
        <v>0</v>
      </c>
      <c r="M16" s="252">
        <f t="shared" si="2"/>
        <v>0</v>
      </c>
      <c r="N16" s="252">
        <f t="shared" si="8"/>
        <v>60</v>
      </c>
      <c r="O16" s="252">
        <f t="shared" si="6"/>
        <v>250000</v>
      </c>
      <c r="P16" s="253">
        <f t="shared" si="7"/>
        <v>0</v>
      </c>
      <c r="R16" s="254">
        <v>0</v>
      </c>
      <c r="S16" s="255">
        <f t="shared" si="3"/>
        <v>0</v>
      </c>
      <c r="T16" s="254">
        <v>0</v>
      </c>
      <c r="U16" s="256">
        <f t="shared" si="4"/>
        <v>0</v>
      </c>
    </row>
    <row r="17" spans="1:21" s="223" customFormat="1" ht="18.75">
      <c r="A17" s="244">
        <v>5</v>
      </c>
      <c r="B17" s="245" t="s">
        <v>873</v>
      </c>
      <c r="C17" s="246">
        <v>43348</v>
      </c>
      <c r="D17" s="247" t="s">
        <v>871</v>
      </c>
      <c r="E17" s="248">
        <v>1</v>
      </c>
      <c r="F17" s="249">
        <v>1000000</v>
      </c>
      <c r="G17" s="249">
        <f t="shared" si="0"/>
        <v>1000000</v>
      </c>
      <c r="H17" s="250">
        <v>60</v>
      </c>
      <c r="I17" s="251">
        <f t="shared" si="1"/>
        <v>16666.666666666701</v>
      </c>
      <c r="J17" s="252">
        <v>60</v>
      </c>
      <c r="K17" s="252">
        <f t="shared" si="5"/>
        <v>1000000</v>
      </c>
      <c r="L17" s="252">
        <v>0</v>
      </c>
      <c r="M17" s="252">
        <f t="shared" si="2"/>
        <v>0</v>
      </c>
      <c r="N17" s="252">
        <f t="shared" si="8"/>
        <v>60</v>
      </c>
      <c r="O17" s="252">
        <f t="shared" si="6"/>
        <v>1000000</v>
      </c>
      <c r="P17" s="253">
        <f t="shared" si="7"/>
        <v>0</v>
      </c>
      <c r="R17" s="254">
        <v>0</v>
      </c>
      <c r="S17" s="255">
        <f t="shared" si="3"/>
        <v>0</v>
      </c>
      <c r="T17" s="254">
        <v>0</v>
      </c>
      <c r="U17" s="256">
        <f t="shared" si="4"/>
        <v>0</v>
      </c>
    </row>
    <row r="18" spans="1:21" s="223" customFormat="1" ht="18.75">
      <c r="A18" s="244">
        <v>6</v>
      </c>
      <c r="B18" s="245" t="s">
        <v>875</v>
      </c>
      <c r="C18" s="246">
        <v>43381</v>
      </c>
      <c r="D18" s="247" t="s">
        <v>871</v>
      </c>
      <c r="E18" s="248">
        <v>1</v>
      </c>
      <c r="F18" s="249">
        <v>8000000</v>
      </c>
      <c r="G18" s="249">
        <f t="shared" si="0"/>
        <v>8000000</v>
      </c>
      <c r="H18" s="250">
        <v>60</v>
      </c>
      <c r="I18" s="251">
        <f t="shared" si="1"/>
        <v>133333.33333333299</v>
      </c>
      <c r="J18" s="252">
        <v>60</v>
      </c>
      <c r="K18" s="252">
        <f t="shared" si="5"/>
        <v>8000000</v>
      </c>
      <c r="L18" s="252">
        <v>0</v>
      </c>
      <c r="M18" s="252">
        <f t="shared" si="2"/>
        <v>0</v>
      </c>
      <c r="N18" s="252">
        <f t="shared" si="8"/>
        <v>60</v>
      </c>
      <c r="O18" s="252">
        <f t="shared" si="6"/>
        <v>8000000</v>
      </c>
      <c r="P18" s="253">
        <f t="shared" si="7"/>
        <v>0</v>
      </c>
      <c r="R18" s="254">
        <v>0</v>
      </c>
      <c r="S18" s="255">
        <f t="shared" si="3"/>
        <v>0</v>
      </c>
      <c r="T18" s="254">
        <v>0</v>
      </c>
      <c r="U18" s="256">
        <f t="shared" si="4"/>
        <v>0</v>
      </c>
    </row>
    <row r="19" spans="1:21" s="223" customFormat="1" ht="18.75">
      <c r="A19" s="244">
        <v>7</v>
      </c>
      <c r="B19" s="245" t="s">
        <v>876</v>
      </c>
      <c r="C19" s="871" t="s">
        <v>877</v>
      </c>
      <c r="D19" s="247" t="s">
        <v>871</v>
      </c>
      <c r="E19" s="248">
        <v>1</v>
      </c>
      <c r="F19" s="249">
        <v>800000</v>
      </c>
      <c r="G19" s="249">
        <f t="shared" si="0"/>
        <v>800000</v>
      </c>
      <c r="H19" s="250">
        <v>60</v>
      </c>
      <c r="I19" s="251">
        <f t="shared" si="1"/>
        <v>13333.333333333299</v>
      </c>
      <c r="J19" s="252">
        <v>60</v>
      </c>
      <c r="K19" s="252">
        <f t="shared" si="5"/>
        <v>800000</v>
      </c>
      <c r="L19" s="252">
        <v>0</v>
      </c>
      <c r="M19" s="252">
        <f t="shared" si="2"/>
        <v>0</v>
      </c>
      <c r="N19" s="252">
        <f t="shared" si="8"/>
        <v>60</v>
      </c>
      <c r="O19" s="252">
        <f t="shared" si="6"/>
        <v>800000</v>
      </c>
      <c r="P19" s="253">
        <f t="shared" si="7"/>
        <v>0</v>
      </c>
      <c r="R19" s="254">
        <v>0</v>
      </c>
      <c r="S19" s="255">
        <f t="shared" si="3"/>
        <v>0</v>
      </c>
      <c r="T19" s="254">
        <v>0</v>
      </c>
      <c r="U19" s="256">
        <f t="shared" si="4"/>
        <v>0</v>
      </c>
    </row>
    <row r="20" spans="1:21" s="223" customFormat="1" ht="18.75">
      <c r="A20" s="244">
        <v>8</v>
      </c>
      <c r="B20" s="245" t="s">
        <v>731</v>
      </c>
      <c r="C20" s="257">
        <v>43657</v>
      </c>
      <c r="D20" s="247" t="s">
        <v>871</v>
      </c>
      <c r="E20" s="248">
        <v>1</v>
      </c>
      <c r="F20" s="249">
        <v>1400000</v>
      </c>
      <c r="G20" s="249">
        <f t="shared" si="0"/>
        <v>1400000</v>
      </c>
      <c r="H20" s="250">
        <v>12</v>
      </c>
      <c r="I20" s="251">
        <f t="shared" si="1"/>
        <v>116666.66666666701</v>
      </c>
      <c r="J20" s="252">
        <v>12</v>
      </c>
      <c r="K20" s="252">
        <f t="shared" si="5"/>
        <v>1400000</v>
      </c>
      <c r="L20" s="252">
        <v>0</v>
      </c>
      <c r="M20" s="252">
        <f t="shared" si="2"/>
        <v>0</v>
      </c>
      <c r="N20" s="252">
        <f t="shared" si="8"/>
        <v>12</v>
      </c>
      <c r="O20" s="252">
        <f t="shared" si="6"/>
        <v>1400000</v>
      </c>
      <c r="P20" s="253">
        <f t="shared" si="7"/>
        <v>0</v>
      </c>
      <c r="R20" s="254"/>
      <c r="S20" s="255"/>
      <c r="T20" s="254"/>
      <c r="U20" s="256"/>
    </row>
    <row r="21" spans="1:21" s="223" customFormat="1" ht="18.75" hidden="1">
      <c r="A21" s="244">
        <v>9</v>
      </c>
      <c r="B21" s="258"/>
      <c r="C21" s="259"/>
      <c r="D21" s="247" t="s">
        <v>871</v>
      </c>
      <c r="E21" s="260"/>
      <c r="F21" s="261"/>
      <c r="G21" s="256">
        <f t="shared" si="0"/>
        <v>0</v>
      </c>
      <c r="H21" s="262"/>
      <c r="I21" s="251" t="e">
        <f t="shared" si="1"/>
        <v>#DIV/0!</v>
      </c>
      <c r="J21" s="263"/>
      <c r="K21" s="252" t="e">
        <f t="shared" si="5"/>
        <v>#DIV/0!</v>
      </c>
      <c r="L21" s="264"/>
      <c r="M21" s="252" t="e">
        <f t="shared" si="2"/>
        <v>#DIV/0!</v>
      </c>
      <c r="N21" s="252">
        <f t="shared" ref="N21:N27" si="9">J21+L21</f>
        <v>0</v>
      </c>
      <c r="O21" s="252" t="e">
        <f t="shared" si="6"/>
        <v>#DIV/0!</v>
      </c>
      <c r="P21" s="253" t="e">
        <f t="shared" si="7"/>
        <v>#DIV/0!</v>
      </c>
      <c r="R21" s="265">
        <v>0</v>
      </c>
      <c r="S21" s="255" t="e">
        <f>R21*I21</f>
        <v>#DIV/0!</v>
      </c>
      <c r="T21" s="265">
        <v>0</v>
      </c>
      <c r="U21" s="256" t="e">
        <f t="shared" ref="U21:U27" si="10">T21*I21</f>
        <v>#DIV/0!</v>
      </c>
    </row>
    <row r="22" spans="1:21" s="223" customFormat="1" ht="18.75" hidden="1">
      <c r="A22" s="244">
        <v>10</v>
      </c>
      <c r="B22" s="266"/>
      <c r="C22" s="267"/>
      <c r="D22" s="247" t="s">
        <v>871</v>
      </c>
      <c r="E22" s="268"/>
      <c r="F22" s="269"/>
      <c r="G22" s="269">
        <f t="shared" si="0"/>
        <v>0</v>
      </c>
      <c r="H22" s="270"/>
      <c r="I22" s="251" t="e">
        <f t="shared" si="1"/>
        <v>#DIV/0!</v>
      </c>
      <c r="J22" s="269"/>
      <c r="K22" s="252" t="e">
        <f t="shared" si="5"/>
        <v>#DIV/0!</v>
      </c>
      <c r="L22" s="269"/>
      <c r="M22" s="252" t="e">
        <f t="shared" si="2"/>
        <v>#DIV/0!</v>
      </c>
      <c r="N22" s="252">
        <f t="shared" si="9"/>
        <v>0</v>
      </c>
      <c r="O22" s="252" t="e">
        <f t="shared" si="6"/>
        <v>#DIV/0!</v>
      </c>
      <c r="P22" s="253" t="e">
        <f t="shared" si="7"/>
        <v>#DIV/0!</v>
      </c>
      <c r="R22" s="269">
        <v>0</v>
      </c>
      <c r="S22" s="255">
        <v>0</v>
      </c>
      <c r="T22" s="269">
        <v>8</v>
      </c>
      <c r="U22" s="256" t="e">
        <f t="shared" si="10"/>
        <v>#DIV/0!</v>
      </c>
    </row>
    <row r="23" spans="1:21" s="223" customFormat="1" ht="18.75" hidden="1">
      <c r="A23" s="244">
        <v>11</v>
      </c>
      <c r="B23" s="271"/>
      <c r="C23" s="267"/>
      <c r="D23" s="247" t="s">
        <v>871</v>
      </c>
      <c r="E23" s="268"/>
      <c r="F23" s="269"/>
      <c r="G23" s="269">
        <f t="shared" si="0"/>
        <v>0</v>
      </c>
      <c r="H23" s="270"/>
      <c r="I23" s="251" t="e">
        <f t="shared" si="1"/>
        <v>#DIV/0!</v>
      </c>
      <c r="J23" s="269"/>
      <c r="K23" s="252" t="e">
        <f t="shared" si="5"/>
        <v>#DIV/0!</v>
      </c>
      <c r="L23" s="272"/>
      <c r="M23" s="252" t="e">
        <f t="shared" si="2"/>
        <v>#DIV/0!</v>
      </c>
      <c r="N23" s="252">
        <f t="shared" si="9"/>
        <v>0</v>
      </c>
      <c r="O23" s="252" t="e">
        <f t="shared" si="6"/>
        <v>#DIV/0!</v>
      </c>
      <c r="P23" s="253" t="e">
        <f t="shared" si="7"/>
        <v>#DIV/0!</v>
      </c>
      <c r="R23" s="256">
        <v>0</v>
      </c>
      <c r="S23" s="256">
        <v>0</v>
      </c>
      <c r="T23" s="273">
        <v>5</v>
      </c>
      <c r="U23" s="256" t="e">
        <f t="shared" si="10"/>
        <v>#DIV/0!</v>
      </c>
    </row>
    <row r="24" spans="1:21" s="223" customFormat="1" ht="18.75" hidden="1">
      <c r="A24" s="244">
        <v>12</v>
      </c>
      <c r="B24" s="266"/>
      <c r="C24" s="267"/>
      <c r="D24" s="247" t="s">
        <v>871</v>
      </c>
      <c r="E24" s="268"/>
      <c r="F24" s="256"/>
      <c r="G24" s="269">
        <f t="shared" si="0"/>
        <v>0</v>
      </c>
      <c r="H24" s="270"/>
      <c r="I24" s="251" t="e">
        <f t="shared" si="1"/>
        <v>#DIV/0!</v>
      </c>
      <c r="J24" s="269"/>
      <c r="K24" s="252" t="e">
        <f t="shared" si="5"/>
        <v>#DIV/0!</v>
      </c>
      <c r="L24" s="269"/>
      <c r="M24" s="252" t="e">
        <f t="shared" si="2"/>
        <v>#DIV/0!</v>
      </c>
      <c r="N24" s="252">
        <f t="shared" si="9"/>
        <v>0</v>
      </c>
      <c r="O24" s="252" t="e">
        <f t="shared" si="6"/>
        <v>#DIV/0!</v>
      </c>
      <c r="P24" s="253" t="e">
        <f t="shared" si="7"/>
        <v>#DIV/0!</v>
      </c>
      <c r="R24" s="256">
        <v>0</v>
      </c>
      <c r="S24" s="256">
        <v>0</v>
      </c>
      <c r="T24" s="274">
        <v>8</v>
      </c>
      <c r="U24" s="256" t="e">
        <f t="shared" si="10"/>
        <v>#DIV/0!</v>
      </c>
    </row>
    <row r="25" spans="1:21" s="223" customFormat="1" ht="18.75" hidden="1">
      <c r="A25" s="244">
        <v>13</v>
      </c>
      <c r="B25" s="266"/>
      <c r="C25" s="267"/>
      <c r="D25" s="247" t="s">
        <v>871</v>
      </c>
      <c r="E25" s="268"/>
      <c r="F25" s="256"/>
      <c r="G25" s="269">
        <f t="shared" si="0"/>
        <v>0</v>
      </c>
      <c r="H25" s="270"/>
      <c r="I25" s="251" t="e">
        <f t="shared" si="1"/>
        <v>#DIV/0!</v>
      </c>
      <c r="J25" s="269"/>
      <c r="K25" s="252" t="e">
        <f t="shared" si="5"/>
        <v>#DIV/0!</v>
      </c>
      <c r="L25" s="269"/>
      <c r="M25" s="252" t="e">
        <f t="shared" si="2"/>
        <v>#DIV/0!</v>
      </c>
      <c r="N25" s="252">
        <f t="shared" si="9"/>
        <v>0</v>
      </c>
      <c r="O25" s="252" t="e">
        <f t="shared" si="6"/>
        <v>#DIV/0!</v>
      </c>
      <c r="P25" s="253" t="e">
        <f t="shared" si="7"/>
        <v>#DIV/0!</v>
      </c>
      <c r="R25" s="256"/>
      <c r="S25" s="256"/>
      <c r="T25" s="274">
        <v>8</v>
      </c>
      <c r="U25" s="256" t="e">
        <f t="shared" si="10"/>
        <v>#DIV/0!</v>
      </c>
    </row>
    <row r="26" spans="1:21" s="223" customFormat="1" ht="18.75">
      <c r="A26" s="244">
        <v>14</v>
      </c>
      <c r="B26" s="266" t="s">
        <v>878</v>
      </c>
      <c r="C26" s="275">
        <v>45051</v>
      </c>
      <c r="D26" s="247" t="s">
        <v>871</v>
      </c>
      <c r="E26" s="268">
        <v>1</v>
      </c>
      <c r="F26" s="256">
        <v>19780000</v>
      </c>
      <c r="G26" s="269">
        <f>F26*E26</f>
        <v>19780000</v>
      </c>
      <c r="H26" s="270">
        <v>60</v>
      </c>
      <c r="I26" s="251">
        <f t="shared" si="1"/>
        <v>329666.66666666698</v>
      </c>
      <c r="J26" s="269">
        <v>19</v>
      </c>
      <c r="K26" s="252">
        <f t="shared" si="5"/>
        <v>6263666.6666666698</v>
      </c>
      <c r="L26" s="269">
        <v>9</v>
      </c>
      <c r="M26" s="252">
        <f t="shared" si="2"/>
        <v>2967000</v>
      </c>
      <c r="N26" s="252">
        <f t="shared" si="9"/>
        <v>28</v>
      </c>
      <c r="O26" s="252">
        <f t="shared" si="6"/>
        <v>9230666.6666666698</v>
      </c>
      <c r="P26" s="253">
        <f t="shared" si="7"/>
        <v>10549333.3333333</v>
      </c>
      <c r="R26" s="256"/>
      <c r="S26" s="256"/>
      <c r="T26" s="274"/>
      <c r="U26" s="256"/>
    </row>
    <row r="27" spans="1:21" s="223" customFormat="1" ht="18.75">
      <c r="A27" s="244">
        <v>15</v>
      </c>
      <c r="B27" s="276" t="s">
        <v>879</v>
      </c>
      <c r="C27" s="277">
        <v>45113</v>
      </c>
      <c r="D27" s="278" t="s">
        <v>871</v>
      </c>
      <c r="E27" s="279">
        <v>1</v>
      </c>
      <c r="F27" s="280">
        <v>2400000</v>
      </c>
      <c r="G27" s="280">
        <f t="shared" si="0"/>
        <v>2400000</v>
      </c>
      <c r="H27" s="281">
        <v>60</v>
      </c>
      <c r="I27" s="282">
        <f t="shared" si="1"/>
        <v>40000</v>
      </c>
      <c r="J27" s="280">
        <v>18</v>
      </c>
      <c r="K27" s="283">
        <f t="shared" si="5"/>
        <v>720000</v>
      </c>
      <c r="L27" s="280">
        <v>6</v>
      </c>
      <c r="M27" s="284">
        <f t="shared" si="2"/>
        <v>240000</v>
      </c>
      <c r="N27" s="283">
        <f t="shared" si="9"/>
        <v>24</v>
      </c>
      <c r="O27" s="283">
        <f t="shared" si="6"/>
        <v>960000</v>
      </c>
      <c r="P27" s="285">
        <f t="shared" si="7"/>
        <v>1440000</v>
      </c>
      <c r="R27" s="256"/>
      <c r="S27" s="256"/>
      <c r="T27" s="274">
        <v>7</v>
      </c>
      <c r="U27" s="256">
        <f t="shared" si="10"/>
        <v>280000</v>
      </c>
    </row>
    <row r="28" spans="1:21" s="223" customFormat="1" ht="18.75">
      <c r="A28" s="244">
        <v>16</v>
      </c>
      <c r="B28" s="286" t="s">
        <v>880</v>
      </c>
      <c r="C28" s="287">
        <v>45176</v>
      </c>
      <c r="D28" s="278" t="s">
        <v>871</v>
      </c>
      <c r="E28" s="288">
        <v>2</v>
      </c>
      <c r="F28" s="289">
        <v>850000</v>
      </c>
      <c r="G28" s="289">
        <f t="shared" ref="G28:G53" si="11">F28*E28</f>
        <v>1700000</v>
      </c>
      <c r="H28" s="290">
        <v>60</v>
      </c>
      <c r="I28" s="282">
        <f t="shared" si="1"/>
        <v>28333.333333333299</v>
      </c>
      <c r="J28" s="289">
        <v>17</v>
      </c>
      <c r="K28" s="283">
        <f t="shared" si="5"/>
        <v>481666.66666666698</v>
      </c>
      <c r="L28" s="289">
        <v>7</v>
      </c>
      <c r="M28" s="284">
        <f t="shared" si="2"/>
        <v>198333.33333333299</v>
      </c>
      <c r="N28" s="283">
        <f t="shared" si="8"/>
        <v>24</v>
      </c>
      <c r="O28" s="283">
        <f t="shared" si="6"/>
        <v>680000</v>
      </c>
      <c r="P28" s="285">
        <f t="shared" si="7"/>
        <v>1020000</v>
      </c>
      <c r="R28" s="291"/>
      <c r="S28" s="291"/>
      <c r="T28" s="274"/>
      <c r="U28" s="291"/>
    </row>
    <row r="29" spans="1:21" s="223" customFormat="1" ht="18.75">
      <c r="A29" s="244">
        <v>17</v>
      </c>
      <c r="B29" s="286" t="s">
        <v>881</v>
      </c>
      <c r="C29" s="287">
        <v>45176</v>
      </c>
      <c r="D29" s="278" t="s">
        <v>871</v>
      </c>
      <c r="E29" s="288">
        <v>1</v>
      </c>
      <c r="F29" s="289">
        <v>1200000</v>
      </c>
      <c r="G29" s="289">
        <f t="shared" si="11"/>
        <v>1200000</v>
      </c>
      <c r="H29" s="290">
        <v>60</v>
      </c>
      <c r="I29" s="282">
        <f t="shared" si="1"/>
        <v>20000</v>
      </c>
      <c r="J29" s="289">
        <v>17</v>
      </c>
      <c r="K29" s="289">
        <f t="shared" si="5"/>
        <v>340000</v>
      </c>
      <c r="L29" s="289">
        <v>7</v>
      </c>
      <c r="M29" s="289">
        <f t="shared" si="2"/>
        <v>140000</v>
      </c>
      <c r="N29" s="292">
        <f t="shared" si="8"/>
        <v>24</v>
      </c>
      <c r="O29" s="283">
        <f t="shared" si="6"/>
        <v>480000</v>
      </c>
      <c r="P29" s="285">
        <f t="shared" si="7"/>
        <v>720000</v>
      </c>
      <c r="R29" s="291"/>
      <c r="S29" s="291"/>
      <c r="T29" s="274"/>
      <c r="U29" s="291"/>
    </row>
    <row r="30" spans="1:21" s="223" customFormat="1" ht="18.75">
      <c r="A30" s="244">
        <v>18</v>
      </c>
      <c r="B30" s="286" t="s">
        <v>881</v>
      </c>
      <c r="C30" s="287">
        <v>45176</v>
      </c>
      <c r="D30" s="278" t="s">
        <v>871</v>
      </c>
      <c r="E30" s="288">
        <v>1</v>
      </c>
      <c r="F30" s="289">
        <v>1100000</v>
      </c>
      <c r="G30" s="289">
        <f t="shared" si="11"/>
        <v>1100000</v>
      </c>
      <c r="H30" s="290">
        <v>60</v>
      </c>
      <c r="I30" s="282">
        <f t="shared" si="1"/>
        <v>18333.333333333299</v>
      </c>
      <c r="J30" s="289">
        <v>17</v>
      </c>
      <c r="K30" s="289">
        <f t="shared" si="5"/>
        <v>311666.66666666698</v>
      </c>
      <c r="L30" s="289">
        <v>7</v>
      </c>
      <c r="M30" s="289">
        <f t="shared" si="2"/>
        <v>128333.33333333299</v>
      </c>
      <c r="N30" s="292">
        <f t="shared" si="8"/>
        <v>24</v>
      </c>
      <c r="O30" s="283">
        <f t="shared" si="6"/>
        <v>440000</v>
      </c>
      <c r="P30" s="285">
        <f t="shared" si="7"/>
        <v>660000</v>
      </c>
      <c r="R30" s="291"/>
      <c r="S30" s="291"/>
      <c r="T30" s="274"/>
      <c r="U30" s="291"/>
    </row>
    <row r="31" spans="1:21" s="223" customFormat="1" ht="18.75">
      <c r="A31" s="244">
        <v>19</v>
      </c>
      <c r="B31" s="293" t="s">
        <v>882</v>
      </c>
      <c r="C31" s="294">
        <v>45176</v>
      </c>
      <c r="D31" s="247" t="s">
        <v>871</v>
      </c>
      <c r="E31" s="295">
        <v>1</v>
      </c>
      <c r="F31" s="256">
        <v>3850000</v>
      </c>
      <c r="G31" s="256">
        <f t="shared" si="11"/>
        <v>3850000</v>
      </c>
      <c r="H31" s="296">
        <v>60</v>
      </c>
      <c r="I31" s="251">
        <f t="shared" si="1"/>
        <v>64166.666666666701</v>
      </c>
      <c r="J31" s="256">
        <v>17</v>
      </c>
      <c r="K31" s="256">
        <f t="shared" si="5"/>
        <v>1090833.33333333</v>
      </c>
      <c r="L31" s="256">
        <v>9</v>
      </c>
      <c r="M31" s="256">
        <f t="shared" si="2"/>
        <v>577500</v>
      </c>
      <c r="N31" s="297">
        <f t="shared" si="8"/>
        <v>26</v>
      </c>
      <c r="O31" s="256">
        <f t="shared" si="6"/>
        <v>1668333.33333333</v>
      </c>
      <c r="P31" s="253">
        <f t="shared" si="7"/>
        <v>2181666.6666666698</v>
      </c>
      <c r="Q31" s="298">
        <f>SUM(M27:M34)</f>
        <v>3386283.3333333302</v>
      </c>
      <c r="R31" s="291"/>
      <c r="S31" s="291"/>
      <c r="T31" s="274"/>
      <c r="U31" s="291"/>
    </row>
    <row r="32" spans="1:21" s="223" customFormat="1" ht="18.75">
      <c r="A32" s="244">
        <v>20</v>
      </c>
      <c r="B32" s="293" t="s">
        <v>883</v>
      </c>
      <c r="C32" s="872" t="s">
        <v>884</v>
      </c>
      <c r="D32" s="247" t="s">
        <v>871</v>
      </c>
      <c r="E32" s="295">
        <v>1</v>
      </c>
      <c r="F32" s="256">
        <v>7300000</v>
      </c>
      <c r="G32" s="256">
        <f t="shared" si="11"/>
        <v>7300000</v>
      </c>
      <c r="H32" s="296">
        <v>60</v>
      </c>
      <c r="I32" s="251">
        <f t="shared" si="1"/>
        <v>121666.66666666701</v>
      </c>
      <c r="J32" s="256">
        <v>11</v>
      </c>
      <c r="K32" s="256">
        <f t="shared" si="5"/>
        <v>1338333.33333333</v>
      </c>
      <c r="L32" s="256">
        <v>9</v>
      </c>
      <c r="M32" s="256">
        <f t="shared" si="2"/>
        <v>1095000</v>
      </c>
      <c r="N32" s="297">
        <f t="shared" si="8"/>
        <v>20</v>
      </c>
      <c r="O32" s="256">
        <f t="shared" si="6"/>
        <v>2433333.3333333302</v>
      </c>
      <c r="P32" s="253">
        <f t="shared" si="7"/>
        <v>4866666.6666666698</v>
      </c>
      <c r="R32" s="291"/>
      <c r="S32" s="291"/>
      <c r="T32" s="274"/>
      <c r="U32" s="291"/>
    </row>
    <row r="33" spans="1:21" s="223" customFormat="1" ht="18.75">
      <c r="A33" s="244">
        <v>21</v>
      </c>
      <c r="B33" s="286" t="s">
        <v>885</v>
      </c>
      <c r="C33" s="873" t="s">
        <v>559</v>
      </c>
      <c r="D33" s="278" t="s">
        <v>871</v>
      </c>
      <c r="E33" s="288">
        <v>1</v>
      </c>
      <c r="F33" s="289">
        <v>500000</v>
      </c>
      <c r="G33" s="289">
        <f t="shared" si="11"/>
        <v>500000</v>
      </c>
      <c r="H33" s="290">
        <v>60</v>
      </c>
      <c r="I33" s="282">
        <f t="shared" si="1"/>
        <v>8333.3333333333303</v>
      </c>
      <c r="J33" s="289">
        <v>10</v>
      </c>
      <c r="K33" s="289">
        <f t="shared" si="5"/>
        <v>83333.333333333299</v>
      </c>
      <c r="L33" s="289">
        <v>2</v>
      </c>
      <c r="M33" s="289">
        <f t="shared" si="2"/>
        <v>16666.666666666701</v>
      </c>
      <c r="N33" s="292">
        <f t="shared" si="8"/>
        <v>12</v>
      </c>
      <c r="O33" s="289">
        <f t="shared" si="6"/>
        <v>100000</v>
      </c>
      <c r="P33" s="299">
        <f t="shared" si="7"/>
        <v>400000</v>
      </c>
      <c r="R33" s="291"/>
      <c r="S33" s="291"/>
      <c r="T33" s="274"/>
      <c r="U33" s="291"/>
    </row>
    <row r="34" spans="1:21" s="223" customFormat="1" ht="18.75">
      <c r="A34" s="244">
        <v>22</v>
      </c>
      <c r="B34" s="293" t="s">
        <v>883</v>
      </c>
      <c r="C34" s="872" t="s">
        <v>707</v>
      </c>
      <c r="D34" s="247" t="s">
        <v>871</v>
      </c>
      <c r="E34" s="295">
        <v>1</v>
      </c>
      <c r="F34" s="256">
        <v>6603000</v>
      </c>
      <c r="G34" s="256">
        <f t="shared" si="11"/>
        <v>6603000</v>
      </c>
      <c r="H34" s="296">
        <v>60</v>
      </c>
      <c r="I34" s="300">
        <f t="shared" si="1"/>
        <v>110050</v>
      </c>
      <c r="J34" s="256">
        <v>8</v>
      </c>
      <c r="K34" s="256">
        <f t="shared" si="5"/>
        <v>880400</v>
      </c>
      <c r="L34" s="256">
        <v>9</v>
      </c>
      <c r="M34" s="256">
        <f t="shared" si="2"/>
        <v>990450</v>
      </c>
      <c r="N34" s="297">
        <f t="shared" si="8"/>
        <v>17</v>
      </c>
      <c r="O34" s="256">
        <f t="shared" si="6"/>
        <v>1870850</v>
      </c>
      <c r="P34" s="301">
        <f t="shared" si="7"/>
        <v>4732150</v>
      </c>
      <c r="R34" s="291"/>
      <c r="S34" s="291"/>
      <c r="T34" s="274"/>
      <c r="U34" s="291"/>
    </row>
    <row r="35" spans="1:21" s="223" customFormat="1" ht="18.75">
      <c r="A35" s="244">
        <v>23</v>
      </c>
      <c r="B35" s="293" t="s">
        <v>886</v>
      </c>
      <c r="C35" s="872" t="s">
        <v>887</v>
      </c>
      <c r="D35" s="247" t="s">
        <v>871</v>
      </c>
      <c r="E35" s="295">
        <v>1</v>
      </c>
      <c r="F35" s="256">
        <v>450000</v>
      </c>
      <c r="G35" s="256">
        <f t="shared" si="11"/>
        <v>450000</v>
      </c>
      <c r="H35" s="296">
        <v>60</v>
      </c>
      <c r="I35" s="300">
        <f t="shared" si="1"/>
        <v>7500</v>
      </c>
      <c r="J35" s="256">
        <v>3</v>
      </c>
      <c r="K35" s="256">
        <f t="shared" si="5"/>
        <v>22500</v>
      </c>
      <c r="L35" s="256">
        <v>9</v>
      </c>
      <c r="M35" s="256">
        <f t="shared" si="2"/>
        <v>67500</v>
      </c>
      <c r="N35" s="297">
        <f t="shared" si="8"/>
        <v>12</v>
      </c>
      <c r="O35" s="256">
        <f t="shared" si="6"/>
        <v>90000</v>
      </c>
      <c r="P35" s="301">
        <f t="shared" si="7"/>
        <v>360000</v>
      </c>
      <c r="R35" s="291"/>
      <c r="S35" s="291"/>
      <c r="T35" s="291"/>
      <c r="U35" s="291"/>
    </row>
    <row r="36" spans="1:21" s="223" customFormat="1" ht="18.75">
      <c r="A36" s="244">
        <v>24</v>
      </c>
      <c r="B36" s="293" t="s">
        <v>888</v>
      </c>
      <c r="C36" s="872" t="s">
        <v>887</v>
      </c>
      <c r="D36" s="247" t="s">
        <v>871</v>
      </c>
      <c r="E36" s="295">
        <v>1</v>
      </c>
      <c r="F36" s="256">
        <v>275000</v>
      </c>
      <c r="G36" s="256">
        <f t="shared" si="11"/>
        <v>275000</v>
      </c>
      <c r="H36" s="296">
        <v>60</v>
      </c>
      <c r="I36" s="300">
        <f t="shared" si="1"/>
        <v>4583.3333333333303</v>
      </c>
      <c r="J36" s="256">
        <v>3</v>
      </c>
      <c r="K36" s="256">
        <f t="shared" si="5"/>
        <v>13750</v>
      </c>
      <c r="L36" s="256">
        <v>9</v>
      </c>
      <c r="M36" s="256">
        <f t="shared" si="2"/>
        <v>41250</v>
      </c>
      <c r="N36" s="297">
        <f t="shared" si="8"/>
        <v>12</v>
      </c>
      <c r="O36" s="256">
        <f t="shared" si="6"/>
        <v>55000</v>
      </c>
      <c r="P36" s="301">
        <f t="shared" si="7"/>
        <v>220000</v>
      </c>
      <c r="R36" s="291"/>
      <c r="S36" s="291"/>
      <c r="T36" s="291"/>
      <c r="U36" s="291"/>
    </row>
    <row r="37" spans="1:21" s="223" customFormat="1" ht="18.75">
      <c r="A37" s="244">
        <v>25</v>
      </c>
      <c r="B37" s="293" t="s">
        <v>889</v>
      </c>
      <c r="C37" s="872" t="s">
        <v>887</v>
      </c>
      <c r="D37" s="247" t="s">
        <v>871</v>
      </c>
      <c r="E37" s="295">
        <v>30</v>
      </c>
      <c r="F37" s="256">
        <v>35000</v>
      </c>
      <c r="G37" s="256">
        <f t="shared" si="11"/>
        <v>1050000</v>
      </c>
      <c r="H37" s="296">
        <v>60</v>
      </c>
      <c r="I37" s="300">
        <f t="shared" si="1"/>
        <v>17500</v>
      </c>
      <c r="J37" s="256">
        <v>3</v>
      </c>
      <c r="K37" s="256">
        <f t="shared" si="5"/>
        <v>52500</v>
      </c>
      <c r="L37" s="256">
        <v>9</v>
      </c>
      <c r="M37" s="256">
        <f t="shared" si="2"/>
        <v>157500</v>
      </c>
      <c r="N37" s="297">
        <f t="shared" si="8"/>
        <v>12</v>
      </c>
      <c r="O37" s="256">
        <f t="shared" si="6"/>
        <v>210000</v>
      </c>
      <c r="P37" s="301">
        <f t="shared" si="7"/>
        <v>840000</v>
      </c>
      <c r="R37" s="291"/>
      <c r="S37" s="291"/>
      <c r="T37" s="291"/>
      <c r="U37" s="291"/>
    </row>
    <row r="38" spans="1:21" s="223" customFormat="1" ht="18.75">
      <c r="A38" s="244">
        <v>26</v>
      </c>
      <c r="B38" s="293" t="s">
        <v>890</v>
      </c>
      <c r="C38" s="872" t="s">
        <v>891</v>
      </c>
      <c r="D38" s="247" t="s">
        <v>871</v>
      </c>
      <c r="E38" s="295">
        <v>1</v>
      </c>
      <c r="F38" s="256">
        <v>400000</v>
      </c>
      <c r="G38" s="256">
        <f t="shared" si="11"/>
        <v>400000</v>
      </c>
      <c r="H38" s="296">
        <v>12</v>
      </c>
      <c r="I38" s="300">
        <f t="shared" si="1"/>
        <v>33333.333333333299</v>
      </c>
      <c r="J38" s="256">
        <v>2</v>
      </c>
      <c r="K38" s="256">
        <f t="shared" si="5"/>
        <v>66666.666666666701</v>
      </c>
      <c r="L38" s="256">
        <v>9</v>
      </c>
      <c r="M38" s="256">
        <f t="shared" si="2"/>
        <v>300000</v>
      </c>
      <c r="N38" s="297">
        <f t="shared" si="8"/>
        <v>11</v>
      </c>
      <c r="O38" s="256">
        <f t="shared" si="6"/>
        <v>366666.66666666698</v>
      </c>
      <c r="P38" s="301">
        <f t="shared" si="7"/>
        <v>33333.333333333299</v>
      </c>
      <c r="R38" s="291"/>
      <c r="S38" s="291"/>
      <c r="T38" s="291"/>
      <c r="U38" s="291"/>
    </row>
    <row r="39" spans="1:21" s="223" customFormat="1" ht="18.75">
      <c r="A39" s="244">
        <v>27</v>
      </c>
      <c r="B39" s="293" t="s">
        <v>892</v>
      </c>
      <c r="C39" s="872" t="s">
        <v>893</v>
      </c>
      <c r="D39" s="247" t="s">
        <v>871</v>
      </c>
      <c r="E39" s="295">
        <v>1</v>
      </c>
      <c r="F39" s="256">
        <v>2000000</v>
      </c>
      <c r="G39" s="256">
        <f t="shared" si="11"/>
        <v>2000000</v>
      </c>
      <c r="H39" s="296">
        <v>24</v>
      </c>
      <c r="I39" s="300">
        <f t="shared" si="1"/>
        <v>83333.333333333299</v>
      </c>
      <c r="J39" s="256">
        <v>2</v>
      </c>
      <c r="K39" s="256">
        <f t="shared" si="5"/>
        <v>166666.66666666701</v>
      </c>
      <c r="L39" s="256">
        <v>9</v>
      </c>
      <c r="M39" s="256">
        <f t="shared" si="2"/>
        <v>750000</v>
      </c>
      <c r="N39" s="297">
        <f t="shared" si="8"/>
        <v>11</v>
      </c>
      <c r="O39" s="256">
        <f t="shared" si="6"/>
        <v>916666.66666666698</v>
      </c>
      <c r="P39" s="301">
        <f t="shared" si="7"/>
        <v>1083333.33333333</v>
      </c>
      <c r="R39" s="291"/>
      <c r="S39" s="291"/>
      <c r="T39" s="291"/>
      <c r="U39" s="291"/>
    </row>
    <row r="40" spans="1:21" s="223" customFormat="1" ht="18.75">
      <c r="A40" s="244">
        <v>28</v>
      </c>
      <c r="B40" s="293" t="s">
        <v>894</v>
      </c>
      <c r="C40" s="872" t="s">
        <v>895</v>
      </c>
      <c r="D40" s="247" t="s">
        <v>871</v>
      </c>
      <c r="E40" s="295">
        <v>1</v>
      </c>
      <c r="F40" s="256">
        <v>3250000</v>
      </c>
      <c r="G40" s="256">
        <f t="shared" si="11"/>
        <v>3250000</v>
      </c>
      <c r="H40" s="296">
        <v>24</v>
      </c>
      <c r="I40" s="300">
        <f t="shared" si="1"/>
        <v>135416.66666666701</v>
      </c>
      <c r="J40" s="256">
        <v>2</v>
      </c>
      <c r="K40" s="256">
        <f t="shared" si="5"/>
        <v>270833.33333333302</v>
      </c>
      <c r="L40" s="256">
        <v>9</v>
      </c>
      <c r="M40" s="256">
        <f t="shared" si="2"/>
        <v>1218750</v>
      </c>
      <c r="N40" s="297">
        <f t="shared" si="8"/>
        <v>11</v>
      </c>
      <c r="O40" s="256">
        <f t="shared" si="6"/>
        <v>1489583.33333333</v>
      </c>
      <c r="P40" s="301">
        <f t="shared" si="7"/>
        <v>1760416.66666667</v>
      </c>
      <c r="R40" s="291"/>
      <c r="S40" s="291"/>
      <c r="T40" s="291"/>
      <c r="U40" s="291"/>
    </row>
    <row r="41" spans="1:21" s="224" customFormat="1" ht="18.75">
      <c r="A41" s="244">
        <v>30</v>
      </c>
      <c r="B41" s="302" t="s">
        <v>896</v>
      </c>
      <c r="C41" s="874" t="s">
        <v>897</v>
      </c>
      <c r="D41" s="247" t="s">
        <v>871</v>
      </c>
      <c r="E41" s="303">
        <v>1</v>
      </c>
      <c r="F41" s="249">
        <v>1200000</v>
      </c>
      <c r="G41" s="256">
        <f t="shared" si="11"/>
        <v>1200000</v>
      </c>
      <c r="H41" s="249">
        <v>24</v>
      </c>
      <c r="I41" s="300">
        <f t="shared" si="1"/>
        <v>50000</v>
      </c>
      <c r="J41" s="249">
        <v>0</v>
      </c>
      <c r="K41" s="256">
        <f t="shared" si="5"/>
        <v>0</v>
      </c>
      <c r="L41" s="249">
        <v>5</v>
      </c>
      <c r="M41" s="256">
        <f t="shared" si="2"/>
        <v>250000</v>
      </c>
      <c r="N41" s="297">
        <f t="shared" si="8"/>
        <v>5</v>
      </c>
      <c r="O41" s="256">
        <f t="shared" si="6"/>
        <v>250000</v>
      </c>
      <c r="P41" s="301">
        <f t="shared" si="7"/>
        <v>950000</v>
      </c>
      <c r="R41" s="304"/>
      <c r="S41" s="304"/>
      <c r="T41" s="304"/>
      <c r="U41" s="304"/>
    </row>
    <row r="42" spans="1:21" s="224" customFormat="1" ht="18.75">
      <c r="A42" s="244">
        <v>31</v>
      </c>
      <c r="B42" s="302" t="s">
        <v>898</v>
      </c>
      <c r="C42" s="874" t="str">
        <f>C41</f>
        <v>14-05-2025</v>
      </c>
      <c r="D42" s="247" t="s">
        <v>871</v>
      </c>
      <c r="E42" s="303">
        <v>1</v>
      </c>
      <c r="F42" s="249">
        <v>100000</v>
      </c>
      <c r="G42" s="256">
        <f t="shared" si="11"/>
        <v>100000</v>
      </c>
      <c r="H42" s="249">
        <v>12</v>
      </c>
      <c r="I42" s="300">
        <f t="shared" si="1"/>
        <v>8333.3333333333303</v>
      </c>
      <c r="J42" s="249">
        <v>0</v>
      </c>
      <c r="K42" s="256">
        <f t="shared" si="5"/>
        <v>0</v>
      </c>
      <c r="L42" s="249">
        <v>5</v>
      </c>
      <c r="M42" s="256">
        <f t="shared" si="2"/>
        <v>41666.666666666701</v>
      </c>
      <c r="N42" s="297">
        <f t="shared" si="8"/>
        <v>5</v>
      </c>
      <c r="O42" s="256">
        <f t="shared" si="6"/>
        <v>41666.666666666701</v>
      </c>
      <c r="P42" s="301">
        <f t="shared" si="7"/>
        <v>58333.333333333299</v>
      </c>
      <c r="R42" s="304"/>
      <c r="S42" s="304"/>
      <c r="T42" s="304"/>
      <c r="U42" s="304"/>
    </row>
    <row r="43" spans="1:21" s="224" customFormat="1" ht="18.75">
      <c r="A43" s="244">
        <v>32</v>
      </c>
      <c r="B43" s="302" t="s">
        <v>899</v>
      </c>
      <c r="C43" s="874" t="str">
        <f>C42</f>
        <v>14-05-2025</v>
      </c>
      <c r="D43" s="247" t="s">
        <v>871</v>
      </c>
      <c r="E43" s="303">
        <v>1</v>
      </c>
      <c r="F43" s="249">
        <v>185000</v>
      </c>
      <c r="G43" s="256">
        <f t="shared" si="11"/>
        <v>185000</v>
      </c>
      <c r="H43" s="249">
        <v>12</v>
      </c>
      <c r="I43" s="300">
        <f t="shared" si="1"/>
        <v>15416.666666666701</v>
      </c>
      <c r="J43" s="249">
        <v>0</v>
      </c>
      <c r="K43" s="256">
        <f t="shared" si="5"/>
        <v>0</v>
      </c>
      <c r="L43" s="249">
        <v>5</v>
      </c>
      <c r="M43" s="256">
        <f t="shared" si="2"/>
        <v>77083.333333333299</v>
      </c>
      <c r="N43" s="297">
        <f t="shared" si="8"/>
        <v>5</v>
      </c>
      <c r="O43" s="256">
        <f t="shared" si="6"/>
        <v>77083.333333333299</v>
      </c>
      <c r="P43" s="301">
        <f t="shared" si="7"/>
        <v>107916.66666666701</v>
      </c>
      <c r="R43" s="304"/>
      <c r="S43" s="304"/>
      <c r="T43" s="304"/>
      <c r="U43" s="304"/>
    </row>
    <row r="44" spans="1:21" s="224" customFormat="1" ht="18.75">
      <c r="A44" s="305">
        <v>33</v>
      </c>
      <c r="B44" s="302" t="s">
        <v>900</v>
      </c>
      <c r="C44" s="874" t="s">
        <v>901</v>
      </c>
      <c r="D44" s="247" t="s">
        <v>871</v>
      </c>
      <c r="E44" s="303">
        <v>1</v>
      </c>
      <c r="F44" s="249">
        <v>500000</v>
      </c>
      <c r="G44" s="256">
        <f t="shared" si="11"/>
        <v>500000</v>
      </c>
      <c r="H44" s="249">
        <v>12</v>
      </c>
      <c r="I44" s="300">
        <f t="shared" si="1"/>
        <v>41666.666666666701</v>
      </c>
      <c r="J44" s="249">
        <v>0</v>
      </c>
      <c r="K44" s="256">
        <f t="shared" si="5"/>
        <v>0</v>
      </c>
      <c r="L44" s="249">
        <v>5</v>
      </c>
      <c r="M44" s="256">
        <f t="shared" si="2"/>
        <v>208333.33333333299</v>
      </c>
      <c r="N44" s="297">
        <f t="shared" si="8"/>
        <v>5</v>
      </c>
      <c r="O44" s="256">
        <f t="shared" si="6"/>
        <v>208333.33333333299</v>
      </c>
      <c r="P44" s="301">
        <f t="shared" si="7"/>
        <v>291666.66666666698</v>
      </c>
      <c r="R44" s="304"/>
      <c r="S44" s="304"/>
      <c r="T44" s="304"/>
      <c r="U44" s="304"/>
    </row>
    <row r="45" spans="1:21" s="224" customFormat="1" ht="18.75">
      <c r="A45" s="306">
        <v>34</v>
      </c>
      <c r="B45" s="302" t="s">
        <v>902</v>
      </c>
      <c r="C45" s="874" t="s">
        <v>903</v>
      </c>
      <c r="D45" s="247" t="s">
        <v>871</v>
      </c>
      <c r="E45" s="303">
        <v>2</v>
      </c>
      <c r="F45" s="249">
        <v>116500</v>
      </c>
      <c r="G45" s="256">
        <f t="shared" si="11"/>
        <v>233000</v>
      </c>
      <c r="H45" s="249">
        <v>12</v>
      </c>
      <c r="I45" s="300">
        <f t="shared" si="1"/>
        <v>19416.666666666701</v>
      </c>
      <c r="J45" s="249">
        <v>0</v>
      </c>
      <c r="K45" s="256">
        <f t="shared" si="5"/>
        <v>0</v>
      </c>
      <c r="L45" s="249">
        <v>4</v>
      </c>
      <c r="M45" s="256">
        <f t="shared" si="2"/>
        <v>77666.666666666701</v>
      </c>
      <c r="N45" s="297">
        <f t="shared" si="8"/>
        <v>4</v>
      </c>
      <c r="O45" s="256">
        <f t="shared" si="6"/>
        <v>77666.666666666701</v>
      </c>
      <c r="P45" s="301">
        <f t="shared" si="7"/>
        <v>155333.33333333299</v>
      </c>
      <c r="R45" s="304"/>
      <c r="S45" s="304"/>
      <c r="T45" s="304"/>
      <c r="U45" s="304"/>
    </row>
    <row r="46" spans="1:21" s="224" customFormat="1" ht="18.75">
      <c r="A46" s="307">
        <v>35</v>
      </c>
      <c r="B46" s="302" t="s">
        <v>904</v>
      </c>
      <c r="C46" s="302" t="s">
        <v>905</v>
      </c>
      <c r="D46" s="308"/>
      <c r="E46" s="309">
        <v>8</v>
      </c>
      <c r="F46" s="310">
        <v>35000</v>
      </c>
      <c r="G46" s="311">
        <f t="shared" si="11"/>
        <v>280000</v>
      </c>
      <c r="H46" s="310">
        <v>12</v>
      </c>
      <c r="I46" s="300">
        <f t="shared" si="1"/>
        <v>23333.333333333299</v>
      </c>
      <c r="J46" s="312">
        <v>0</v>
      </c>
      <c r="K46" s="312">
        <v>0</v>
      </c>
      <c r="L46" s="249">
        <v>3</v>
      </c>
      <c r="M46" s="256">
        <f t="shared" si="2"/>
        <v>70000</v>
      </c>
      <c r="N46" s="297">
        <f t="shared" si="8"/>
        <v>3</v>
      </c>
      <c r="O46" s="256">
        <f t="shared" si="6"/>
        <v>70000</v>
      </c>
      <c r="P46" s="301">
        <f t="shared" si="7"/>
        <v>210000</v>
      </c>
      <c r="R46" s="304"/>
      <c r="S46" s="304"/>
      <c r="T46" s="304"/>
      <c r="U46" s="304"/>
    </row>
    <row r="47" spans="1:21" s="224" customFormat="1" ht="18.75">
      <c r="A47" s="307">
        <v>36</v>
      </c>
      <c r="B47" s="302" t="s">
        <v>906</v>
      </c>
      <c r="C47" s="875" t="s">
        <v>759</v>
      </c>
      <c r="D47" s="247" t="s">
        <v>871</v>
      </c>
      <c r="E47" s="309">
        <v>15</v>
      </c>
      <c r="F47" s="310">
        <v>250000</v>
      </c>
      <c r="G47" s="311">
        <f t="shared" si="11"/>
        <v>3750000</v>
      </c>
      <c r="H47" s="310">
        <v>60</v>
      </c>
      <c r="I47" s="300">
        <f t="shared" si="1"/>
        <v>62500</v>
      </c>
      <c r="J47" s="312">
        <v>0</v>
      </c>
      <c r="K47" s="312">
        <v>0</v>
      </c>
      <c r="L47" s="249">
        <v>3</v>
      </c>
      <c r="M47" s="256">
        <f t="shared" si="2"/>
        <v>187500</v>
      </c>
      <c r="N47" s="297">
        <f t="shared" si="8"/>
        <v>3</v>
      </c>
      <c r="O47" s="256">
        <f t="shared" si="6"/>
        <v>187500</v>
      </c>
      <c r="P47" s="301">
        <f t="shared" si="7"/>
        <v>3562500</v>
      </c>
      <c r="R47" s="304"/>
      <c r="S47" s="304"/>
      <c r="T47" s="304"/>
      <c r="U47" s="304"/>
    </row>
    <row r="48" spans="1:21" s="224" customFormat="1" ht="18.75">
      <c r="A48" s="307">
        <v>37</v>
      </c>
      <c r="B48" s="302" t="s">
        <v>889</v>
      </c>
      <c r="C48" s="875" t="s">
        <v>759</v>
      </c>
      <c r="D48" s="247" t="s">
        <v>871</v>
      </c>
      <c r="E48" s="309">
        <v>30</v>
      </c>
      <c r="F48" s="310">
        <v>35000</v>
      </c>
      <c r="G48" s="311">
        <f t="shared" si="11"/>
        <v>1050000</v>
      </c>
      <c r="H48" s="310">
        <v>12</v>
      </c>
      <c r="I48" s="300">
        <f t="shared" si="1"/>
        <v>87500</v>
      </c>
      <c r="J48" s="312">
        <v>0</v>
      </c>
      <c r="K48" s="312">
        <v>0</v>
      </c>
      <c r="L48" s="249">
        <v>3</v>
      </c>
      <c r="M48" s="256">
        <f t="shared" si="2"/>
        <v>262500</v>
      </c>
      <c r="N48" s="297">
        <f t="shared" si="8"/>
        <v>3</v>
      </c>
      <c r="O48" s="256">
        <f t="shared" si="6"/>
        <v>262500</v>
      </c>
      <c r="P48" s="301">
        <f t="shared" si="7"/>
        <v>787500</v>
      </c>
      <c r="R48" s="304"/>
      <c r="S48" s="304"/>
      <c r="T48" s="304"/>
      <c r="U48" s="304"/>
    </row>
    <row r="49" spans="1:21" s="224" customFormat="1" ht="18.75">
      <c r="A49" s="307">
        <v>38</v>
      </c>
      <c r="B49" s="302" t="s">
        <v>907</v>
      </c>
      <c r="C49" s="874" t="s">
        <v>908</v>
      </c>
      <c r="D49" s="247" t="s">
        <v>871</v>
      </c>
      <c r="E49" s="303">
        <v>1</v>
      </c>
      <c r="F49" s="249">
        <v>1950000</v>
      </c>
      <c r="G49" s="311">
        <f t="shared" si="11"/>
        <v>1950000</v>
      </c>
      <c r="H49" s="249">
        <v>60</v>
      </c>
      <c r="I49" s="300">
        <f t="shared" si="1"/>
        <v>32500</v>
      </c>
      <c r="J49" s="249">
        <v>0</v>
      </c>
      <c r="K49" s="249">
        <v>0</v>
      </c>
      <c r="L49" s="249">
        <v>2</v>
      </c>
      <c r="M49" s="256">
        <f t="shared" si="2"/>
        <v>65000</v>
      </c>
      <c r="N49" s="297">
        <f t="shared" si="8"/>
        <v>2</v>
      </c>
      <c r="O49" s="256">
        <f t="shared" si="6"/>
        <v>65000</v>
      </c>
      <c r="P49" s="301">
        <f t="shared" si="7"/>
        <v>1885000</v>
      </c>
      <c r="R49" s="304"/>
      <c r="S49" s="304"/>
      <c r="T49" s="304"/>
      <c r="U49" s="304"/>
    </row>
    <row r="50" spans="1:21" s="224" customFormat="1" ht="18.75">
      <c r="A50" s="307">
        <v>39</v>
      </c>
      <c r="B50" s="302" t="s">
        <v>909</v>
      </c>
      <c r="C50" s="874" t="s">
        <v>910</v>
      </c>
      <c r="D50" s="247" t="s">
        <v>871</v>
      </c>
      <c r="E50" s="303">
        <v>1</v>
      </c>
      <c r="F50" s="249">
        <v>12500000</v>
      </c>
      <c r="G50" s="311">
        <f t="shared" si="11"/>
        <v>12500000</v>
      </c>
      <c r="H50" s="249">
        <v>120</v>
      </c>
      <c r="I50" s="300">
        <f t="shared" si="1"/>
        <v>104166.66666666701</v>
      </c>
      <c r="J50" s="312">
        <v>0</v>
      </c>
      <c r="K50" s="312">
        <v>0</v>
      </c>
      <c r="L50" s="312">
        <v>2</v>
      </c>
      <c r="M50" s="256">
        <f t="shared" si="2"/>
        <v>208333.33333333299</v>
      </c>
      <c r="N50" s="297">
        <f t="shared" si="8"/>
        <v>2</v>
      </c>
      <c r="O50" s="256">
        <f t="shared" si="6"/>
        <v>208333.33333333299</v>
      </c>
      <c r="P50" s="301">
        <f t="shared" si="7"/>
        <v>12291666.6666667</v>
      </c>
      <c r="R50" s="304"/>
      <c r="S50" s="304"/>
      <c r="T50" s="304"/>
      <c r="U50" s="304"/>
    </row>
    <row r="51" spans="1:21" s="224" customFormat="1" ht="18.75">
      <c r="A51" s="307">
        <v>40</v>
      </c>
      <c r="B51" s="302" t="s">
        <v>829</v>
      </c>
      <c r="C51" s="874" t="s">
        <v>910</v>
      </c>
      <c r="D51" s="247" t="s">
        <v>871</v>
      </c>
      <c r="E51" s="303">
        <v>1</v>
      </c>
      <c r="F51" s="249">
        <v>35000000</v>
      </c>
      <c r="G51" s="311">
        <f t="shared" si="11"/>
        <v>35000000</v>
      </c>
      <c r="H51" s="249">
        <v>120</v>
      </c>
      <c r="I51" s="300">
        <f t="shared" si="1"/>
        <v>291666.66666666698</v>
      </c>
      <c r="J51" s="312">
        <v>0</v>
      </c>
      <c r="K51" s="312">
        <v>0</v>
      </c>
      <c r="L51" s="312">
        <v>2</v>
      </c>
      <c r="M51" s="256">
        <f t="shared" si="2"/>
        <v>583333.33333333302</v>
      </c>
      <c r="N51" s="297">
        <f t="shared" si="8"/>
        <v>2</v>
      </c>
      <c r="O51" s="256">
        <f t="shared" si="6"/>
        <v>583333.33333333302</v>
      </c>
      <c r="P51" s="301">
        <f t="shared" si="7"/>
        <v>34416666.666666701</v>
      </c>
      <c r="R51" s="304"/>
      <c r="S51" s="304"/>
      <c r="T51" s="304"/>
      <c r="U51" s="304"/>
    </row>
    <row r="52" spans="1:21" s="224" customFormat="1" ht="18.75">
      <c r="A52" s="307">
        <v>41</v>
      </c>
      <c r="B52" s="302" t="s">
        <v>911</v>
      </c>
      <c r="C52" s="874" t="s">
        <v>910</v>
      </c>
      <c r="D52" s="247" t="s">
        <v>871</v>
      </c>
      <c r="E52" s="303">
        <v>7</v>
      </c>
      <c r="F52" s="249">
        <v>15000000</v>
      </c>
      <c r="G52" s="311">
        <f t="shared" si="11"/>
        <v>105000000</v>
      </c>
      <c r="H52" s="249">
        <v>420</v>
      </c>
      <c r="I52" s="300">
        <f t="shared" si="1"/>
        <v>250000</v>
      </c>
      <c r="J52" s="312">
        <v>0</v>
      </c>
      <c r="K52" s="312">
        <v>0</v>
      </c>
      <c r="L52" s="312">
        <v>2</v>
      </c>
      <c r="M52" s="256">
        <f t="shared" si="2"/>
        <v>500000</v>
      </c>
      <c r="N52" s="297">
        <f t="shared" si="8"/>
        <v>2</v>
      </c>
      <c r="O52" s="256">
        <f t="shared" si="6"/>
        <v>500000</v>
      </c>
      <c r="P52" s="301">
        <f t="shared" si="7"/>
        <v>104500000</v>
      </c>
      <c r="R52" s="304"/>
      <c r="S52" s="304"/>
      <c r="T52" s="304"/>
      <c r="U52" s="304"/>
    </row>
    <row r="53" spans="1:21" s="224" customFormat="1" ht="18.75">
      <c r="A53" s="307">
        <v>48</v>
      </c>
      <c r="B53" s="313"/>
      <c r="C53" s="314"/>
      <c r="D53" s="315"/>
      <c r="E53" s="316">
        <v>1</v>
      </c>
      <c r="F53" s="312">
        <v>1600000</v>
      </c>
      <c r="G53" s="311">
        <f t="shared" si="11"/>
        <v>1600000</v>
      </c>
      <c r="H53" s="312">
        <v>60</v>
      </c>
      <c r="I53" s="312"/>
      <c r="J53" s="312"/>
      <c r="K53" s="312"/>
      <c r="L53" s="312"/>
      <c r="M53" s="312"/>
      <c r="N53" s="317"/>
      <c r="O53" s="312"/>
      <c r="P53" s="318"/>
      <c r="R53" s="304"/>
      <c r="S53" s="304"/>
      <c r="T53" s="304"/>
      <c r="U53" s="304"/>
    </row>
    <row r="54" spans="1:21" s="224" customFormat="1" ht="18.75">
      <c r="A54" s="1019" t="s">
        <v>111</v>
      </c>
      <c r="B54" s="1019"/>
      <c r="C54" s="314"/>
      <c r="D54" s="315"/>
      <c r="E54" s="316"/>
      <c r="F54" s="312"/>
      <c r="G54" s="312">
        <f>SUM(G13:G53)</f>
        <v>231233000</v>
      </c>
      <c r="H54" s="312">
        <f>SUM(H13:H53)</f>
        <v>2148</v>
      </c>
      <c r="I54" s="312">
        <f>SUM(G54/H54)</f>
        <v>107650.372439479</v>
      </c>
      <c r="J54" s="312">
        <f>SUM(J13:J52)</f>
        <v>581</v>
      </c>
      <c r="K54" s="312">
        <f>SUM(J54*I54)</f>
        <v>62544866.387337103</v>
      </c>
      <c r="L54" s="312">
        <f>SUM(L13:L52)</f>
        <v>160</v>
      </c>
      <c r="M54" s="312">
        <f>SUM(I54*L54)</f>
        <v>17224059.590316601</v>
      </c>
      <c r="N54" s="317">
        <f>J54+L54</f>
        <v>741</v>
      </c>
      <c r="O54" s="312">
        <f>SUM(K54+M54)</f>
        <v>79768925.977653593</v>
      </c>
      <c r="P54" s="318">
        <f>SUM(G54-O54)</f>
        <v>151464074.02234599</v>
      </c>
      <c r="R54" s="319"/>
      <c r="S54" s="319"/>
      <c r="T54" s="319"/>
      <c r="U54" s="319"/>
    </row>
    <row r="55" spans="1:21" ht="18.75">
      <c r="A55" s="223"/>
      <c r="B55" s="223"/>
      <c r="C55" s="320"/>
      <c r="D55" s="321"/>
      <c r="E55" s="223"/>
      <c r="F55" s="320"/>
      <c r="G55" s="322">
        <v>101736632.700966</v>
      </c>
      <c r="H55" s="223"/>
      <c r="I55" s="223"/>
      <c r="J55" s="323">
        <f>G54-O54</f>
        <v>151464074.02234599</v>
      </c>
      <c r="K55" s="323"/>
      <c r="L55" s="324">
        <f>J55-P54</f>
        <v>0</v>
      </c>
      <c r="M55" s="324"/>
      <c r="N55" s="325"/>
      <c r="O55" s="298">
        <v>44295877</v>
      </c>
      <c r="P55" s="321">
        <f>SUM(NERACA!E22)</f>
        <v>259502404.16666701</v>
      </c>
      <c r="R55" s="326">
        <f>SUM(R13:R23)</f>
        <v>0</v>
      </c>
      <c r="S55" s="326" t="e">
        <f>SUM(S13:S23)</f>
        <v>#DIV/0!</v>
      </c>
      <c r="T55" s="326">
        <f>SUM(T13:T27)</f>
        <v>36</v>
      </c>
      <c r="U55" s="326" t="e">
        <f>SUM(U13:U27)</f>
        <v>#DIV/0!</v>
      </c>
    </row>
    <row r="56" spans="1:21" ht="15" customHeight="1">
      <c r="C56" s="327"/>
      <c r="F56" s="328"/>
      <c r="G56" s="327"/>
      <c r="J56" s="329"/>
      <c r="K56" s="329"/>
      <c r="L56" s="330"/>
      <c r="M56" s="1020"/>
      <c r="N56" s="1020"/>
      <c r="O56" s="328"/>
      <c r="P56" s="328"/>
    </row>
    <row r="57" spans="1:21" ht="15" customHeight="1">
      <c r="B57" s="331"/>
      <c r="C57" s="327"/>
      <c r="D57" s="332"/>
      <c r="G57" s="327"/>
      <c r="J57" s="329"/>
      <c r="K57" s="329"/>
      <c r="L57" s="330"/>
      <c r="M57" s="330"/>
      <c r="N57" s="329"/>
      <c r="O57" s="333">
        <f>+O55-M54</f>
        <v>27071817.409683399</v>
      </c>
      <c r="Q57" s="328"/>
      <c r="S57" s="328" t="e">
        <f>S55+U55</f>
        <v>#DIV/0!</v>
      </c>
    </row>
    <row r="58" spans="1:21" ht="15" customHeight="1">
      <c r="A58" s="334"/>
      <c r="B58" s="335"/>
      <c r="C58" s="327"/>
      <c r="D58" s="334"/>
      <c r="E58" s="334"/>
      <c r="F58" s="336"/>
      <c r="G58" s="327"/>
      <c r="H58" s="334"/>
      <c r="I58" s="334"/>
      <c r="J58" s="1021"/>
      <c r="K58" s="1022"/>
      <c r="L58" s="1022"/>
      <c r="M58" s="1022"/>
      <c r="N58" s="1022"/>
      <c r="O58" s="328">
        <f>O56*12</f>
        <v>0</v>
      </c>
      <c r="Q58" s="328"/>
      <c r="S58" s="338" t="e">
        <f>M54-S57</f>
        <v>#DIV/0!</v>
      </c>
      <c r="T58" s="339" t="s">
        <v>912</v>
      </c>
    </row>
    <row r="59" spans="1:21" ht="15" customHeight="1">
      <c r="B59" s="340"/>
      <c r="C59" s="327"/>
      <c r="D59" s="334"/>
      <c r="E59" s="334"/>
      <c r="F59" s="341"/>
      <c r="G59" s="327"/>
      <c r="H59" s="342"/>
      <c r="I59" s="343"/>
      <c r="J59" s="343"/>
      <c r="K59" s="1023"/>
      <c r="L59" s="1023"/>
      <c r="M59" s="1023"/>
      <c r="N59" s="342"/>
      <c r="Q59" s="345"/>
      <c r="S59" s="225" t="s">
        <v>913</v>
      </c>
    </row>
    <row r="60" spans="1:21" ht="15" customHeight="1">
      <c r="A60" s="334"/>
      <c r="B60" s="346"/>
      <c r="C60" s="327"/>
      <c r="D60" s="334"/>
      <c r="E60" s="334"/>
      <c r="F60" s="337"/>
      <c r="G60" s="327"/>
      <c r="H60" s="334"/>
      <c r="I60" s="347"/>
      <c r="J60" s="334"/>
      <c r="K60" s="344"/>
      <c r="L60" s="348"/>
      <c r="M60" s="348"/>
      <c r="N60" s="342"/>
      <c r="Q60" s="328"/>
    </row>
    <row r="61" spans="1:21" ht="15" customHeight="1">
      <c r="A61" s="334"/>
      <c r="B61" s="327"/>
      <c r="C61" s="327"/>
      <c r="D61" s="334"/>
      <c r="E61" s="334"/>
      <c r="F61" s="334"/>
      <c r="G61" s="327"/>
      <c r="H61" s="334"/>
      <c r="I61" s="347"/>
      <c r="J61" s="334"/>
      <c r="K61" s="348"/>
      <c r="L61" s="348"/>
      <c r="M61" s="348"/>
    </row>
    <row r="62" spans="1:21" ht="15" customHeight="1">
      <c r="A62" s="334"/>
      <c r="B62" s="335"/>
      <c r="C62" s="327"/>
      <c r="D62" s="334"/>
      <c r="E62" s="334"/>
      <c r="F62" s="334"/>
      <c r="G62" s="327"/>
      <c r="H62" s="334"/>
      <c r="I62" s="347"/>
      <c r="J62" s="334"/>
      <c r="K62" s="348"/>
      <c r="L62" s="348"/>
      <c r="M62" s="348"/>
    </row>
    <row r="63" spans="1:21" ht="15" customHeight="1">
      <c r="A63" s="334"/>
      <c r="B63" s="335"/>
      <c r="C63" s="327"/>
      <c r="D63" s="349"/>
      <c r="E63" s="350"/>
      <c r="F63" s="334"/>
      <c r="G63" s="351"/>
      <c r="H63" s="349"/>
      <c r="I63" s="352"/>
      <c r="J63" s="353"/>
      <c r="K63" s="1024"/>
      <c r="L63" s="1024"/>
      <c r="M63" s="1024"/>
    </row>
    <row r="64" spans="1:21" ht="15" customHeight="1">
      <c r="A64" s="334"/>
      <c r="B64" s="346"/>
      <c r="C64" s="354"/>
      <c r="D64" s="349"/>
      <c r="E64" s="337"/>
      <c r="G64" s="337"/>
      <c r="I64" s="355"/>
      <c r="J64" s="337"/>
      <c r="K64" s="1025"/>
      <c r="L64" s="1025"/>
      <c r="M64" s="1025"/>
    </row>
    <row r="65" spans="1:21" ht="15" customHeight="1">
      <c r="K65" s="356"/>
    </row>
    <row r="66" spans="1:21" ht="15" customHeight="1"/>
    <row r="67" spans="1:21" ht="18.75">
      <c r="A67" s="357">
        <v>17</v>
      </c>
      <c r="B67" s="358" t="s">
        <v>909</v>
      </c>
      <c r="C67" s="876" t="s">
        <v>914</v>
      </c>
      <c r="D67" s="315" t="s">
        <v>871</v>
      </c>
      <c r="E67" s="295">
        <v>1</v>
      </c>
      <c r="F67" s="256">
        <v>12500000</v>
      </c>
      <c r="G67" s="256">
        <f>F67*E67</f>
        <v>12500000</v>
      </c>
      <c r="H67" s="296">
        <v>60</v>
      </c>
      <c r="I67" s="359">
        <f>G67/H67</f>
        <v>208333.33333333299</v>
      </c>
      <c r="J67" s="256">
        <v>0</v>
      </c>
      <c r="K67" s="256">
        <f>J67*I67</f>
        <v>0</v>
      </c>
      <c r="L67" s="256">
        <v>7</v>
      </c>
      <c r="M67" s="256">
        <f>+I67*L67</f>
        <v>1458333.33333333</v>
      </c>
      <c r="N67" s="297">
        <f>J67+L67</f>
        <v>7</v>
      </c>
      <c r="O67" s="256">
        <f>+K67+M67</f>
        <v>1458333.33333333</v>
      </c>
      <c r="P67" s="318">
        <f>+G67-O67</f>
        <v>11041666.6666667</v>
      </c>
      <c r="R67" s="360"/>
      <c r="S67" s="360"/>
      <c r="T67" s="361"/>
      <c r="U67" s="360"/>
    </row>
    <row r="68" spans="1:21" ht="18.75">
      <c r="A68" s="357">
        <v>19</v>
      </c>
      <c r="B68" s="358" t="s">
        <v>915</v>
      </c>
      <c r="C68" s="876" t="s">
        <v>916</v>
      </c>
      <c r="D68" s="315" t="s">
        <v>917</v>
      </c>
      <c r="E68" s="295">
        <v>1</v>
      </c>
      <c r="F68" s="256">
        <v>35000000</v>
      </c>
      <c r="G68" s="256">
        <f>F68*E68</f>
        <v>35000000</v>
      </c>
      <c r="H68" s="296">
        <v>60</v>
      </c>
      <c r="I68" s="359">
        <f>G68/H68</f>
        <v>583333.33333333302</v>
      </c>
      <c r="J68" s="256">
        <v>0</v>
      </c>
      <c r="K68" s="256">
        <f>J68*I68</f>
        <v>0</v>
      </c>
      <c r="L68" s="256">
        <v>1</v>
      </c>
      <c r="M68" s="256">
        <f>+I68*L68</f>
        <v>583333.33333333302</v>
      </c>
      <c r="N68" s="297">
        <f>J68+L68</f>
        <v>1</v>
      </c>
      <c r="O68" s="256">
        <f>+K68+M68</f>
        <v>583333.33333333302</v>
      </c>
      <c r="P68" s="318">
        <f>+G68-O68</f>
        <v>34416666.666666701</v>
      </c>
      <c r="R68" s="360"/>
      <c r="S68" s="360"/>
      <c r="T68" s="360"/>
      <c r="U68" s="360"/>
    </row>
    <row r="69" spans="1:21" ht="21.75" customHeight="1">
      <c r="G69" s="362">
        <f>SUM(G67:G68)</f>
        <v>47500000</v>
      </c>
    </row>
    <row r="72" spans="1:21">
      <c r="P72" s="1032"/>
    </row>
    <row r="73" spans="1:21">
      <c r="P73" s="1032"/>
    </row>
    <row r="74" spans="1:21">
      <c r="P74" s="1032"/>
    </row>
  </sheetData>
  <mergeCells count="25">
    <mergeCell ref="P72:P74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R9:S9"/>
    <mergeCell ref="T9:U9"/>
    <mergeCell ref="A54:B54"/>
    <mergeCell ref="M56:N56"/>
    <mergeCell ref="J58:N58"/>
    <mergeCell ref="P9:P10"/>
    <mergeCell ref="A1:P1"/>
    <mergeCell ref="A2:P2"/>
    <mergeCell ref="A3:P3"/>
    <mergeCell ref="J9:K9"/>
    <mergeCell ref="L9:M9"/>
    <mergeCell ref="N9:O9"/>
  </mergeCells>
  <pageMargins left="0.25" right="0.25" top="0.75" bottom="0.75" header="0.3" footer="0.3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  <vt:lpstr>BOR!Print_Area</vt:lpstr>
      <vt:lpstr>BRILink!Print_Area</vt:lpstr>
      <vt:lpstr>INVEN!Print_Area</vt:lpstr>
      <vt:lpstr>KASHAR!Print_Area</vt:lpstr>
      <vt:lpstr>MODUS!Print_Area</vt:lpstr>
      <vt:lpstr>MULTI!Print_Area</vt:lpstr>
      <vt:lpstr>NERACA!Print_Area</vt:lpstr>
      <vt:lpstr>'PESTISIDA (2)'!Print_Area</vt:lpstr>
      <vt:lpstr>'PESTISIDA (3)'!Print_Area</vt:lpstr>
      <vt:lpstr>'PESTISIDA tahap 1'!Print_Area</vt:lpstr>
      <vt:lpstr>REKAP!Print_Area</vt:lpstr>
      <vt:lpstr>'RUGI LABA '!Print_Area</vt:lpstr>
      <vt:lpstr>'TAHAP 2'!Print_Area</vt:lpstr>
      <vt:lpstr>'Tahap ke 3'!Print_Area</vt:lpstr>
      <vt:lpstr>'Tahap ke 4'!Print_Area</vt:lpstr>
    </vt:vector>
  </TitlesOfParts>
  <Company>PT. KARYA MATAHARI MANDIRI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desa batupute</cp:lastModifiedBy>
  <cp:lastPrinted>2024-12-25T12:39:00Z</cp:lastPrinted>
  <dcterms:created xsi:type="dcterms:W3CDTF">2018-04-05T10:13:00Z</dcterms:created>
  <dcterms:modified xsi:type="dcterms:W3CDTF">2026-05-21T01:05:05Z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